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48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F493" i="1" l="1"/>
  <c r="D493" i="1"/>
  <c r="B493" i="1"/>
  <c r="A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O817" i="10"/>
  <c r="M817" i="10"/>
  <c r="L817" i="10"/>
  <c r="K817" i="10"/>
  <c r="J817" i="10"/>
  <c r="I817" i="10"/>
  <c r="H817" i="10"/>
  <c r="G817" i="10"/>
  <c r="F817" i="10"/>
  <c r="E817" i="10"/>
  <c r="D817" i="10"/>
  <c r="W815" i="10"/>
  <c r="X813" i="10"/>
  <c r="X815" i="10" s="1"/>
  <c r="W813" i="10"/>
  <c r="V813" i="10"/>
  <c r="V815" i="10" s="1"/>
  <c r="A813" i="10"/>
  <c r="T812" i="10"/>
  <c r="S812" i="10"/>
  <c r="R812" i="10"/>
  <c r="Q812" i="10"/>
  <c r="P812" i="10"/>
  <c r="M812" i="10"/>
  <c r="K812" i="10"/>
  <c r="I812" i="10"/>
  <c r="H812" i="10"/>
  <c r="G812" i="10"/>
  <c r="F812" i="10"/>
  <c r="D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A783" i="10"/>
  <c r="T782" i="10"/>
  <c r="S782" i="10"/>
  <c r="S815" i="10" s="1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O815" i="10" s="1"/>
  <c r="M736" i="10"/>
  <c r="L736" i="10"/>
  <c r="K736" i="10"/>
  <c r="I736" i="10"/>
  <c r="H736" i="10"/>
  <c r="G736" i="10"/>
  <c r="F736" i="10"/>
  <c r="D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D815" i="10" s="1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L730" i="10"/>
  <c r="BK730" i="10"/>
  <c r="BJ730" i="10"/>
  <c r="BF730" i="10"/>
  <c r="BE730" i="10"/>
  <c r="BB730" i="10"/>
  <c r="BA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H722" i="10"/>
  <c r="BG722" i="10"/>
  <c r="BE722" i="10"/>
  <c r="BD722" i="10"/>
  <c r="BC722" i="10"/>
  <c r="BB722" i="10"/>
  <c r="BA722" i="10"/>
  <c r="AZ722" i="10"/>
  <c r="AY722" i="10"/>
  <c r="AX722" i="10"/>
  <c r="AW722" i="10"/>
  <c r="AV722" i="10"/>
  <c r="AP722" i="10"/>
  <c r="AO722" i="10"/>
  <c r="AN722" i="10"/>
  <c r="AM722" i="10"/>
  <c r="AL722" i="10"/>
  <c r="AK722" i="10"/>
  <c r="AJ722" i="10"/>
  <c r="AI722" i="10"/>
  <c r="AG722" i="10"/>
  <c r="AF722" i="10"/>
  <c r="AD722" i="10"/>
  <c r="AC722" i="10"/>
  <c r="AB722" i="10"/>
  <c r="AA722" i="10"/>
  <c r="Z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F550" i="10"/>
  <c r="E550" i="10"/>
  <c r="F546" i="10"/>
  <c r="E546" i="10"/>
  <c r="F545" i="10"/>
  <c r="F544" i="10"/>
  <c r="H540" i="10"/>
  <c r="F540" i="10"/>
  <c r="E540" i="10"/>
  <c r="H539" i="10"/>
  <c r="F539" i="10"/>
  <c r="E539" i="10"/>
  <c r="H538" i="10"/>
  <c r="F538" i="10"/>
  <c r="E538" i="10"/>
  <c r="H537" i="10"/>
  <c r="F537" i="10"/>
  <c r="E537" i="10"/>
  <c r="H536" i="10"/>
  <c r="F536" i="10"/>
  <c r="E536" i="10"/>
  <c r="H535" i="10"/>
  <c r="F535" i="10"/>
  <c r="E535" i="10"/>
  <c r="H534" i="10"/>
  <c r="F534" i="10"/>
  <c r="E534" i="10"/>
  <c r="H533" i="10"/>
  <c r="F533" i="10"/>
  <c r="E533" i="10"/>
  <c r="H532" i="10"/>
  <c r="F532" i="10"/>
  <c r="E532" i="10"/>
  <c r="H531" i="10"/>
  <c r="F531" i="10"/>
  <c r="E531" i="10"/>
  <c r="H530" i="10"/>
  <c r="F530" i="10"/>
  <c r="E530" i="10"/>
  <c r="F529" i="10"/>
  <c r="E529" i="10"/>
  <c r="H528" i="10"/>
  <c r="F528" i="10"/>
  <c r="E528" i="10"/>
  <c r="H527" i="10"/>
  <c r="F527" i="10"/>
  <c r="E527" i="10"/>
  <c r="F526" i="10"/>
  <c r="E526" i="10"/>
  <c r="H525" i="10"/>
  <c r="F525" i="10"/>
  <c r="E525" i="10"/>
  <c r="H524" i="10"/>
  <c r="F524" i="10"/>
  <c r="E524" i="10"/>
  <c r="F523" i="10"/>
  <c r="E523" i="10"/>
  <c r="F522" i="10"/>
  <c r="E522" i="10"/>
  <c r="F521" i="10"/>
  <c r="F520" i="10"/>
  <c r="E520" i="10"/>
  <c r="H519" i="10"/>
  <c r="F519" i="10"/>
  <c r="E519" i="10"/>
  <c r="F518" i="10"/>
  <c r="E518" i="10"/>
  <c r="F517" i="10"/>
  <c r="E517" i="10"/>
  <c r="F516" i="10"/>
  <c r="E516" i="10"/>
  <c r="F515" i="10"/>
  <c r="E515" i="10"/>
  <c r="F514" i="10"/>
  <c r="E514" i="10"/>
  <c r="F513" i="10"/>
  <c r="F512" i="10"/>
  <c r="F511" i="10"/>
  <c r="E511" i="10"/>
  <c r="F510" i="10"/>
  <c r="E510" i="10"/>
  <c r="F509" i="10"/>
  <c r="E509" i="10"/>
  <c r="F508" i="10"/>
  <c r="E508" i="10"/>
  <c r="F507" i="10"/>
  <c r="E507" i="10"/>
  <c r="H506" i="10"/>
  <c r="F506" i="10"/>
  <c r="E506" i="10"/>
  <c r="H505" i="10"/>
  <c r="F505" i="10"/>
  <c r="E505" i="10"/>
  <c r="H504" i="10"/>
  <c r="F504" i="10"/>
  <c r="E504" i="10"/>
  <c r="H503" i="10"/>
  <c r="F503" i="10"/>
  <c r="E503" i="10"/>
  <c r="H502" i="10"/>
  <c r="F502" i="10"/>
  <c r="E502" i="10"/>
  <c r="F501" i="10"/>
  <c r="E501" i="10"/>
  <c r="F500" i="10"/>
  <c r="E500" i="10"/>
  <c r="H499" i="10"/>
  <c r="F499" i="10"/>
  <c r="E499" i="10"/>
  <c r="F498" i="10"/>
  <c r="H497" i="10"/>
  <c r="F497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B444" i="10"/>
  <c r="B441" i="10"/>
  <c r="B440" i="10"/>
  <c r="B439" i="10"/>
  <c r="C438" i="10"/>
  <c r="B438" i="10"/>
  <c r="B437" i="10"/>
  <c r="D436" i="10"/>
  <c r="B436" i="10"/>
  <c r="B435" i="10"/>
  <c r="B434" i="10"/>
  <c r="B433" i="10"/>
  <c r="B432" i="10"/>
  <c r="C431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C418" i="10"/>
  <c r="B418" i="10"/>
  <c r="B417" i="10"/>
  <c r="B415" i="10"/>
  <c r="B414" i="10"/>
  <c r="A412" i="10"/>
  <c r="D390" i="10"/>
  <c r="D372" i="10"/>
  <c r="C365" i="10"/>
  <c r="BM730" i="10" s="1"/>
  <c r="D361" i="10"/>
  <c r="N817" i="10" s="1"/>
  <c r="D329" i="10"/>
  <c r="D328" i="10"/>
  <c r="D330" i="10" s="1"/>
  <c r="C327" i="10"/>
  <c r="AZ730" i="10" s="1"/>
  <c r="D319" i="10"/>
  <c r="D314" i="10"/>
  <c r="D290" i="10"/>
  <c r="D283" i="10"/>
  <c r="D275" i="10"/>
  <c r="D265" i="10"/>
  <c r="D260" i="10"/>
  <c r="D240" i="10"/>
  <c r="B447" i="10" s="1"/>
  <c r="D236" i="10"/>
  <c r="D229" i="10"/>
  <c r="B445" i="10" s="1"/>
  <c r="D221" i="10"/>
  <c r="CD722" i="10" s="1"/>
  <c r="D217" i="10"/>
  <c r="B217" i="10"/>
  <c r="E216" i="10"/>
  <c r="E215" i="10"/>
  <c r="E214" i="10"/>
  <c r="C213" i="10"/>
  <c r="C212" i="10"/>
  <c r="BF722" i="10" s="1"/>
  <c r="E211" i="10"/>
  <c r="E210" i="10"/>
  <c r="E209" i="10"/>
  <c r="B204" i="10"/>
  <c r="D203" i="10"/>
  <c r="AR722" i="10" s="1"/>
  <c r="C203" i="10"/>
  <c r="AQ722" i="10" s="1"/>
  <c r="E202" i="10"/>
  <c r="C474" i="10" s="1"/>
  <c r="C201" i="10"/>
  <c r="E201" i="10" s="1"/>
  <c r="E200" i="10"/>
  <c r="C200" i="10"/>
  <c r="AH722" i="10" s="1"/>
  <c r="C199" i="10"/>
  <c r="AE722" i="10" s="1"/>
  <c r="E198" i="10"/>
  <c r="C471" i="10" s="1"/>
  <c r="C197" i="10"/>
  <c r="Y722" i="10" s="1"/>
  <c r="E196" i="10"/>
  <c r="C469" i="10" s="1"/>
  <c r="E195" i="10"/>
  <c r="D190" i="10"/>
  <c r="D437" i="10" s="1"/>
  <c r="D186" i="10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E144" i="10"/>
  <c r="C417" i="10" s="1"/>
  <c r="E142" i="10"/>
  <c r="D464" i="10" s="1"/>
  <c r="E141" i="10"/>
  <c r="D463" i="10" s="1"/>
  <c r="D465" i="10" s="1"/>
  <c r="E140" i="10"/>
  <c r="E139" i="10"/>
  <c r="C415" i="10" s="1"/>
  <c r="E138" i="10"/>
  <c r="C414" i="10" s="1"/>
  <c r="E127" i="10"/>
  <c r="CE80" i="10"/>
  <c r="CF79" i="10"/>
  <c r="CE79" i="10"/>
  <c r="CE78" i="10"/>
  <c r="R816" i="10" s="1"/>
  <c r="CE77" i="10"/>
  <c r="Q816" i="10" s="1"/>
  <c r="CF76" i="10"/>
  <c r="CA52" i="10" s="1"/>
  <c r="CA67" i="10" s="1"/>
  <c r="J810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575" i="10" s="1"/>
  <c r="CE70" i="10"/>
  <c r="CD69" i="10"/>
  <c r="U813" i="10" s="1"/>
  <c r="U815" i="10" s="1"/>
  <c r="CC69" i="10"/>
  <c r="CE68" i="10"/>
  <c r="CE66" i="10"/>
  <c r="I816" i="10" s="1"/>
  <c r="CE65" i="10"/>
  <c r="H816" i="10" s="1"/>
  <c r="CE64" i="10"/>
  <c r="CE63" i="10"/>
  <c r="F816" i="10" s="1"/>
  <c r="CC62" i="10"/>
  <c r="BY62" i="10"/>
  <c r="BX62" i="10"/>
  <c r="BU62" i="10"/>
  <c r="BS62" i="10"/>
  <c r="E802" i="10" s="1"/>
  <c r="BM62" i="10"/>
  <c r="BI62" i="10"/>
  <c r="BH62" i="10"/>
  <c r="BE62" i="10"/>
  <c r="BC62" i="10"/>
  <c r="E786" i="10" s="1"/>
  <c r="BA62" i="10"/>
  <c r="AY62" i="10"/>
  <c r="E782" i="10" s="1"/>
  <c r="AW62" i="10"/>
  <c r="AU62" i="10"/>
  <c r="E778" i="10" s="1"/>
  <c r="AS62" i="10"/>
  <c r="AQ62" i="10"/>
  <c r="E774" i="10" s="1"/>
  <c r="AO62" i="10"/>
  <c r="AM62" i="10"/>
  <c r="E770" i="10" s="1"/>
  <c r="AK62" i="10"/>
  <c r="AI62" i="10"/>
  <c r="E766" i="10" s="1"/>
  <c r="AG62" i="10"/>
  <c r="AE62" i="10"/>
  <c r="E762" i="10" s="1"/>
  <c r="AC62" i="10"/>
  <c r="AA62" i="10"/>
  <c r="E758" i="10" s="1"/>
  <c r="Y62" i="10"/>
  <c r="W62" i="10"/>
  <c r="E754" i="10" s="1"/>
  <c r="U62" i="10"/>
  <c r="S62" i="10"/>
  <c r="E750" i="10" s="1"/>
  <c r="Q62" i="10"/>
  <c r="O62" i="10"/>
  <c r="E746" i="10" s="1"/>
  <c r="M62" i="10"/>
  <c r="K62" i="10"/>
  <c r="E742" i="10" s="1"/>
  <c r="I62" i="10"/>
  <c r="G62" i="10"/>
  <c r="E738" i="10" s="1"/>
  <c r="E62" i="10"/>
  <c r="C62" i="10"/>
  <c r="CE61" i="10"/>
  <c r="CC60" i="10"/>
  <c r="C812" i="10" s="1"/>
  <c r="E60" i="10"/>
  <c r="C736" i="10" s="1"/>
  <c r="C60" i="10"/>
  <c r="C734" i="10" s="1"/>
  <c r="AZ59" i="10"/>
  <c r="AY59" i="10"/>
  <c r="E59" i="10"/>
  <c r="B53" i="10"/>
  <c r="CC52" i="10"/>
  <c r="CC67" i="10" s="1"/>
  <c r="J812" i="10" s="1"/>
  <c r="CB52" i="10"/>
  <c r="CB67" i="10" s="1"/>
  <c r="J811" i="10" s="1"/>
  <c r="BZ52" i="10"/>
  <c r="BZ67" i="10" s="1"/>
  <c r="J809" i="10" s="1"/>
  <c r="BY52" i="10"/>
  <c r="BY67" i="10" s="1"/>
  <c r="J808" i="10" s="1"/>
  <c r="BX52" i="10"/>
  <c r="BX67" i="10" s="1"/>
  <c r="J807" i="10" s="1"/>
  <c r="BV52" i="10"/>
  <c r="BV67" i="10" s="1"/>
  <c r="J805" i="10" s="1"/>
  <c r="BU52" i="10"/>
  <c r="BU67" i="10" s="1"/>
  <c r="J804" i="10" s="1"/>
  <c r="BT52" i="10"/>
  <c r="BT67" i="10" s="1"/>
  <c r="J803" i="10" s="1"/>
  <c r="BR52" i="10"/>
  <c r="BR67" i="10" s="1"/>
  <c r="J801" i="10" s="1"/>
  <c r="BQ52" i="10"/>
  <c r="BQ67" i="10" s="1"/>
  <c r="J800" i="10" s="1"/>
  <c r="BP52" i="10"/>
  <c r="BP67" i="10" s="1"/>
  <c r="J799" i="10" s="1"/>
  <c r="BN52" i="10"/>
  <c r="BN67" i="10" s="1"/>
  <c r="J797" i="10" s="1"/>
  <c r="BM52" i="10"/>
  <c r="BM67" i="10" s="1"/>
  <c r="J796" i="10" s="1"/>
  <c r="BL52" i="10"/>
  <c r="BL67" i="10" s="1"/>
  <c r="J795" i="10" s="1"/>
  <c r="BJ52" i="10"/>
  <c r="BJ67" i="10" s="1"/>
  <c r="J793" i="10" s="1"/>
  <c r="BI52" i="10"/>
  <c r="BI67" i="10" s="1"/>
  <c r="J792" i="10" s="1"/>
  <c r="BH52" i="10"/>
  <c r="BH67" i="10" s="1"/>
  <c r="J791" i="10" s="1"/>
  <c r="BF52" i="10"/>
  <c r="BF67" i="10" s="1"/>
  <c r="J789" i="10" s="1"/>
  <c r="BE52" i="10"/>
  <c r="BE67" i="10" s="1"/>
  <c r="J788" i="10" s="1"/>
  <c r="BD52" i="10"/>
  <c r="BD67" i="10" s="1"/>
  <c r="J787" i="10" s="1"/>
  <c r="BB52" i="10"/>
  <c r="BB67" i="10" s="1"/>
  <c r="J785" i="10" s="1"/>
  <c r="BA52" i="10"/>
  <c r="BA67" i="10" s="1"/>
  <c r="J784" i="10" s="1"/>
  <c r="AZ52" i="10"/>
  <c r="AZ67" i="10" s="1"/>
  <c r="J783" i="10" s="1"/>
  <c r="AX52" i="10"/>
  <c r="AX67" i="10" s="1"/>
  <c r="J781" i="10" s="1"/>
  <c r="AW52" i="10"/>
  <c r="AW67" i="10" s="1"/>
  <c r="J780" i="10" s="1"/>
  <c r="AV52" i="10"/>
  <c r="AV67" i="10" s="1"/>
  <c r="J779" i="10" s="1"/>
  <c r="AT52" i="10"/>
  <c r="AT67" i="10" s="1"/>
  <c r="J777" i="10" s="1"/>
  <c r="AS52" i="10"/>
  <c r="AS67" i="10" s="1"/>
  <c r="J776" i="10" s="1"/>
  <c r="AR52" i="10"/>
  <c r="AR67" i="10" s="1"/>
  <c r="J775" i="10" s="1"/>
  <c r="AP52" i="10"/>
  <c r="AP67" i="10" s="1"/>
  <c r="J773" i="10" s="1"/>
  <c r="AO52" i="10"/>
  <c r="AO67" i="10" s="1"/>
  <c r="J772" i="10" s="1"/>
  <c r="AN52" i="10"/>
  <c r="AN67" i="10" s="1"/>
  <c r="J771" i="10" s="1"/>
  <c r="AL52" i="10"/>
  <c r="AL67" i="10" s="1"/>
  <c r="J769" i="10" s="1"/>
  <c r="AK52" i="10"/>
  <c r="AK67" i="10" s="1"/>
  <c r="J768" i="10" s="1"/>
  <c r="AJ52" i="10"/>
  <c r="AJ67" i="10" s="1"/>
  <c r="J767" i="10" s="1"/>
  <c r="AH52" i="10"/>
  <c r="AH67" i="10" s="1"/>
  <c r="J765" i="10" s="1"/>
  <c r="AG52" i="10"/>
  <c r="AG67" i="10" s="1"/>
  <c r="J764" i="10" s="1"/>
  <c r="AF52" i="10"/>
  <c r="AF67" i="10" s="1"/>
  <c r="J763" i="10" s="1"/>
  <c r="AD52" i="10"/>
  <c r="AD67" i="10" s="1"/>
  <c r="J761" i="10" s="1"/>
  <c r="AC52" i="10"/>
  <c r="AC67" i="10" s="1"/>
  <c r="J760" i="10" s="1"/>
  <c r="AB52" i="10"/>
  <c r="AB67" i="10" s="1"/>
  <c r="J759" i="10" s="1"/>
  <c r="Z52" i="10"/>
  <c r="Z67" i="10" s="1"/>
  <c r="J757" i="10" s="1"/>
  <c r="Y52" i="10"/>
  <c r="Y67" i="10" s="1"/>
  <c r="J756" i="10" s="1"/>
  <c r="X52" i="10"/>
  <c r="X67" i="10" s="1"/>
  <c r="J755" i="10" s="1"/>
  <c r="V52" i="10"/>
  <c r="V67" i="10" s="1"/>
  <c r="J753" i="10" s="1"/>
  <c r="U52" i="10"/>
  <c r="U67" i="10" s="1"/>
  <c r="J752" i="10" s="1"/>
  <c r="T52" i="10"/>
  <c r="T67" i="10" s="1"/>
  <c r="J751" i="10" s="1"/>
  <c r="R52" i="10"/>
  <c r="R67" i="10" s="1"/>
  <c r="J749" i="10" s="1"/>
  <c r="Q52" i="10"/>
  <c r="Q67" i="10" s="1"/>
  <c r="J748" i="10" s="1"/>
  <c r="P52" i="10"/>
  <c r="P67" i="10" s="1"/>
  <c r="J747" i="10" s="1"/>
  <c r="N52" i="10"/>
  <c r="N67" i="10" s="1"/>
  <c r="J745" i="10" s="1"/>
  <c r="M52" i="10"/>
  <c r="M67" i="10" s="1"/>
  <c r="J744" i="10" s="1"/>
  <c r="L52" i="10"/>
  <c r="L67" i="10" s="1"/>
  <c r="J743" i="10" s="1"/>
  <c r="J52" i="10"/>
  <c r="J67" i="10" s="1"/>
  <c r="J741" i="10" s="1"/>
  <c r="I52" i="10"/>
  <c r="I67" i="10" s="1"/>
  <c r="J740" i="10" s="1"/>
  <c r="H52" i="10"/>
  <c r="H67" i="10" s="1"/>
  <c r="J739" i="10" s="1"/>
  <c r="F52" i="10"/>
  <c r="F67" i="10" s="1"/>
  <c r="J737" i="10" s="1"/>
  <c r="E52" i="10"/>
  <c r="E67" i="10" s="1"/>
  <c r="J736" i="10" s="1"/>
  <c r="D52" i="10"/>
  <c r="D67" i="10" s="1"/>
  <c r="J735" i="10" s="1"/>
  <c r="CE51" i="10"/>
  <c r="B49" i="10"/>
  <c r="CC48" i="10"/>
  <c r="CB48" i="10"/>
  <c r="CB62" i="10" s="1"/>
  <c r="CA48" i="10"/>
  <c r="CA62" i="10" s="1"/>
  <c r="BZ48" i="10"/>
  <c r="BZ62" i="10" s="1"/>
  <c r="E809" i="10" s="1"/>
  <c r="BY48" i="10"/>
  <c r="BX48" i="10"/>
  <c r="BW48" i="10"/>
  <c r="BW62" i="10" s="1"/>
  <c r="BV48" i="10"/>
  <c r="BV62" i="10" s="1"/>
  <c r="E805" i="10" s="1"/>
  <c r="BU48" i="10"/>
  <c r="BT48" i="10"/>
  <c r="BT62" i="10" s="1"/>
  <c r="BS48" i="10"/>
  <c r="BR48" i="10"/>
  <c r="BR62" i="10" s="1"/>
  <c r="E801" i="10" s="1"/>
  <c r="BQ48" i="10"/>
  <c r="BQ62" i="10" s="1"/>
  <c r="BP48" i="10"/>
  <c r="BP62" i="10" s="1"/>
  <c r="BO48" i="10"/>
  <c r="BO62" i="10" s="1"/>
  <c r="BN48" i="10"/>
  <c r="BN62" i="10" s="1"/>
  <c r="E797" i="10" s="1"/>
  <c r="BM48" i="10"/>
  <c r="BL48" i="10"/>
  <c r="BL62" i="10" s="1"/>
  <c r="BK48" i="10"/>
  <c r="BK62" i="10" s="1"/>
  <c r="BJ48" i="10"/>
  <c r="BJ62" i="10" s="1"/>
  <c r="E793" i="10" s="1"/>
  <c r="BI48" i="10"/>
  <c r="BH48" i="10"/>
  <c r="BG48" i="10"/>
  <c r="BG62" i="10" s="1"/>
  <c r="BF48" i="10"/>
  <c r="BF62" i="10" s="1"/>
  <c r="E789" i="10" s="1"/>
  <c r="BE48" i="10"/>
  <c r="BD48" i="10"/>
  <c r="BD62" i="10" s="1"/>
  <c r="BC48" i="10"/>
  <c r="BB48" i="10"/>
  <c r="BB62" i="10" s="1"/>
  <c r="BA48" i="10"/>
  <c r="AZ48" i="10"/>
  <c r="AZ62" i="10" s="1"/>
  <c r="AY48" i="10"/>
  <c r="AX48" i="10"/>
  <c r="AX62" i="10" s="1"/>
  <c r="AW48" i="10"/>
  <c r="AV48" i="10"/>
  <c r="AV62" i="10" s="1"/>
  <c r="AU48" i="10"/>
  <c r="AT48" i="10"/>
  <c r="AT62" i="10" s="1"/>
  <c r="AS48" i="10"/>
  <c r="AR48" i="10"/>
  <c r="AR62" i="10" s="1"/>
  <c r="AQ48" i="10"/>
  <c r="AP48" i="10"/>
  <c r="AP62" i="10" s="1"/>
  <c r="AO48" i="10"/>
  <c r="AN48" i="10"/>
  <c r="AN62" i="10" s="1"/>
  <c r="AM48" i="10"/>
  <c r="AL48" i="10"/>
  <c r="AL62" i="10" s="1"/>
  <c r="AK48" i="10"/>
  <c r="AJ48" i="10"/>
  <c r="AJ62" i="10" s="1"/>
  <c r="AI48" i="10"/>
  <c r="AH48" i="10"/>
  <c r="AH62" i="10" s="1"/>
  <c r="AG48" i="10"/>
  <c r="AF48" i="10"/>
  <c r="AF62" i="10" s="1"/>
  <c r="AE48" i="10"/>
  <c r="AD48" i="10"/>
  <c r="AD62" i="10" s="1"/>
  <c r="AC48" i="10"/>
  <c r="AB48" i="10"/>
  <c r="AB62" i="10" s="1"/>
  <c r="AA48" i="10"/>
  <c r="Z48" i="10"/>
  <c r="Z62" i="10" s="1"/>
  <c r="Y48" i="10"/>
  <c r="X48" i="10"/>
  <c r="X62" i="10" s="1"/>
  <c r="W48" i="10"/>
  <c r="V48" i="10"/>
  <c r="V62" i="10" s="1"/>
  <c r="U48" i="10"/>
  <c r="T48" i="10"/>
  <c r="T62" i="10" s="1"/>
  <c r="S48" i="10"/>
  <c r="R48" i="10"/>
  <c r="R62" i="10" s="1"/>
  <c r="Q48" i="10"/>
  <c r="P48" i="10"/>
  <c r="P62" i="10" s="1"/>
  <c r="O48" i="10"/>
  <c r="N48" i="10"/>
  <c r="N62" i="10" s="1"/>
  <c r="M48" i="10"/>
  <c r="L48" i="10"/>
  <c r="L62" i="10" s="1"/>
  <c r="K48" i="10"/>
  <c r="J48" i="10"/>
  <c r="J62" i="10" s="1"/>
  <c r="I48" i="10"/>
  <c r="H48" i="10"/>
  <c r="H62" i="10" s="1"/>
  <c r="G48" i="10"/>
  <c r="F48" i="10"/>
  <c r="CE48" i="10" s="1"/>
  <c r="E48" i="10"/>
  <c r="D48" i="10"/>
  <c r="D62" i="10" s="1"/>
  <c r="C48" i="10"/>
  <c r="CE47" i="10"/>
  <c r="CC47" i="10"/>
  <c r="E745" i="10" l="1"/>
  <c r="N71" i="10"/>
  <c r="E757" i="10"/>
  <c r="Z71" i="10"/>
  <c r="E769" i="10"/>
  <c r="AL71" i="10"/>
  <c r="E777" i="10"/>
  <c r="AT71" i="10"/>
  <c r="E794" i="10"/>
  <c r="E806" i="10"/>
  <c r="E739" i="10"/>
  <c r="H71" i="10"/>
  <c r="E747" i="10"/>
  <c r="P71" i="10"/>
  <c r="E759" i="10"/>
  <c r="AB71" i="10"/>
  <c r="E763" i="10"/>
  <c r="AF71" i="10"/>
  <c r="E775" i="10"/>
  <c r="AR71" i="10"/>
  <c r="E783" i="10"/>
  <c r="AZ71" i="10"/>
  <c r="E787" i="10"/>
  <c r="BD71" i="10"/>
  <c r="E799" i="10"/>
  <c r="BP71" i="10"/>
  <c r="E811" i="10"/>
  <c r="CB71" i="10"/>
  <c r="E800" i="10"/>
  <c r="BQ71" i="10"/>
  <c r="E749" i="10"/>
  <c r="R71" i="10"/>
  <c r="E761" i="10"/>
  <c r="AD71" i="10"/>
  <c r="E773" i="10"/>
  <c r="AP71" i="10"/>
  <c r="E785" i="10"/>
  <c r="BB71" i="10"/>
  <c r="E790" i="10"/>
  <c r="BG71" i="10"/>
  <c r="E741" i="10"/>
  <c r="J71" i="10"/>
  <c r="E753" i="10"/>
  <c r="V71" i="10"/>
  <c r="E765" i="10"/>
  <c r="AH71" i="10"/>
  <c r="E781" i="10"/>
  <c r="AX71" i="10"/>
  <c r="E798" i="10"/>
  <c r="E810" i="10"/>
  <c r="CA71" i="10"/>
  <c r="E735" i="10"/>
  <c r="D71" i="10"/>
  <c r="E743" i="10"/>
  <c r="L71" i="10"/>
  <c r="E751" i="10"/>
  <c r="T71" i="10"/>
  <c r="E755" i="10"/>
  <c r="X71" i="10"/>
  <c r="E767" i="10"/>
  <c r="AJ71" i="10"/>
  <c r="E771" i="10"/>
  <c r="AN71" i="10"/>
  <c r="E779" i="10"/>
  <c r="AV71" i="10"/>
  <c r="BL71" i="10"/>
  <c r="E795" i="10"/>
  <c r="E803" i="10"/>
  <c r="BT71" i="10"/>
  <c r="B736" i="10"/>
  <c r="E498" i="10"/>
  <c r="E734" i="10"/>
  <c r="E796" i="10"/>
  <c r="BM71" i="10"/>
  <c r="E807" i="10"/>
  <c r="BX71" i="10"/>
  <c r="K816" i="10"/>
  <c r="C434" i="10"/>
  <c r="S71" i="10"/>
  <c r="CE60" i="10"/>
  <c r="E740" i="10"/>
  <c r="I71" i="10"/>
  <c r="E748" i="10"/>
  <c r="Q71" i="10"/>
  <c r="E756" i="10"/>
  <c r="Y71" i="10"/>
  <c r="E760" i="10"/>
  <c r="AC71" i="10"/>
  <c r="E768" i="10"/>
  <c r="AK71" i="10"/>
  <c r="E776" i="10"/>
  <c r="AS71" i="10"/>
  <c r="E784" i="10"/>
  <c r="BA71" i="10"/>
  <c r="G816" i="10"/>
  <c r="C430" i="10"/>
  <c r="C52" i="10"/>
  <c r="G52" i="10"/>
  <c r="G67" i="10" s="1"/>
  <c r="J738" i="10" s="1"/>
  <c r="K52" i="10"/>
  <c r="K67" i="10" s="1"/>
  <c r="J742" i="10" s="1"/>
  <c r="O52" i="10"/>
  <c r="O67" i="10" s="1"/>
  <c r="J746" i="10" s="1"/>
  <c r="S52" i="10"/>
  <c r="S67" i="10" s="1"/>
  <c r="J750" i="10" s="1"/>
  <c r="W52" i="10"/>
  <c r="W67" i="10" s="1"/>
  <c r="J754" i="10" s="1"/>
  <c r="AA52" i="10"/>
  <c r="AA67" i="10" s="1"/>
  <c r="J758" i="10" s="1"/>
  <c r="AE52" i="10"/>
  <c r="AE67" i="10" s="1"/>
  <c r="J762" i="10" s="1"/>
  <c r="AI52" i="10"/>
  <c r="AI67" i="10" s="1"/>
  <c r="J766" i="10" s="1"/>
  <c r="AM52" i="10"/>
  <c r="AM67" i="10" s="1"/>
  <c r="J770" i="10" s="1"/>
  <c r="AQ52" i="10"/>
  <c r="AQ67" i="10" s="1"/>
  <c r="J774" i="10" s="1"/>
  <c r="AU52" i="10"/>
  <c r="AU67" i="10" s="1"/>
  <c r="J778" i="10" s="1"/>
  <c r="AY52" i="10"/>
  <c r="AY67" i="10" s="1"/>
  <c r="J782" i="10" s="1"/>
  <c r="BC52" i="10"/>
  <c r="BC67" i="10" s="1"/>
  <c r="J786" i="10" s="1"/>
  <c r="BG52" i="10"/>
  <c r="BG67" i="10" s="1"/>
  <c r="J790" i="10" s="1"/>
  <c r="BK52" i="10"/>
  <c r="BK67" i="10" s="1"/>
  <c r="J794" i="10" s="1"/>
  <c r="BO52" i="10"/>
  <c r="BO67" i="10" s="1"/>
  <c r="J798" i="10" s="1"/>
  <c r="BS52" i="10"/>
  <c r="BS67" i="10" s="1"/>
  <c r="J802" i="10" s="1"/>
  <c r="BW52" i="10"/>
  <c r="BW67" i="10" s="1"/>
  <c r="J806" i="10" s="1"/>
  <c r="C815" i="10"/>
  <c r="D816" i="10"/>
  <c r="C427" i="10"/>
  <c r="F62" i="10"/>
  <c r="M816" i="10"/>
  <c r="C458" i="10"/>
  <c r="BF71" i="10"/>
  <c r="BN71" i="10"/>
  <c r="BV71" i="10"/>
  <c r="N734" i="10"/>
  <c r="N815" i="10" s="1"/>
  <c r="CE75" i="10"/>
  <c r="C473" i="10"/>
  <c r="B476" i="10"/>
  <c r="D277" i="10"/>
  <c r="D292" i="10" s="1"/>
  <c r="D341" i="10" s="1"/>
  <c r="C481" i="10" s="1"/>
  <c r="D339" i="10"/>
  <c r="C482" i="10" s="1"/>
  <c r="G815" i="10"/>
  <c r="E791" i="10"/>
  <c r="BH71" i="10"/>
  <c r="E812" i="10"/>
  <c r="CC71" i="10"/>
  <c r="AA71" i="10"/>
  <c r="AY71" i="10"/>
  <c r="B782" i="10"/>
  <c r="CF77" i="10"/>
  <c r="E544" i="10"/>
  <c r="E792" i="10"/>
  <c r="BI71" i="10"/>
  <c r="E808" i="10"/>
  <c r="BY71" i="10"/>
  <c r="L812" i="10"/>
  <c r="L815" i="10" s="1"/>
  <c r="C439" i="10"/>
  <c r="CE69" i="10"/>
  <c r="BJ71" i="10"/>
  <c r="BR71" i="10"/>
  <c r="BZ71" i="10"/>
  <c r="S816" i="10"/>
  <c r="J612" i="10"/>
  <c r="C468" i="10"/>
  <c r="C204" i="10"/>
  <c r="C429" i="10"/>
  <c r="K71" i="10"/>
  <c r="B783" i="10"/>
  <c r="E545" i="10"/>
  <c r="E736" i="10"/>
  <c r="E71" i="10"/>
  <c r="E744" i="10"/>
  <c r="M71" i="10"/>
  <c r="E752" i="10"/>
  <c r="U71" i="10"/>
  <c r="E764" i="10"/>
  <c r="AG71" i="10"/>
  <c r="E772" i="10"/>
  <c r="AO71" i="10"/>
  <c r="E780" i="10"/>
  <c r="AW71" i="10"/>
  <c r="E788" i="10"/>
  <c r="BE71" i="10"/>
  <c r="E804" i="10"/>
  <c r="BU71" i="10"/>
  <c r="G71" i="10"/>
  <c r="AE71" i="10"/>
  <c r="AM71" i="10"/>
  <c r="BI722" i="10"/>
  <c r="E213" i="10"/>
  <c r="D415" i="10"/>
  <c r="F612" i="10"/>
  <c r="P816" i="10"/>
  <c r="D612" i="10"/>
  <c r="E197" i="10"/>
  <c r="C470" i="10" s="1"/>
  <c r="E212" i="10"/>
  <c r="E217" i="10" s="1"/>
  <c r="C478" i="10" s="1"/>
  <c r="D367" i="10"/>
  <c r="B465" i="10"/>
  <c r="D204" i="10"/>
  <c r="D242" i="10"/>
  <c r="B448" i="10" s="1"/>
  <c r="D438" i="10"/>
  <c r="G612" i="10"/>
  <c r="T816" i="10"/>
  <c r="L612" i="10"/>
  <c r="E199" i="10"/>
  <c r="C472" i="10" s="1"/>
  <c r="E203" i="10"/>
  <c r="C475" i="10" s="1"/>
  <c r="C217" i="10"/>
  <c r="D433" i="10" s="1"/>
  <c r="C432" i="10"/>
  <c r="C463" i="10"/>
  <c r="I612" i="10"/>
  <c r="C615" i="10"/>
  <c r="K815" i="10"/>
  <c r="H815" i="10"/>
  <c r="M815" i="10"/>
  <c r="R815" i="10"/>
  <c r="Q815" i="10"/>
  <c r="I815" i="10"/>
  <c r="F815" i="10"/>
  <c r="P815" i="10"/>
  <c r="T815" i="10"/>
  <c r="C448" i="10" l="1"/>
  <c r="D368" i="10"/>
  <c r="D373" i="10" s="1"/>
  <c r="D391" i="10" s="1"/>
  <c r="D393" i="10" s="1"/>
  <c r="D396" i="10" s="1"/>
  <c r="C672" i="10"/>
  <c r="C500" i="10"/>
  <c r="E204" i="10"/>
  <c r="C476" i="10" s="1"/>
  <c r="C690" i="10"/>
  <c r="C518" i="10"/>
  <c r="AU71" i="10"/>
  <c r="O71" i="10"/>
  <c r="C614" i="10"/>
  <c r="C550" i="10"/>
  <c r="C706" i="10"/>
  <c r="C534" i="10"/>
  <c r="G534" i="10" s="1"/>
  <c r="C686" i="10"/>
  <c r="C514" i="10"/>
  <c r="C498" i="10"/>
  <c r="C670" i="10"/>
  <c r="AI71" i="10"/>
  <c r="C646" i="10"/>
  <c r="C571" i="10"/>
  <c r="C554" i="10"/>
  <c r="C634" i="10"/>
  <c r="C620" i="10"/>
  <c r="C574" i="10"/>
  <c r="C559" i="10"/>
  <c r="C619" i="10"/>
  <c r="E737" i="10"/>
  <c r="E815" i="10" s="1"/>
  <c r="F71" i="10"/>
  <c r="AQ71" i="10"/>
  <c r="C569" i="10"/>
  <c r="C644" i="10"/>
  <c r="CE62" i="10"/>
  <c r="C565" i="10"/>
  <c r="C640" i="10"/>
  <c r="C713" i="10"/>
  <c r="C541" i="10"/>
  <c r="C701" i="10"/>
  <c r="C529" i="10"/>
  <c r="C685" i="10"/>
  <c r="C513" i="10"/>
  <c r="C497" i="10"/>
  <c r="G497" i="10" s="1"/>
  <c r="C669" i="10"/>
  <c r="BO71" i="10"/>
  <c r="C699" i="10"/>
  <c r="C527" i="10"/>
  <c r="G527" i="10" s="1"/>
  <c r="C675" i="10"/>
  <c r="C503" i="10"/>
  <c r="G503" i="10" s="1"/>
  <c r="C547" i="10"/>
  <c r="C632" i="10"/>
  <c r="C695" i="10"/>
  <c r="C523" i="10"/>
  <c r="C623" i="10"/>
  <c r="C562" i="10"/>
  <c r="C621" i="10"/>
  <c r="C561" i="10"/>
  <c r="C628" i="10"/>
  <c r="C545" i="10"/>
  <c r="C697" i="10"/>
  <c r="C525" i="10"/>
  <c r="G525" i="10" s="1"/>
  <c r="C681" i="10"/>
  <c r="C509" i="10"/>
  <c r="BW71" i="10"/>
  <c r="C711" i="10"/>
  <c r="C539" i="10"/>
  <c r="G539" i="10" s="1"/>
  <c r="C519" i="10"/>
  <c r="G519" i="10" s="1"/>
  <c r="C691" i="10"/>
  <c r="C704" i="10"/>
  <c r="C532" i="10"/>
  <c r="G532" i="10" s="1"/>
  <c r="C676" i="10"/>
  <c r="C504" i="10"/>
  <c r="G504" i="10" s="1"/>
  <c r="C544" i="10"/>
  <c r="C625" i="10"/>
  <c r="N816" i="10"/>
  <c r="C465" i="10"/>
  <c r="K612" i="10"/>
  <c r="C629" i="10"/>
  <c r="C551" i="10"/>
  <c r="C630" i="10"/>
  <c r="C546" i="10"/>
  <c r="C674" i="10"/>
  <c r="C502" i="10"/>
  <c r="G502" i="10" s="1"/>
  <c r="BS71" i="10"/>
  <c r="C696" i="10"/>
  <c r="C524" i="10"/>
  <c r="G524" i="10" s="1"/>
  <c r="C641" i="10"/>
  <c r="C566" i="10"/>
  <c r="C631" i="10"/>
  <c r="C542" i="10"/>
  <c r="C698" i="10"/>
  <c r="C526" i="10"/>
  <c r="C678" i="10"/>
  <c r="C506" i="10"/>
  <c r="G506" i="10" s="1"/>
  <c r="C617" i="10"/>
  <c r="C555" i="10"/>
  <c r="C570" i="10"/>
  <c r="C645" i="10"/>
  <c r="C692" i="10"/>
  <c r="C520" i="10"/>
  <c r="C553" i="10"/>
  <c r="C636" i="10"/>
  <c r="C67" i="10"/>
  <c r="CE52" i="10"/>
  <c r="C558" i="10"/>
  <c r="C638" i="10"/>
  <c r="C705" i="10"/>
  <c r="C533" i="10"/>
  <c r="G533" i="10" s="1"/>
  <c r="C689" i="10"/>
  <c r="C517" i="10"/>
  <c r="C677" i="10"/>
  <c r="C505" i="10"/>
  <c r="G505" i="10" s="1"/>
  <c r="C572" i="10"/>
  <c r="C647" i="10"/>
  <c r="C616" i="10"/>
  <c r="C543" i="10"/>
  <c r="C687" i="10"/>
  <c r="C515" i="10"/>
  <c r="C618" i="10"/>
  <c r="C552" i="10"/>
  <c r="C707" i="10"/>
  <c r="C535" i="10"/>
  <c r="G535" i="10" s="1"/>
  <c r="C683" i="10"/>
  <c r="C511" i="10"/>
  <c r="C622" i="10"/>
  <c r="C573" i="10"/>
  <c r="C549" i="10"/>
  <c r="C624" i="10"/>
  <c r="C709" i="10"/>
  <c r="C537" i="10"/>
  <c r="G537" i="10" s="1"/>
  <c r="C521" i="10"/>
  <c r="C693" i="10"/>
  <c r="C673" i="10"/>
  <c r="C501" i="10"/>
  <c r="BK71" i="10"/>
  <c r="C703" i="10"/>
  <c r="C531" i="10"/>
  <c r="G531" i="10" s="1"/>
  <c r="C507" i="10"/>
  <c r="C679" i="10"/>
  <c r="C563" i="10"/>
  <c r="C626" i="10"/>
  <c r="C702" i="10"/>
  <c r="C530" i="10"/>
  <c r="G530" i="10" s="1"/>
  <c r="C684" i="10"/>
  <c r="C512" i="10"/>
  <c r="BC71" i="10"/>
  <c r="W71" i="10"/>
  <c r="L816" i="10"/>
  <c r="C440" i="10"/>
  <c r="C567" i="10"/>
  <c r="C642" i="10"/>
  <c r="C710" i="10"/>
  <c r="C538" i="10"/>
  <c r="G538" i="10" s="1"/>
  <c r="C694" i="10"/>
  <c r="C522" i="10"/>
  <c r="C682" i="10"/>
  <c r="C510" i="10"/>
  <c r="C816" i="10"/>
  <c r="BI730" i="10"/>
  <c r="H612" i="10"/>
  <c r="C637" i="10"/>
  <c r="C557" i="10"/>
  <c r="H520" i="10" l="1"/>
  <c r="G520" i="10"/>
  <c r="G526" i="10"/>
  <c r="H526" i="10" s="1"/>
  <c r="C564" i="10"/>
  <c r="C639" i="10"/>
  <c r="C700" i="10"/>
  <c r="C528" i="10"/>
  <c r="G528" i="10" s="1"/>
  <c r="G522" i="10"/>
  <c r="H522" i="10"/>
  <c r="C556" i="10"/>
  <c r="C635" i="10"/>
  <c r="H521" i="10"/>
  <c r="G521" i="10"/>
  <c r="H509" i="10"/>
  <c r="G509" i="10"/>
  <c r="G545" i="10"/>
  <c r="H545" i="10"/>
  <c r="C548" i="10"/>
  <c r="C633" i="10"/>
  <c r="G507" i="10"/>
  <c r="H507" i="10"/>
  <c r="H515" i="10"/>
  <c r="G515" i="10"/>
  <c r="G517" i="10"/>
  <c r="H517" i="10"/>
  <c r="G513" i="10"/>
  <c r="H513" i="10"/>
  <c r="E816" i="10"/>
  <c r="C428" i="10"/>
  <c r="C671" i="10"/>
  <c r="C499" i="10"/>
  <c r="G499" i="10" s="1"/>
  <c r="G498" i="10"/>
  <c r="H498" i="10" s="1"/>
  <c r="C712" i="10"/>
  <c r="C540" i="10"/>
  <c r="G540" i="10" s="1"/>
  <c r="G510" i="10"/>
  <c r="H510" i="10" s="1"/>
  <c r="G512" i="10"/>
  <c r="H512" i="10"/>
  <c r="G546" i="10"/>
  <c r="H546" i="10"/>
  <c r="G544" i="10"/>
  <c r="H544" i="10" s="1"/>
  <c r="G523" i="10"/>
  <c r="H523" i="10"/>
  <c r="C560" i="10"/>
  <c r="C627" i="10"/>
  <c r="C648" i="10" s="1"/>
  <c r="M716" i="10" s="1"/>
  <c r="Y816" i="10" s="1"/>
  <c r="G514" i="10"/>
  <c r="H514" i="10"/>
  <c r="G550" i="10"/>
  <c r="H550" i="10"/>
  <c r="G500" i="10"/>
  <c r="H500" i="10"/>
  <c r="G511" i="10"/>
  <c r="H511" i="10"/>
  <c r="D615" i="10"/>
  <c r="C688" i="10"/>
  <c r="C516" i="10"/>
  <c r="J734" i="10"/>
  <c r="J815" i="10" s="1"/>
  <c r="CE67" i="10"/>
  <c r="C71" i="10"/>
  <c r="C708" i="10"/>
  <c r="C536" i="10"/>
  <c r="G536" i="10" s="1"/>
  <c r="C680" i="10"/>
  <c r="C508" i="10"/>
  <c r="C568" i="10"/>
  <c r="C643" i="10"/>
  <c r="G529" i="10"/>
  <c r="H529" i="10"/>
  <c r="G518" i="10"/>
  <c r="H518" i="10"/>
  <c r="G501" i="10"/>
  <c r="H501" i="10" s="1"/>
  <c r="G508" i="10" l="1"/>
  <c r="H508" i="10"/>
  <c r="J816" i="10"/>
  <c r="C433" i="10"/>
  <c r="C441" i="10" s="1"/>
  <c r="H516" i="10"/>
  <c r="G516" i="10"/>
  <c r="C715" i="10"/>
  <c r="C668" i="10"/>
  <c r="C496" i="10"/>
  <c r="D716" i="10"/>
  <c r="D713" i="10"/>
  <c r="D709" i="10"/>
  <c r="D705" i="10"/>
  <c r="D701" i="10"/>
  <c r="D697" i="10"/>
  <c r="D711" i="10"/>
  <c r="D707" i="10"/>
  <c r="D703" i="10"/>
  <c r="D699" i="10"/>
  <c r="D695" i="10"/>
  <c r="D691" i="10"/>
  <c r="D687" i="10"/>
  <c r="D710" i="10"/>
  <c r="D702" i="10"/>
  <c r="D682" i="10"/>
  <c r="D678" i="10"/>
  <c r="D674" i="10"/>
  <c r="D712" i="10"/>
  <c r="D704" i="10"/>
  <c r="D696" i="10"/>
  <c r="D694" i="10"/>
  <c r="D693" i="10"/>
  <c r="D692" i="10"/>
  <c r="D683" i="10"/>
  <c r="D679" i="10"/>
  <c r="D675" i="10"/>
  <c r="D708" i="10"/>
  <c r="D700" i="10"/>
  <c r="D686" i="10"/>
  <c r="D685" i="10"/>
  <c r="D684" i="10"/>
  <c r="D681" i="10"/>
  <c r="D677" i="10"/>
  <c r="D673" i="10"/>
  <c r="D669" i="10"/>
  <c r="D627" i="10"/>
  <c r="D690" i="10"/>
  <c r="D688" i="10"/>
  <c r="D646" i="10"/>
  <c r="D620" i="10"/>
  <c r="D617" i="10"/>
  <c r="D644" i="10"/>
  <c r="D642" i="10"/>
  <c r="D640" i="10"/>
  <c r="D638" i="10"/>
  <c r="D636" i="10"/>
  <c r="D634" i="10"/>
  <c r="D632" i="10"/>
  <c r="D630" i="10"/>
  <c r="D624" i="10"/>
  <c r="D622" i="10"/>
  <c r="D619" i="10"/>
  <c r="D706" i="10"/>
  <c r="D680" i="10"/>
  <c r="D672" i="10"/>
  <c r="D668" i="10"/>
  <c r="D643" i="10"/>
  <c r="D641" i="10"/>
  <c r="D639" i="10"/>
  <c r="D637" i="10"/>
  <c r="D635" i="10"/>
  <c r="D633" i="10"/>
  <c r="D631" i="10"/>
  <c r="D628" i="10"/>
  <c r="D623" i="10"/>
  <c r="D618" i="10"/>
  <c r="D621" i="10"/>
  <c r="D689" i="10"/>
  <c r="D676" i="10"/>
  <c r="D645" i="10"/>
  <c r="D625" i="10"/>
  <c r="D670" i="10"/>
  <c r="D626" i="10"/>
  <c r="D698" i="10"/>
  <c r="D671" i="10"/>
  <c r="D647" i="10"/>
  <c r="D629" i="10"/>
  <c r="D616" i="10"/>
  <c r="CE71" i="10"/>
  <c r="C716" i="10" s="1"/>
  <c r="G496" i="10" l="1"/>
  <c r="H496" i="10" s="1"/>
  <c r="D715" i="10"/>
  <c r="E623" i="10"/>
  <c r="E612" i="10"/>
  <c r="E713" i="10" l="1"/>
  <c r="E710" i="10"/>
  <c r="E706" i="10"/>
  <c r="E702" i="10"/>
  <c r="E698" i="10"/>
  <c r="E712" i="10"/>
  <c r="E708" i="10"/>
  <c r="E704" i="10"/>
  <c r="E700" i="10"/>
  <c r="E696" i="10"/>
  <c r="E692" i="10"/>
  <c r="E688" i="10"/>
  <c r="E684" i="10"/>
  <c r="E707" i="10"/>
  <c r="E699" i="10"/>
  <c r="E694" i="10"/>
  <c r="E693" i="10"/>
  <c r="E683" i="10"/>
  <c r="E679" i="10"/>
  <c r="E675" i="10"/>
  <c r="E716" i="10"/>
  <c r="E709" i="10"/>
  <c r="E701" i="10"/>
  <c r="E691" i="10"/>
  <c r="E690" i="10"/>
  <c r="E689" i="10"/>
  <c r="E680" i="10"/>
  <c r="E676" i="10"/>
  <c r="E672" i="10"/>
  <c r="E705" i="10"/>
  <c r="E697" i="10"/>
  <c r="E682" i="10"/>
  <c r="E678" i="10"/>
  <c r="E674" i="10"/>
  <c r="E670" i="10"/>
  <c r="E647" i="10"/>
  <c r="E646" i="10"/>
  <c r="E645" i="10"/>
  <c r="E629" i="10"/>
  <c r="E626" i="10"/>
  <c r="E711" i="10"/>
  <c r="E686" i="10"/>
  <c r="E681" i="10"/>
  <c r="E644" i="10"/>
  <c r="E642" i="10"/>
  <c r="E640" i="10"/>
  <c r="E638" i="10"/>
  <c r="E636" i="10"/>
  <c r="E634" i="10"/>
  <c r="E632" i="10"/>
  <c r="E630" i="10"/>
  <c r="E624" i="10"/>
  <c r="E671" i="10"/>
  <c r="E625" i="10"/>
  <c r="E703" i="10"/>
  <c r="E677" i="10"/>
  <c r="E685" i="10"/>
  <c r="E673" i="10"/>
  <c r="E641" i="10"/>
  <c r="E633" i="10"/>
  <c r="E627" i="10"/>
  <c r="E668" i="10"/>
  <c r="E643" i="10"/>
  <c r="E635" i="10"/>
  <c r="E695" i="10"/>
  <c r="E687" i="10"/>
  <c r="E669" i="10"/>
  <c r="E639" i="10"/>
  <c r="E631" i="10"/>
  <c r="E628" i="10"/>
  <c r="E637" i="10"/>
  <c r="E715" i="10" l="1"/>
  <c r="F624" i="10"/>
  <c r="F711" i="10" l="1"/>
  <c r="F707" i="10"/>
  <c r="F703" i="10"/>
  <c r="F699" i="10"/>
  <c r="F695" i="10"/>
  <c r="F716" i="10"/>
  <c r="F709" i="10"/>
  <c r="F705" i="10"/>
  <c r="F701" i="10"/>
  <c r="F697" i="10"/>
  <c r="F693" i="10"/>
  <c r="F689" i="10"/>
  <c r="F685" i="10"/>
  <c r="F712" i="10"/>
  <c r="F704" i="10"/>
  <c r="F696" i="10"/>
  <c r="F692" i="10"/>
  <c r="F691" i="10"/>
  <c r="F690" i="10"/>
  <c r="F680" i="10"/>
  <c r="F676" i="10"/>
  <c r="F706" i="10"/>
  <c r="F698" i="10"/>
  <c r="F688" i="10"/>
  <c r="F687" i="10"/>
  <c r="F686" i="10"/>
  <c r="F681" i="10"/>
  <c r="F677" i="10"/>
  <c r="F673" i="10"/>
  <c r="F713" i="10"/>
  <c r="F710" i="10"/>
  <c r="F702" i="10"/>
  <c r="F694" i="10"/>
  <c r="F683" i="10"/>
  <c r="F679" i="10"/>
  <c r="F675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8" i="10"/>
  <c r="F684" i="10"/>
  <c r="F678" i="10"/>
  <c r="F682" i="10"/>
  <c r="F670" i="10"/>
  <c r="F669" i="10"/>
  <c r="F668" i="10"/>
  <c r="F647" i="10"/>
  <c r="F645" i="10"/>
  <c r="F629" i="10"/>
  <c r="F628" i="10"/>
  <c r="F627" i="10"/>
  <c r="F626" i="10"/>
  <c r="F700" i="10"/>
  <c r="F674" i="10"/>
  <c r="F646" i="10"/>
  <c r="F672" i="10"/>
  <c r="F715" i="10" l="1"/>
  <c r="G625" i="10"/>
  <c r="G716" i="10" l="1"/>
  <c r="G712" i="10"/>
  <c r="G708" i="10"/>
  <c r="G704" i="10"/>
  <c r="G700" i="10"/>
  <c r="G696" i="10"/>
  <c r="G713" i="10"/>
  <c r="G710" i="10"/>
  <c r="G706" i="10"/>
  <c r="G702" i="10"/>
  <c r="G698" i="10"/>
  <c r="G694" i="10"/>
  <c r="G690" i="10"/>
  <c r="G686" i="10"/>
  <c r="G709" i="10"/>
  <c r="G701" i="10"/>
  <c r="G689" i="10"/>
  <c r="G688" i="10"/>
  <c r="G687" i="10"/>
  <c r="G681" i="10"/>
  <c r="G677" i="10"/>
  <c r="G673" i="10"/>
  <c r="G711" i="10"/>
  <c r="G703" i="10"/>
  <c r="G695" i="10"/>
  <c r="G685" i="10"/>
  <c r="G684" i="10"/>
  <c r="G682" i="10"/>
  <c r="G678" i="10"/>
  <c r="G674" i="10"/>
  <c r="G707" i="10"/>
  <c r="G699" i="10"/>
  <c r="G693" i="10"/>
  <c r="G692" i="10"/>
  <c r="G691" i="10"/>
  <c r="G680" i="10"/>
  <c r="G676" i="10"/>
  <c r="G672" i="10"/>
  <c r="G668" i="10"/>
  <c r="G628" i="10"/>
  <c r="H628" i="10" s="1"/>
  <c r="G705" i="10"/>
  <c r="G675" i="10"/>
  <c r="G671" i="10"/>
  <c r="G670" i="10"/>
  <c r="G669" i="10"/>
  <c r="G647" i="10"/>
  <c r="G645" i="10"/>
  <c r="G629" i="10"/>
  <c r="G627" i="10"/>
  <c r="G626" i="10"/>
  <c r="G679" i="10"/>
  <c r="G643" i="10"/>
  <c r="G641" i="10"/>
  <c r="G639" i="10"/>
  <c r="G637" i="10"/>
  <c r="G635" i="10"/>
  <c r="G633" i="10"/>
  <c r="G631" i="10"/>
  <c r="G697" i="10"/>
  <c r="G644" i="10"/>
  <c r="G642" i="10"/>
  <c r="G640" i="10"/>
  <c r="G638" i="10"/>
  <c r="G636" i="10"/>
  <c r="G634" i="10"/>
  <c r="G632" i="10"/>
  <c r="G630" i="10"/>
  <c r="G646" i="10"/>
  <c r="G683" i="10"/>
  <c r="H716" i="10" l="1"/>
  <c r="H709" i="10"/>
  <c r="H705" i="10"/>
  <c r="H701" i="10"/>
  <c r="H697" i="10"/>
  <c r="H711" i="10"/>
  <c r="H707" i="10"/>
  <c r="H703" i="10"/>
  <c r="H699" i="10"/>
  <c r="H695" i="10"/>
  <c r="H691" i="10"/>
  <c r="H687" i="10"/>
  <c r="H706" i="10"/>
  <c r="H698" i="10"/>
  <c r="H686" i="10"/>
  <c r="H685" i="10"/>
  <c r="H684" i="10"/>
  <c r="H682" i="10"/>
  <c r="H678" i="10"/>
  <c r="H674" i="10"/>
  <c r="H708" i="10"/>
  <c r="H700" i="10"/>
  <c r="H683" i="10"/>
  <c r="H679" i="10"/>
  <c r="H675" i="10"/>
  <c r="H712" i="10"/>
  <c r="H704" i="10"/>
  <c r="H696" i="10"/>
  <c r="H690" i="10"/>
  <c r="H689" i="10"/>
  <c r="H688" i="10"/>
  <c r="H681" i="10"/>
  <c r="H677" i="10"/>
  <c r="H673" i="10"/>
  <c r="H669" i="10"/>
  <c r="H702" i="10"/>
  <c r="H668" i="10"/>
  <c r="H643" i="10"/>
  <c r="H641" i="10"/>
  <c r="H639" i="10"/>
  <c r="H637" i="10"/>
  <c r="H635" i="10"/>
  <c r="H633" i="10"/>
  <c r="H631" i="10"/>
  <c r="H713" i="10"/>
  <c r="H710" i="10"/>
  <c r="H693" i="10"/>
  <c r="H676" i="10"/>
  <c r="H672" i="10"/>
  <c r="H646" i="10"/>
  <c r="H694" i="10"/>
  <c r="H692" i="10"/>
  <c r="H671" i="10"/>
  <c r="H670" i="10"/>
  <c r="H647" i="10"/>
  <c r="H645" i="10"/>
  <c r="H629" i="10"/>
  <c r="H638" i="10"/>
  <c r="H630" i="10"/>
  <c r="H634" i="10"/>
  <c r="H640" i="10"/>
  <c r="H632" i="10"/>
  <c r="H642" i="10"/>
  <c r="H680" i="10"/>
  <c r="H644" i="10"/>
  <c r="H636" i="10"/>
  <c r="G715" i="10"/>
  <c r="H715" i="10" l="1"/>
  <c r="I629" i="10"/>
  <c r="I713" i="10" l="1"/>
  <c r="I710" i="10"/>
  <c r="I706" i="10"/>
  <c r="I702" i="10"/>
  <c r="I698" i="10"/>
  <c r="I694" i="10"/>
  <c r="I712" i="10"/>
  <c r="I708" i="10"/>
  <c r="I704" i="10"/>
  <c r="I700" i="10"/>
  <c r="I696" i="10"/>
  <c r="I692" i="10"/>
  <c r="I688" i="10"/>
  <c r="I684" i="10"/>
  <c r="I716" i="10"/>
  <c r="I711" i="10"/>
  <c r="I703" i="10"/>
  <c r="I695" i="10"/>
  <c r="I683" i="10"/>
  <c r="I679" i="10"/>
  <c r="I675" i="10"/>
  <c r="I705" i="10"/>
  <c r="I697" i="10"/>
  <c r="I693" i="10"/>
  <c r="I680" i="10"/>
  <c r="I676" i="10"/>
  <c r="I672" i="10"/>
  <c r="I709" i="10"/>
  <c r="I701" i="10"/>
  <c r="I687" i="10"/>
  <c r="I686" i="10"/>
  <c r="I685" i="10"/>
  <c r="I682" i="10"/>
  <c r="I678" i="10"/>
  <c r="I674" i="10"/>
  <c r="I670" i="10"/>
  <c r="I647" i="10"/>
  <c r="I646" i="10"/>
  <c r="I645" i="10"/>
  <c r="I699" i="10"/>
  <c r="I707" i="10"/>
  <c r="I691" i="10"/>
  <c r="I689" i="10"/>
  <c r="I673" i="10"/>
  <c r="I644" i="10"/>
  <c r="I642" i="10"/>
  <c r="I640" i="10"/>
  <c r="I638" i="10"/>
  <c r="I636" i="10"/>
  <c r="I634" i="10"/>
  <c r="I632" i="10"/>
  <c r="I630" i="10"/>
  <c r="I690" i="10"/>
  <c r="I681" i="10"/>
  <c r="I669" i="10"/>
  <c r="I668" i="10"/>
  <c r="I643" i="10"/>
  <c r="I641" i="10"/>
  <c r="I639" i="10"/>
  <c r="I637" i="10"/>
  <c r="I635" i="10"/>
  <c r="I633" i="10"/>
  <c r="I631" i="10"/>
  <c r="I677" i="10"/>
  <c r="I671" i="10"/>
  <c r="I715" i="10" l="1"/>
  <c r="J630" i="10"/>
  <c r="J716" i="10" l="1"/>
  <c r="J713" i="10"/>
  <c r="J711" i="10"/>
  <c r="J707" i="10"/>
  <c r="J703" i="10"/>
  <c r="J699" i="10"/>
  <c r="J695" i="10"/>
  <c r="J709" i="10"/>
  <c r="J705" i="10"/>
  <c r="J701" i="10"/>
  <c r="J697" i="10"/>
  <c r="J693" i="10"/>
  <c r="J689" i="10"/>
  <c r="J685" i="10"/>
  <c r="J708" i="10"/>
  <c r="J700" i="10"/>
  <c r="J680" i="10"/>
  <c r="J676" i="10"/>
  <c r="J710" i="10"/>
  <c r="J702" i="10"/>
  <c r="J694" i="10"/>
  <c r="J692" i="10"/>
  <c r="J691" i="10"/>
  <c r="J690" i="10"/>
  <c r="J681" i="10"/>
  <c r="J677" i="10"/>
  <c r="J673" i="10"/>
  <c r="J706" i="10"/>
  <c r="J698" i="10"/>
  <c r="J684" i="10"/>
  <c r="J683" i="10"/>
  <c r="J679" i="10"/>
  <c r="J675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96" i="10"/>
  <c r="J682" i="10"/>
  <c r="J672" i="10"/>
  <c r="J646" i="10"/>
  <c r="J704" i="10"/>
  <c r="J687" i="10"/>
  <c r="J688" i="10"/>
  <c r="J686" i="10"/>
  <c r="J678" i="10"/>
  <c r="J670" i="10"/>
  <c r="J668" i="10"/>
  <c r="J669" i="10"/>
  <c r="J712" i="10"/>
  <c r="J645" i="10"/>
  <c r="J674" i="10"/>
  <c r="J647" i="10"/>
  <c r="L647" i="10" s="1"/>
  <c r="K644" i="10" l="1"/>
  <c r="L716" i="10"/>
  <c r="L709" i="10"/>
  <c r="L705" i="10"/>
  <c r="L701" i="10"/>
  <c r="L697" i="10"/>
  <c r="L713" i="10"/>
  <c r="L711" i="10"/>
  <c r="L707" i="10"/>
  <c r="L703" i="10"/>
  <c r="L699" i="10"/>
  <c r="L695" i="10"/>
  <c r="L691" i="10"/>
  <c r="L687" i="10"/>
  <c r="L683" i="10"/>
  <c r="L710" i="10"/>
  <c r="L702" i="10"/>
  <c r="L694" i="10"/>
  <c r="L690" i="10"/>
  <c r="L689" i="10"/>
  <c r="L688" i="10"/>
  <c r="L682" i="10"/>
  <c r="L678" i="10"/>
  <c r="L674" i="10"/>
  <c r="L712" i="10"/>
  <c r="L704" i="10"/>
  <c r="L696" i="10"/>
  <c r="L686" i="10"/>
  <c r="L685" i="10"/>
  <c r="L684" i="10"/>
  <c r="L679" i="10"/>
  <c r="L675" i="10"/>
  <c r="L671" i="10"/>
  <c r="L708" i="10"/>
  <c r="L700" i="10"/>
  <c r="L693" i="10"/>
  <c r="L692" i="10"/>
  <c r="L681" i="10"/>
  <c r="L677" i="10"/>
  <c r="L673" i="10"/>
  <c r="L669" i="10"/>
  <c r="L676" i="10"/>
  <c r="L670" i="10"/>
  <c r="L698" i="10"/>
  <c r="L680" i="10"/>
  <c r="L668" i="10"/>
  <c r="L672" i="10"/>
  <c r="L706" i="10"/>
  <c r="J715" i="10"/>
  <c r="M713" i="10" l="1"/>
  <c r="Y779" i="10" s="1"/>
  <c r="M689" i="10"/>
  <c r="Y755" i="10" s="1"/>
  <c r="M705" i="10"/>
  <c r="Y771" i="10" s="1"/>
  <c r="M683" i="10"/>
  <c r="Y749" i="10" s="1"/>
  <c r="L715" i="10"/>
  <c r="M676" i="10"/>
  <c r="Y742" i="10" s="1"/>
  <c r="M678" i="10"/>
  <c r="Y744" i="10" s="1"/>
  <c r="M692" i="10"/>
  <c r="Y758" i="10" s="1"/>
  <c r="M688" i="10"/>
  <c r="Y754" i="10" s="1"/>
  <c r="M701" i="10"/>
  <c r="Y767" i="10" s="1"/>
  <c r="K716" i="10"/>
  <c r="K712" i="10"/>
  <c r="M712" i="10" s="1"/>
  <c r="Y778" i="10" s="1"/>
  <c r="K708" i="10"/>
  <c r="M708" i="10" s="1"/>
  <c r="Y774" i="10" s="1"/>
  <c r="K704" i="10"/>
  <c r="M704" i="10" s="1"/>
  <c r="Y770" i="10" s="1"/>
  <c r="K700" i="10"/>
  <c r="M700" i="10" s="1"/>
  <c r="Y766" i="10" s="1"/>
  <c r="K696" i="10"/>
  <c r="M696" i="10" s="1"/>
  <c r="Y762" i="10" s="1"/>
  <c r="K710" i="10"/>
  <c r="M710" i="10" s="1"/>
  <c r="Y776" i="10" s="1"/>
  <c r="K706" i="10"/>
  <c r="M706" i="10" s="1"/>
  <c r="Y772" i="10" s="1"/>
  <c r="K702" i="10"/>
  <c r="M702" i="10" s="1"/>
  <c r="Y768" i="10" s="1"/>
  <c r="K698" i="10"/>
  <c r="M698" i="10" s="1"/>
  <c r="Y764" i="10" s="1"/>
  <c r="K694" i="10"/>
  <c r="M694" i="10" s="1"/>
  <c r="Y760" i="10" s="1"/>
  <c r="K690" i="10"/>
  <c r="M690" i="10" s="1"/>
  <c r="Y756" i="10" s="1"/>
  <c r="K686" i="10"/>
  <c r="M686" i="10" s="1"/>
  <c r="Y752" i="10" s="1"/>
  <c r="K705" i="10"/>
  <c r="K697" i="10"/>
  <c r="M697" i="10" s="1"/>
  <c r="Y763" i="10" s="1"/>
  <c r="K693" i="10"/>
  <c r="M693" i="10" s="1"/>
  <c r="Y759" i="10" s="1"/>
  <c r="K692" i="10"/>
  <c r="K691" i="10"/>
  <c r="M691" i="10" s="1"/>
  <c r="Y757" i="10" s="1"/>
  <c r="K681" i="10"/>
  <c r="M681" i="10" s="1"/>
  <c r="Y747" i="10" s="1"/>
  <c r="K677" i="10"/>
  <c r="M677" i="10" s="1"/>
  <c r="Y743" i="10" s="1"/>
  <c r="K673" i="10"/>
  <c r="M673" i="10" s="1"/>
  <c r="Y739" i="10" s="1"/>
  <c r="K713" i="10"/>
  <c r="K707" i="10"/>
  <c r="M707" i="10" s="1"/>
  <c r="Y773" i="10" s="1"/>
  <c r="K699" i="10"/>
  <c r="M699" i="10" s="1"/>
  <c r="Y765" i="10" s="1"/>
  <c r="K689" i="10"/>
  <c r="K688" i="10"/>
  <c r="K687" i="10"/>
  <c r="M687" i="10" s="1"/>
  <c r="Y753" i="10" s="1"/>
  <c r="K682" i="10"/>
  <c r="M682" i="10" s="1"/>
  <c r="Y748" i="10" s="1"/>
  <c r="K678" i="10"/>
  <c r="K674" i="10"/>
  <c r="M674" i="10" s="1"/>
  <c r="Y740" i="10" s="1"/>
  <c r="K711" i="10"/>
  <c r="M711" i="10" s="1"/>
  <c r="Y777" i="10" s="1"/>
  <c r="K703" i="10"/>
  <c r="M703" i="10" s="1"/>
  <c r="Y769" i="10" s="1"/>
  <c r="K695" i="10"/>
  <c r="M695" i="10" s="1"/>
  <c r="Y761" i="10" s="1"/>
  <c r="K680" i="10"/>
  <c r="M680" i="10" s="1"/>
  <c r="Y746" i="10" s="1"/>
  <c r="K676" i="10"/>
  <c r="K672" i="10"/>
  <c r="M672" i="10" s="1"/>
  <c r="Y738" i="10" s="1"/>
  <c r="K668" i="10"/>
  <c r="K679" i="10"/>
  <c r="M679" i="10" s="1"/>
  <c r="Y745" i="10" s="1"/>
  <c r="K701" i="10"/>
  <c r="K685" i="10"/>
  <c r="M685" i="10" s="1"/>
  <c r="Y751" i="10" s="1"/>
  <c r="K683" i="10"/>
  <c r="K671" i="10"/>
  <c r="M671" i="10" s="1"/>
  <c r="Y737" i="10" s="1"/>
  <c r="K670" i="10"/>
  <c r="M670" i="10" s="1"/>
  <c r="Y736" i="10" s="1"/>
  <c r="K669" i="10"/>
  <c r="M669" i="10" s="1"/>
  <c r="Y735" i="10" s="1"/>
  <c r="K684" i="10"/>
  <c r="M684" i="10" s="1"/>
  <c r="Y750" i="10" s="1"/>
  <c r="K675" i="10"/>
  <c r="M675" i="10" s="1"/>
  <c r="Y741" i="10" s="1"/>
  <c r="K709" i="10"/>
  <c r="M709" i="10" s="1"/>
  <c r="Y775" i="10" s="1"/>
  <c r="K715" i="10" l="1"/>
  <c r="M668" i="10"/>
  <c r="M715" i="10" l="1"/>
  <c r="Y734" i="10"/>
  <c r="Y815" i="10" s="1"/>
  <c r="F536" i="1" l="1"/>
  <c r="F507" i="1"/>
  <c r="F497" i="1"/>
  <c r="C115" i="8"/>
  <c r="C444" i="1"/>
  <c r="D367" i="1"/>
  <c r="C448" i="1" s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F524" i="1" s="1"/>
  <c r="D523" i="1"/>
  <c r="D522" i="1"/>
  <c r="D520" i="1"/>
  <c r="F520" i="1" s="1"/>
  <c r="D519" i="1"/>
  <c r="D518" i="1"/>
  <c r="D517" i="1"/>
  <c r="D516" i="1"/>
  <c r="D515" i="1"/>
  <c r="F515" i="1" s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C48" i="1" s="1"/>
  <c r="BC62" i="1" s="1"/>
  <c r="CE65" i="1"/>
  <c r="I367" i="9" s="1"/>
  <c r="CE63" i="1"/>
  <c r="I365" i="9" s="1"/>
  <c r="CE66" i="1"/>
  <c r="I368" i="9" s="1"/>
  <c r="CE68" i="1"/>
  <c r="C434" i="1" s="1"/>
  <c r="D75" i="1"/>
  <c r="D26" i="9" s="1"/>
  <c r="AR75" i="1"/>
  <c r="AS75" i="1"/>
  <c r="AT75" i="1"/>
  <c r="D218" i="9" s="1"/>
  <c r="AU75" i="1"/>
  <c r="AQ75" i="1"/>
  <c r="AO75" i="1"/>
  <c r="AN75" i="1"/>
  <c r="AM75" i="1"/>
  <c r="AI75" i="1"/>
  <c r="AH75" i="1"/>
  <c r="AF75" i="1"/>
  <c r="AD75" i="1"/>
  <c r="I122" i="9" s="1"/>
  <c r="AA75" i="1"/>
  <c r="Z75" i="1"/>
  <c r="X75" i="1"/>
  <c r="C122" i="9" s="1"/>
  <c r="W75" i="1"/>
  <c r="V75" i="1"/>
  <c r="H90" i="9" s="1"/>
  <c r="T75" i="1"/>
  <c r="R75" i="1"/>
  <c r="D90" i="9" s="1"/>
  <c r="Q75" i="1"/>
  <c r="C90" i="9" s="1"/>
  <c r="P75" i="1"/>
  <c r="I58" i="9" s="1"/>
  <c r="O75" i="1"/>
  <c r="H58" i="9" s="1"/>
  <c r="N75" i="1"/>
  <c r="M75" i="1"/>
  <c r="L75" i="1"/>
  <c r="I75" i="1"/>
  <c r="H75" i="1"/>
  <c r="H26" i="9"/>
  <c r="G75" i="1"/>
  <c r="G26" i="9"/>
  <c r="F75" i="1"/>
  <c r="F26" i="9"/>
  <c r="AV75" i="1"/>
  <c r="F218" i="9"/>
  <c r="AP75" i="1"/>
  <c r="G186" i="9"/>
  <c r="AJ75" i="1"/>
  <c r="AL75" i="1"/>
  <c r="C186" i="9" s="1"/>
  <c r="AK75" i="1"/>
  <c r="I154" i="9" s="1"/>
  <c r="AG75" i="1"/>
  <c r="E154" i="9"/>
  <c r="AE75" i="1"/>
  <c r="C154" i="9" s="1"/>
  <c r="AC75" i="1"/>
  <c r="H122" i="9" s="1"/>
  <c r="AB75" i="1"/>
  <c r="Y75" i="1"/>
  <c r="U75" i="1"/>
  <c r="S75" i="1"/>
  <c r="K75" i="1"/>
  <c r="D58" i="9" s="1"/>
  <c r="J75" i="1"/>
  <c r="C58" i="9" s="1"/>
  <c r="E75" i="1"/>
  <c r="E26" i="9" s="1"/>
  <c r="CE73" i="1"/>
  <c r="I376" i="9" s="1"/>
  <c r="CE74" i="1"/>
  <c r="C75" i="1"/>
  <c r="CE80" i="1"/>
  <c r="I384" i="9"/>
  <c r="CE78" i="1"/>
  <c r="I382" i="9" s="1"/>
  <c r="CE69" i="1"/>
  <c r="C440" i="1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D319" i="1"/>
  <c r="D328" i="1"/>
  <c r="D329" i="1"/>
  <c r="D229" i="1"/>
  <c r="D236" i="1"/>
  <c r="D240" i="1"/>
  <c r="B447" i="1" s="1"/>
  <c r="E209" i="1"/>
  <c r="F24" i="6" s="1"/>
  <c r="E210" i="1"/>
  <c r="E211" i="1"/>
  <c r="E212" i="1"/>
  <c r="E213" i="1"/>
  <c r="F28" i="6" s="1"/>
  <c r="E214" i="1"/>
  <c r="F29" i="6" s="1"/>
  <c r="E215" i="1"/>
  <c r="E216" i="1"/>
  <c r="D217" i="1"/>
  <c r="E32" i="6" s="1"/>
  <c r="C217" i="1"/>
  <c r="E196" i="1"/>
  <c r="C469" i="1" s="1"/>
  <c r="E197" i="1"/>
  <c r="C470" i="1" s="1"/>
  <c r="E198" i="1"/>
  <c r="C471" i="1" s="1"/>
  <c r="E199" i="1"/>
  <c r="C472" i="1" s="1"/>
  <c r="E200" i="1"/>
  <c r="F12" i="6" s="1"/>
  <c r="E201" i="1"/>
  <c r="E202" i="1"/>
  <c r="C474" i="1" s="1"/>
  <c r="E203" i="1"/>
  <c r="D204" i="1"/>
  <c r="E16" i="6" s="1"/>
  <c r="B204" i="1"/>
  <c r="D190" i="1"/>
  <c r="D437" i="1" s="1"/>
  <c r="D186" i="1"/>
  <c r="D436" i="1" s="1"/>
  <c r="D181" i="1"/>
  <c r="C27" i="5" s="1"/>
  <c r="D177" i="1"/>
  <c r="C20" i="5" s="1"/>
  <c r="E154" i="1"/>
  <c r="F28" i="4" s="1"/>
  <c r="E153" i="1"/>
  <c r="E152" i="1"/>
  <c r="E151" i="1"/>
  <c r="E150" i="1"/>
  <c r="B28" i="4" s="1"/>
  <c r="E148" i="1"/>
  <c r="E147" i="1"/>
  <c r="E146" i="1"/>
  <c r="D19" i="4" s="1"/>
  <c r="E145" i="1"/>
  <c r="C418" i="1" s="1"/>
  <c r="E144" i="1"/>
  <c r="C417" i="1" s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B446" i="1"/>
  <c r="C445" i="1"/>
  <c r="C429" i="1"/>
  <c r="C432" i="1"/>
  <c r="B438" i="1"/>
  <c r="B439" i="1"/>
  <c r="C439" i="1"/>
  <c r="C438" i="1"/>
  <c r="B437" i="1"/>
  <c r="B436" i="1"/>
  <c r="B435" i="1"/>
  <c r="D434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4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8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F26" i="6"/>
  <c r="E26" i="6"/>
  <c r="D26" i="6"/>
  <c r="E25" i="6"/>
  <c r="D25" i="6"/>
  <c r="E24" i="6"/>
  <c r="D24" i="6"/>
  <c r="F15" i="6"/>
  <c r="E15" i="6"/>
  <c r="D15" i="6"/>
  <c r="F14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22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6" i="8"/>
  <c r="F8" i="6"/>
  <c r="I377" i="9"/>
  <c r="C464" i="1"/>
  <c r="D366" i="9"/>
  <c r="CE64" i="1"/>
  <c r="I366" i="9" s="1"/>
  <c r="D368" i="9"/>
  <c r="C276" i="9"/>
  <c r="CE70" i="1"/>
  <c r="CE76" i="1"/>
  <c r="I380" i="9" s="1"/>
  <c r="CE77" i="1"/>
  <c r="G612" i="1" s="1"/>
  <c r="I29" i="9"/>
  <c r="C95" i="9"/>
  <c r="CE79" i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420" i="1"/>
  <c r="CD71" i="1"/>
  <c r="E373" i="9" s="1"/>
  <c r="C615" i="1"/>
  <c r="L612" i="1"/>
  <c r="I612" i="1"/>
  <c r="E372" i="9"/>
  <c r="C14" i="5"/>
  <c r="F10" i="4"/>
  <c r="I381" i="9"/>
  <c r="CF77" i="1"/>
  <c r="F513" i="1"/>
  <c r="F499" i="1"/>
  <c r="F511" i="1"/>
  <c r="F544" i="1"/>
  <c r="F528" i="1"/>
  <c r="F532" i="1"/>
  <c r="H532" i="1"/>
  <c r="F503" i="1"/>
  <c r="H503" i="1"/>
  <c r="H505" i="1"/>
  <c r="F505" i="1"/>
  <c r="H540" i="1"/>
  <c r="F540" i="1"/>
  <c r="H528" i="1"/>
  <c r="H499" i="1"/>
  <c r="D612" i="1" l="1"/>
  <c r="G28" i="4"/>
  <c r="C19" i="4"/>
  <c r="F10" i="6"/>
  <c r="B10" i="4"/>
  <c r="C40" i="5"/>
  <c r="C119" i="8"/>
  <c r="H536" i="1"/>
  <c r="H497" i="1"/>
  <c r="C141" i="8"/>
  <c r="B440" i="1"/>
  <c r="C473" i="1"/>
  <c r="F11" i="6"/>
  <c r="C34" i="5"/>
  <c r="D435" i="1"/>
  <c r="D438" i="1"/>
  <c r="G10" i="4"/>
  <c r="D463" i="1"/>
  <c r="CF76" i="1"/>
  <c r="AY52" i="1" s="1"/>
  <c r="AY67" i="1" s="1"/>
  <c r="G52" i="1"/>
  <c r="G67" i="1" s="1"/>
  <c r="G17" i="9" s="1"/>
  <c r="C218" i="9"/>
  <c r="I186" i="9"/>
  <c r="H154" i="9"/>
  <c r="I26" i="9"/>
  <c r="G122" i="9"/>
  <c r="C463" i="1"/>
  <c r="C575" i="1"/>
  <c r="I370" i="9"/>
  <c r="I371" i="9"/>
  <c r="C431" i="1"/>
  <c r="AX52" i="1"/>
  <c r="AX67" i="1" s="1"/>
  <c r="H209" i="9" s="1"/>
  <c r="BQ52" i="1"/>
  <c r="BQ67" i="1" s="1"/>
  <c r="F305" i="9" s="1"/>
  <c r="C48" i="1"/>
  <c r="C62" i="1" s="1"/>
  <c r="AI48" i="1"/>
  <c r="AI62" i="1" s="1"/>
  <c r="BA48" i="1"/>
  <c r="BA62" i="1" s="1"/>
  <c r="F236" i="9"/>
  <c r="C458" i="1"/>
  <c r="I372" i="9"/>
  <c r="BK48" i="1"/>
  <c r="BK62" i="1" s="1"/>
  <c r="I363" i="9"/>
  <c r="BZ48" i="1"/>
  <c r="BZ62" i="1" s="1"/>
  <c r="AU48" i="1"/>
  <c r="AU62" i="1" s="1"/>
  <c r="AE48" i="1"/>
  <c r="AE62" i="1" s="1"/>
  <c r="BE48" i="1"/>
  <c r="BE62" i="1" s="1"/>
  <c r="AG48" i="1"/>
  <c r="AG62" i="1" s="1"/>
  <c r="Q48" i="1"/>
  <c r="Q62" i="1" s="1"/>
  <c r="BW48" i="1"/>
  <c r="BW62" i="1" s="1"/>
  <c r="AY48" i="1"/>
  <c r="AY62" i="1" s="1"/>
  <c r="CA48" i="1"/>
  <c r="CA62" i="1" s="1"/>
  <c r="BX48" i="1"/>
  <c r="BX62" i="1" s="1"/>
  <c r="BT48" i="1"/>
  <c r="BT62" i="1" s="1"/>
  <c r="BP48" i="1"/>
  <c r="BP62" i="1" s="1"/>
  <c r="BL48" i="1"/>
  <c r="BL62" i="1" s="1"/>
  <c r="BH48" i="1"/>
  <c r="BH62" i="1" s="1"/>
  <c r="BD48" i="1"/>
  <c r="BD62" i="1" s="1"/>
  <c r="AZ48" i="1"/>
  <c r="AZ62" i="1" s="1"/>
  <c r="AV48" i="1"/>
  <c r="AV62" i="1" s="1"/>
  <c r="AR48" i="1"/>
  <c r="AR62" i="1" s="1"/>
  <c r="AN48" i="1"/>
  <c r="AN62" i="1" s="1"/>
  <c r="AJ48" i="1"/>
  <c r="AJ62" i="1" s="1"/>
  <c r="AF48" i="1"/>
  <c r="AF62" i="1" s="1"/>
  <c r="Z48" i="1"/>
  <c r="Z62" i="1" s="1"/>
  <c r="R48" i="1"/>
  <c r="R62" i="1" s="1"/>
  <c r="J48" i="1"/>
  <c r="J62" i="1" s="1"/>
  <c r="G48" i="1"/>
  <c r="G62" i="1" s="1"/>
  <c r="O48" i="1"/>
  <c r="O62" i="1" s="1"/>
  <c r="C427" i="1"/>
  <c r="U48" i="1"/>
  <c r="U62" i="1" s="1"/>
  <c r="BM48" i="1"/>
  <c r="BM62" i="1" s="1"/>
  <c r="Y48" i="1"/>
  <c r="Y62" i="1" s="1"/>
  <c r="CC48" i="1"/>
  <c r="CC62" i="1" s="1"/>
  <c r="BG48" i="1"/>
  <c r="BG62" i="1" s="1"/>
  <c r="AQ48" i="1"/>
  <c r="AQ62" i="1" s="1"/>
  <c r="BY48" i="1"/>
  <c r="BY62" i="1" s="1"/>
  <c r="BV48" i="1"/>
  <c r="BV62" i="1" s="1"/>
  <c r="BR48" i="1"/>
  <c r="BR62" i="1" s="1"/>
  <c r="BN48" i="1"/>
  <c r="BN62" i="1" s="1"/>
  <c r="BJ48" i="1"/>
  <c r="BJ62" i="1" s="1"/>
  <c r="BF48" i="1"/>
  <c r="BF62" i="1" s="1"/>
  <c r="BB48" i="1"/>
  <c r="BB62" i="1" s="1"/>
  <c r="AX48" i="1"/>
  <c r="AX62" i="1" s="1"/>
  <c r="AT48" i="1"/>
  <c r="AT62" i="1" s="1"/>
  <c r="AP48" i="1"/>
  <c r="AP62" i="1" s="1"/>
  <c r="AL48" i="1"/>
  <c r="AL62" i="1" s="1"/>
  <c r="AH48" i="1"/>
  <c r="AH62" i="1" s="1"/>
  <c r="AD48" i="1"/>
  <c r="AD62" i="1" s="1"/>
  <c r="V48" i="1"/>
  <c r="V62" i="1" s="1"/>
  <c r="N48" i="1"/>
  <c r="N62" i="1" s="1"/>
  <c r="F48" i="1"/>
  <c r="F62" i="1" s="1"/>
  <c r="AS48" i="1"/>
  <c r="AS62" i="1" s="1"/>
  <c r="T48" i="1"/>
  <c r="T62" i="1" s="1"/>
  <c r="D48" i="1"/>
  <c r="D62" i="1" s="1"/>
  <c r="AM48" i="1"/>
  <c r="AM62" i="1" s="1"/>
  <c r="BQ48" i="1"/>
  <c r="BQ62" i="1" s="1"/>
  <c r="I48" i="1"/>
  <c r="I62" i="1" s="1"/>
  <c r="BO48" i="1"/>
  <c r="BO62" i="1" s="1"/>
  <c r="K48" i="1"/>
  <c r="K62" i="1" s="1"/>
  <c r="CB48" i="1"/>
  <c r="CB62" i="1" s="1"/>
  <c r="AB48" i="1"/>
  <c r="AB62" i="1" s="1"/>
  <c r="L48" i="1"/>
  <c r="L62" i="1" s="1"/>
  <c r="AC48" i="1"/>
  <c r="AC62" i="1" s="1"/>
  <c r="M48" i="1"/>
  <c r="M62" i="1" s="1"/>
  <c r="AK48" i="1"/>
  <c r="AK62" i="1" s="1"/>
  <c r="BU48" i="1"/>
  <c r="BU62" i="1" s="1"/>
  <c r="AW48" i="1"/>
  <c r="AW62" i="1" s="1"/>
  <c r="AA48" i="1"/>
  <c r="AA62" i="1" s="1"/>
  <c r="W48" i="1"/>
  <c r="W62" i="1" s="1"/>
  <c r="P48" i="1"/>
  <c r="P62" i="1" s="1"/>
  <c r="X48" i="1"/>
  <c r="X62" i="1" s="1"/>
  <c r="BS48" i="1"/>
  <c r="BS62" i="1" s="1"/>
  <c r="BI48" i="1"/>
  <c r="BI62" i="1" s="1"/>
  <c r="E48" i="1"/>
  <c r="E62" i="1" s="1"/>
  <c r="B444" i="1"/>
  <c r="D5" i="7"/>
  <c r="D242" i="1"/>
  <c r="BR52" i="1"/>
  <c r="BR67" i="1" s="1"/>
  <c r="CB52" i="1"/>
  <c r="CB67" i="1" s="1"/>
  <c r="D373" i="1"/>
  <c r="C120" i="8"/>
  <c r="H52" i="1"/>
  <c r="H67" i="1" s="1"/>
  <c r="K52" i="1"/>
  <c r="K67" i="1" s="1"/>
  <c r="AI52" i="1"/>
  <c r="AI67" i="1" s="1"/>
  <c r="X52" i="1"/>
  <c r="X67" i="1" s="1"/>
  <c r="AU52" i="1"/>
  <c r="AU67" i="1" s="1"/>
  <c r="U52" i="1"/>
  <c r="U67" i="1" s="1"/>
  <c r="BX52" i="1"/>
  <c r="BX67" i="1" s="1"/>
  <c r="P52" i="1"/>
  <c r="P67" i="1" s="1"/>
  <c r="I52" i="1"/>
  <c r="I67" i="1" s="1"/>
  <c r="Q52" i="1"/>
  <c r="Q67" i="1" s="1"/>
  <c r="AZ52" i="1"/>
  <c r="AZ67" i="1" s="1"/>
  <c r="Y52" i="1"/>
  <c r="Y67" i="1" s="1"/>
  <c r="AJ52" i="1"/>
  <c r="AJ67" i="1" s="1"/>
  <c r="AS52" i="1"/>
  <c r="AS67" i="1" s="1"/>
  <c r="BC52" i="1"/>
  <c r="BC67" i="1" s="1"/>
  <c r="BC71" i="1" s="1"/>
  <c r="BZ52" i="1"/>
  <c r="BZ67" i="1" s="1"/>
  <c r="AB52" i="1"/>
  <c r="AB67" i="1" s="1"/>
  <c r="O52" i="1"/>
  <c r="O67" i="1" s="1"/>
  <c r="R52" i="1"/>
  <c r="R67" i="1" s="1"/>
  <c r="V52" i="1"/>
  <c r="V67" i="1" s="1"/>
  <c r="BK52" i="1"/>
  <c r="BK67" i="1" s="1"/>
  <c r="CC52" i="1"/>
  <c r="CC67" i="1" s="1"/>
  <c r="N52" i="1"/>
  <c r="N67" i="1" s="1"/>
  <c r="AE52" i="1"/>
  <c r="AE67" i="1" s="1"/>
  <c r="BP52" i="1"/>
  <c r="BP67" i="1" s="1"/>
  <c r="BB52" i="1"/>
  <c r="BB67" i="1" s="1"/>
  <c r="BO52" i="1"/>
  <c r="BO67" i="1" s="1"/>
  <c r="AR52" i="1"/>
  <c r="AR67" i="1" s="1"/>
  <c r="BH52" i="1"/>
  <c r="BH67" i="1" s="1"/>
  <c r="C52" i="1"/>
  <c r="AF52" i="1"/>
  <c r="AF67" i="1" s="1"/>
  <c r="BS52" i="1"/>
  <c r="BS67" i="1" s="1"/>
  <c r="CA52" i="1"/>
  <c r="CA67" i="1" s="1"/>
  <c r="Z52" i="1"/>
  <c r="Z67" i="1" s="1"/>
  <c r="L52" i="1"/>
  <c r="L67" i="1" s="1"/>
  <c r="J52" i="1"/>
  <c r="J67" i="1" s="1"/>
  <c r="AQ52" i="1"/>
  <c r="AQ67" i="1" s="1"/>
  <c r="AN52" i="1"/>
  <c r="AN67" i="1" s="1"/>
  <c r="AP52" i="1"/>
  <c r="AP67" i="1" s="1"/>
  <c r="BL52" i="1"/>
  <c r="BL67" i="1" s="1"/>
  <c r="AT52" i="1"/>
  <c r="AT67" i="1" s="1"/>
  <c r="BI52" i="1"/>
  <c r="BI67" i="1" s="1"/>
  <c r="BW52" i="1"/>
  <c r="BW67" i="1" s="1"/>
  <c r="BU52" i="1"/>
  <c r="BU67" i="1" s="1"/>
  <c r="BN52" i="1"/>
  <c r="BN67" i="1" s="1"/>
  <c r="BE52" i="1"/>
  <c r="BE67" i="1" s="1"/>
  <c r="AM52" i="1"/>
  <c r="AM67" i="1" s="1"/>
  <c r="M52" i="1"/>
  <c r="M67" i="1" s="1"/>
  <c r="AA52" i="1"/>
  <c r="AA67" i="1" s="1"/>
  <c r="S48" i="1"/>
  <c r="S62" i="1" s="1"/>
  <c r="AO48" i="1"/>
  <c r="AO62" i="1" s="1"/>
  <c r="H48" i="1"/>
  <c r="H62" i="1" s="1"/>
  <c r="C415" i="1"/>
  <c r="C10" i="4"/>
  <c r="E217" i="1"/>
  <c r="F25" i="6"/>
  <c r="B445" i="1"/>
  <c r="D13" i="7"/>
  <c r="D292" i="1"/>
  <c r="C22" i="8"/>
  <c r="G90" i="9"/>
  <c r="G58" i="9"/>
  <c r="F90" i="9"/>
  <c r="E122" i="9"/>
  <c r="F154" i="9"/>
  <c r="F186" i="9"/>
  <c r="F7" i="6"/>
  <c r="E204" i="1"/>
  <c r="C468" i="1"/>
  <c r="I383" i="9"/>
  <c r="J612" i="1"/>
  <c r="C26" i="9"/>
  <c r="CE75" i="1"/>
  <c r="E58" i="9"/>
  <c r="I90" i="9"/>
  <c r="D186" i="9"/>
  <c r="E218" i="9"/>
  <c r="F612" i="1"/>
  <c r="C430" i="1"/>
  <c r="G19" i="4"/>
  <c r="F19" i="4"/>
  <c r="D464" i="1"/>
  <c r="D465" i="1" s="1"/>
  <c r="E90" i="9"/>
  <c r="F58" i="9"/>
  <c r="D154" i="9"/>
  <c r="E186" i="9"/>
  <c r="H612" i="1"/>
  <c r="I362" i="9"/>
  <c r="C85" i="8"/>
  <c r="D330" i="1"/>
  <c r="D122" i="9"/>
  <c r="F122" i="9"/>
  <c r="G154" i="9"/>
  <c r="H186" i="9"/>
  <c r="AW52" i="1" l="1"/>
  <c r="AW67" i="1" s="1"/>
  <c r="G209" i="9" s="1"/>
  <c r="I209" i="9"/>
  <c r="BY52" i="1"/>
  <c r="BY67" i="1" s="1"/>
  <c r="G337" i="9" s="1"/>
  <c r="BM52" i="1"/>
  <c r="BM67" i="1" s="1"/>
  <c r="W52" i="1"/>
  <c r="W67" i="1" s="1"/>
  <c r="AV52" i="1"/>
  <c r="AV67" i="1" s="1"/>
  <c r="E52" i="1"/>
  <c r="E67" i="1" s="1"/>
  <c r="E17" i="9" s="1"/>
  <c r="S52" i="1"/>
  <c r="S67" i="1" s="1"/>
  <c r="BA52" i="1"/>
  <c r="BA67" i="1" s="1"/>
  <c r="AD52" i="1"/>
  <c r="AD67" i="1" s="1"/>
  <c r="AG52" i="1"/>
  <c r="AG67" i="1" s="1"/>
  <c r="BJ52" i="1"/>
  <c r="BJ67" i="1" s="1"/>
  <c r="AO52" i="1"/>
  <c r="AO67" i="1" s="1"/>
  <c r="BG52" i="1"/>
  <c r="BG67" i="1" s="1"/>
  <c r="AH52" i="1"/>
  <c r="AH67" i="1" s="1"/>
  <c r="AC52" i="1"/>
  <c r="AC67" i="1" s="1"/>
  <c r="BT52" i="1"/>
  <c r="BT67" i="1" s="1"/>
  <c r="AL52" i="1"/>
  <c r="AL67" i="1" s="1"/>
  <c r="D52" i="1"/>
  <c r="D67" i="1" s="1"/>
  <c r="BD52" i="1"/>
  <c r="BD67" i="1" s="1"/>
  <c r="BV52" i="1"/>
  <c r="BV67" i="1" s="1"/>
  <c r="F52" i="1"/>
  <c r="F67" i="1" s="1"/>
  <c r="AK52" i="1"/>
  <c r="AK67" i="1" s="1"/>
  <c r="AK71" i="1" s="1"/>
  <c r="T52" i="1"/>
  <c r="T67" i="1" s="1"/>
  <c r="BF52" i="1"/>
  <c r="BF67" i="1" s="1"/>
  <c r="AI71" i="1"/>
  <c r="C528" i="1" s="1"/>
  <c r="G528" i="1" s="1"/>
  <c r="G140" i="9"/>
  <c r="D236" i="9"/>
  <c r="BA71" i="1"/>
  <c r="C630" i="1" s="1"/>
  <c r="CE48" i="1"/>
  <c r="F538" i="1"/>
  <c r="H538" i="1"/>
  <c r="F517" i="1"/>
  <c r="F498" i="1"/>
  <c r="H12" i="9"/>
  <c r="H71" i="1"/>
  <c r="F49" i="9"/>
  <c r="C305" i="9"/>
  <c r="E273" i="9"/>
  <c r="G177" i="9"/>
  <c r="C49" i="9"/>
  <c r="I337" i="9"/>
  <c r="C67" i="1"/>
  <c r="D305" i="9"/>
  <c r="C145" i="9"/>
  <c r="G273" i="9"/>
  <c r="H49" i="9"/>
  <c r="F241" i="9"/>
  <c r="D113" i="9"/>
  <c r="I17" i="9"/>
  <c r="G81" i="9"/>
  <c r="G145" i="9"/>
  <c r="C12" i="9"/>
  <c r="CE62" i="1"/>
  <c r="C71" i="1"/>
  <c r="F17" i="9"/>
  <c r="H300" i="9"/>
  <c r="BS71" i="1"/>
  <c r="F108" i="9"/>
  <c r="AA71" i="1"/>
  <c r="M71" i="1"/>
  <c r="F44" i="9"/>
  <c r="C364" i="9"/>
  <c r="CB71" i="1"/>
  <c r="BQ71" i="1"/>
  <c r="F300" i="9"/>
  <c r="AS71" i="1"/>
  <c r="C204" i="9"/>
  <c r="AD71" i="1"/>
  <c r="I108" i="9"/>
  <c r="D204" i="9"/>
  <c r="AT71" i="1"/>
  <c r="F268" i="9"/>
  <c r="BJ71" i="1"/>
  <c r="G332" i="9"/>
  <c r="D108" i="9"/>
  <c r="Y71" i="1"/>
  <c r="H44" i="9"/>
  <c r="O71" i="1"/>
  <c r="Z71" i="1"/>
  <c r="E108" i="9"/>
  <c r="I172" i="9"/>
  <c r="AR71" i="1"/>
  <c r="BH71" i="1"/>
  <c r="D268" i="9"/>
  <c r="BX71" i="1"/>
  <c r="F332" i="9"/>
  <c r="C76" i="9"/>
  <c r="Q71" i="1"/>
  <c r="E204" i="9"/>
  <c r="AU71" i="1"/>
  <c r="F245" i="9"/>
  <c r="C548" i="1"/>
  <c r="C633" i="1"/>
  <c r="F509" i="1"/>
  <c r="F512" i="1"/>
  <c r="F504" i="1"/>
  <c r="H504" i="1"/>
  <c r="C50" i="8"/>
  <c r="D341" i="1"/>
  <c r="C481" i="1" s="1"/>
  <c r="F32" i="6"/>
  <c r="C478" i="1"/>
  <c r="AO71" i="1"/>
  <c r="F172" i="9"/>
  <c r="I273" i="9"/>
  <c r="I81" i="9"/>
  <c r="F209" i="9"/>
  <c r="E81" i="9"/>
  <c r="D241" i="9"/>
  <c r="I113" i="9"/>
  <c r="E145" i="9"/>
  <c r="F273" i="9"/>
  <c r="F177" i="9"/>
  <c r="C273" i="9"/>
  <c r="F145" i="9"/>
  <c r="H113" i="9"/>
  <c r="I305" i="9"/>
  <c r="C177" i="9"/>
  <c r="H506" i="1"/>
  <c r="F506" i="1"/>
  <c r="C369" i="9"/>
  <c r="X71" i="1"/>
  <c r="C108" i="9"/>
  <c r="AW71" i="1"/>
  <c r="G204" i="9"/>
  <c r="AC71" i="1"/>
  <c r="H108" i="9"/>
  <c r="K71" i="1"/>
  <c r="D44" i="9"/>
  <c r="D172" i="9"/>
  <c r="AM71" i="1"/>
  <c r="F12" i="9"/>
  <c r="F71" i="1"/>
  <c r="F140" i="9"/>
  <c r="AH71" i="1"/>
  <c r="H204" i="9"/>
  <c r="AX71" i="1"/>
  <c r="C300" i="9"/>
  <c r="BN71" i="1"/>
  <c r="H172" i="9"/>
  <c r="AQ71" i="1"/>
  <c r="I268" i="9"/>
  <c r="BM71" i="1"/>
  <c r="G12" i="9"/>
  <c r="G71" i="1"/>
  <c r="AF71" i="1"/>
  <c r="D140" i="9"/>
  <c r="F204" i="9"/>
  <c r="AV71" i="1"/>
  <c r="BL71" i="1"/>
  <c r="H268" i="9"/>
  <c r="I332" i="9"/>
  <c r="CA71" i="1"/>
  <c r="E140" i="9"/>
  <c r="H332" i="9"/>
  <c r="BZ71" i="1"/>
  <c r="F522" i="1"/>
  <c r="F501" i="1"/>
  <c r="D339" i="1"/>
  <c r="C86" i="8"/>
  <c r="F16" i="6"/>
  <c r="C476" i="1"/>
  <c r="S71" i="1"/>
  <c r="E76" i="9"/>
  <c r="D177" i="9"/>
  <c r="C337" i="9"/>
  <c r="D209" i="9"/>
  <c r="E177" i="9"/>
  <c r="E49" i="9"/>
  <c r="H305" i="9"/>
  <c r="D273" i="9"/>
  <c r="E241" i="9"/>
  <c r="G49" i="9"/>
  <c r="H81" i="9"/>
  <c r="G113" i="9"/>
  <c r="C209" i="9"/>
  <c r="C241" i="9"/>
  <c r="I49" i="9"/>
  <c r="E209" i="9"/>
  <c r="D49" i="9"/>
  <c r="D17" i="9"/>
  <c r="E12" i="9"/>
  <c r="P71" i="1"/>
  <c r="I44" i="9"/>
  <c r="C332" i="9"/>
  <c r="BU71" i="1"/>
  <c r="L71" i="1"/>
  <c r="E44" i="9"/>
  <c r="D300" i="9"/>
  <c r="BO71" i="1"/>
  <c r="D12" i="9"/>
  <c r="N71" i="1"/>
  <c r="G44" i="9"/>
  <c r="AL71" i="1"/>
  <c r="C172" i="9"/>
  <c r="BB71" i="1"/>
  <c r="E236" i="9"/>
  <c r="G300" i="9"/>
  <c r="BR71" i="1"/>
  <c r="C268" i="9"/>
  <c r="BG71" i="1"/>
  <c r="G76" i="9"/>
  <c r="U71" i="1"/>
  <c r="C44" i="9"/>
  <c r="J71" i="1"/>
  <c r="AJ71" i="1"/>
  <c r="H140" i="9"/>
  <c r="C236" i="9"/>
  <c r="AZ71" i="1"/>
  <c r="E300" i="9"/>
  <c r="BP71" i="1"/>
  <c r="AY71" i="1"/>
  <c r="I204" i="9"/>
  <c r="H236" i="9"/>
  <c r="BE71" i="1"/>
  <c r="H530" i="1"/>
  <c r="F530" i="1"/>
  <c r="K612" i="1"/>
  <c r="C465" i="1"/>
  <c r="I378" i="9"/>
  <c r="F514" i="1"/>
  <c r="F496" i="1"/>
  <c r="F113" i="9"/>
  <c r="H241" i="9"/>
  <c r="E337" i="9"/>
  <c r="H273" i="9"/>
  <c r="H177" i="9"/>
  <c r="E113" i="9"/>
  <c r="D145" i="9"/>
  <c r="I177" i="9"/>
  <c r="E305" i="9"/>
  <c r="D369" i="9"/>
  <c r="D81" i="9"/>
  <c r="H337" i="9"/>
  <c r="H145" i="9"/>
  <c r="C81" i="9"/>
  <c r="F337" i="9"/>
  <c r="C113" i="9"/>
  <c r="H17" i="9"/>
  <c r="D391" i="1"/>
  <c r="C126" i="8"/>
  <c r="G305" i="9"/>
  <c r="D27" i="7"/>
  <c r="B448" i="1"/>
  <c r="BI71" i="1"/>
  <c r="E268" i="9"/>
  <c r="I76" i="9"/>
  <c r="W71" i="1"/>
  <c r="I140" i="9"/>
  <c r="AB71" i="1"/>
  <c r="G108" i="9"/>
  <c r="I12" i="9"/>
  <c r="I71" i="1"/>
  <c r="F76" i="9"/>
  <c r="T71" i="1"/>
  <c r="H76" i="9"/>
  <c r="V71" i="1"/>
  <c r="AP71" i="1"/>
  <c r="G172" i="9"/>
  <c r="I236" i="9"/>
  <c r="BF71" i="1"/>
  <c r="BV71" i="1"/>
  <c r="D332" i="9"/>
  <c r="D364" i="9"/>
  <c r="CC71" i="1"/>
  <c r="R71" i="1"/>
  <c r="D76" i="9"/>
  <c r="E172" i="9"/>
  <c r="AN71" i="1"/>
  <c r="BD71" i="1"/>
  <c r="G236" i="9"/>
  <c r="BT71" i="1"/>
  <c r="I300" i="9"/>
  <c r="E332" i="9"/>
  <c r="BW71" i="1"/>
  <c r="C140" i="9"/>
  <c r="AE71" i="1"/>
  <c r="G268" i="9"/>
  <c r="BK71" i="1"/>
  <c r="G149" i="9"/>
  <c r="BY71" i="1" l="1"/>
  <c r="D71" i="1"/>
  <c r="C497" i="1" s="1"/>
  <c r="G497" i="1" s="1"/>
  <c r="CE52" i="1"/>
  <c r="F81" i="9"/>
  <c r="G241" i="9"/>
  <c r="E71" i="1"/>
  <c r="C670" i="1" s="1"/>
  <c r="AG71" i="1"/>
  <c r="C526" i="1" s="1"/>
  <c r="G526" i="1" s="1"/>
  <c r="I145" i="9"/>
  <c r="I241" i="9"/>
  <c r="D337" i="9"/>
  <c r="C700" i="1"/>
  <c r="C546" i="1"/>
  <c r="G546" i="1" s="1"/>
  <c r="D245" i="9"/>
  <c r="H85" i="9"/>
  <c r="C515" i="1"/>
  <c r="C687" i="1"/>
  <c r="C688" i="1"/>
  <c r="C516" i="1"/>
  <c r="G516" i="1" s="1"/>
  <c r="I85" i="9"/>
  <c r="C634" i="1"/>
  <c r="C554" i="1"/>
  <c r="E277" i="9"/>
  <c r="C550" i="1"/>
  <c r="G550" i="1" s="1"/>
  <c r="C614" i="1"/>
  <c r="H245" i="9"/>
  <c r="I213" i="9"/>
  <c r="C544" i="1"/>
  <c r="C625" i="1"/>
  <c r="E53" i="9"/>
  <c r="C505" i="1"/>
  <c r="G505" i="1" s="1"/>
  <c r="C677" i="1"/>
  <c r="C713" i="1"/>
  <c r="F213" i="9"/>
  <c r="C541" i="1"/>
  <c r="C708" i="1"/>
  <c r="C536" i="1"/>
  <c r="G536" i="1" s="1"/>
  <c r="H181" i="9"/>
  <c r="C309" i="9"/>
  <c r="C559" i="1"/>
  <c r="C619" i="1"/>
  <c r="F21" i="9"/>
  <c r="C499" i="1"/>
  <c r="G499" i="1" s="1"/>
  <c r="C671" i="1"/>
  <c r="C504" i="1"/>
  <c r="G504" i="1" s="1"/>
  <c r="C676" i="1"/>
  <c r="D53" i="9"/>
  <c r="C689" i="1"/>
  <c r="C517" i="1"/>
  <c r="C117" i="9"/>
  <c r="F502" i="1"/>
  <c r="H502" i="1"/>
  <c r="C540" i="1"/>
  <c r="G540" i="1" s="1"/>
  <c r="E213" i="9"/>
  <c r="C712" i="1"/>
  <c r="C709" i="1"/>
  <c r="I181" i="9"/>
  <c r="C537" i="1"/>
  <c r="G537" i="1" s="1"/>
  <c r="C519" i="1"/>
  <c r="G519" i="1" s="1"/>
  <c r="E117" i="9"/>
  <c r="C691" i="1"/>
  <c r="C623" i="1"/>
  <c r="C562" i="1"/>
  <c r="F309" i="9"/>
  <c r="F117" i="9"/>
  <c r="C520" i="1"/>
  <c r="C692" i="1"/>
  <c r="H309" i="9"/>
  <c r="C564" i="1"/>
  <c r="C639" i="1"/>
  <c r="F516" i="1"/>
  <c r="C524" i="1"/>
  <c r="C149" i="9"/>
  <c r="C696" i="1"/>
  <c r="C565" i="1"/>
  <c r="I309" i="9"/>
  <c r="C640" i="1"/>
  <c r="C533" i="1"/>
  <c r="G533" i="1" s="1"/>
  <c r="C705" i="1"/>
  <c r="E181" i="9"/>
  <c r="C511" i="1"/>
  <c r="C683" i="1"/>
  <c r="D85" i="9"/>
  <c r="D373" i="9"/>
  <c r="C574" i="1"/>
  <c r="C620" i="1"/>
  <c r="D341" i="9"/>
  <c r="C567" i="1"/>
  <c r="C642" i="1"/>
  <c r="I149" i="9"/>
  <c r="C702" i="1"/>
  <c r="C530" i="1"/>
  <c r="G530" i="1" s="1"/>
  <c r="C628" i="1"/>
  <c r="C245" i="9"/>
  <c r="C545" i="1"/>
  <c r="G545" i="1" s="1"/>
  <c r="C626" i="1"/>
  <c r="G309" i="9"/>
  <c r="C563" i="1"/>
  <c r="C632" i="1"/>
  <c r="C547" i="1"/>
  <c r="E245" i="9"/>
  <c r="C509" i="1"/>
  <c r="G509" i="1" s="1"/>
  <c r="C681" i="1"/>
  <c r="I53" i="9"/>
  <c r="C646" i="1"/>
  <c r="H341" i="9"/>
  <c r="C571" i="1"/>
  <c r="C525" i="1"/>
  <c r="G525" i="1" s="1"/>
  <c r="C697" i="1"/>
  <c r="D149" i="9"/>
  <c r="C631" i="1"/>
  <c r="G213" i="9"/>
  <c r="C542" i="1"/>
  <c r="C534" i="1"/>
  <c r="G534" i="1" s="1"/>
  <c r="C706" i="1"/>
  <c r="F181" i="9"/>
  <c r="C518" i="1"/>
  <c r="G518" i="1" s="1"/>
  <c r="D117" i="9"/>
  <c r="C690" i="1"/>
  <c r="C570" i="1"/>
  <c r="C645" i="1"/>
  <c r="G341" i="9"/>
  <c r="C538" i="1"/>
  <c r="G538" i="1" s="1"/>
  <c r="C213" i="9"/>
  <c r="C710" i="1"/>
  <c r="C496" i="1"/>
  <c r="C21" i="9"/>
  <c r="C668" i="1"/>
  <c r="F550" i="1"/>
  <c r="H550" i="1" s="1"/>
  <c r="C17" i="9"/>
  <c r="CE67" i="1"/>
  <c r="CE71" i="1" s="1"/>
  <c r="F500" i="1"/>
  <c r="E341" i="9"/>
  <c r="C568" i="1"/>
  <c r="C643" i="1"/>
  <c r="G245" i="9"/>
  <c r="C624" i="1"/>
  <c r="C549" i="1"/>
  <c r="G181" i="9"/>
  <c r="C707" i="1"/>
  <c r="C535" i="1"/>
  <c r="G535" i="1" s="1"/>
  <c r="C521" i="1"/>
  <c r="G521" i="1" s="1"/>
  <c r="C693" i="1"/>
  <c r="G117" i="9"/>
  <c r="D393" i="1"/>
  <c r="C142" i="8"/>
  <c r="C701" i="1"/>
  <c r="C529" i="1"/>
  <c r="G529" i="1" s="1"/>
  <c r="H149" i="9"/>
  <c r="C686" i="1"/>
  <c r="G85" i="9"/>
  <c r="C514" i="1"/>
  <c r="C277" i="9"/>
  <c r="C552" i="1"/>
  <c r="C618" i="1"/>
  <c r="C679" i="1"/>
  <c r="C507" i="1"/>
  <c r="G53" i="9"/>
  <c r="C341" i="9"/>
  <c r="C566" i="1"/>
  <c r="C641" i="1"/>
  <c r="F534" i="1"/>
  <c r="H534" i="1"/>
  <c r="F526" i="1"/>
  <c r="H526" i="1" s="1"/>
  <c r="C102" i="8"/>
  <c r="C482" i="1"/>
  <c r="C647" i="1"/>
  <c r="I341" i="9"/>
  <c r="C572" i="1"/>
  <c r="C500" i="1"/>
  <c r="G500" i="1" s="1"/>
  <c r="G21" i="9"/>
  <c r="C672" i="1"/>
  <c r="I277" i="9"/>
  <c r="C558" i="1"/>
  <c r="C638" i="1"/>
  <c r="C543" i="1"/>
  <c r="H213" i="9"/>
  <c r="C616" i="1"/>
  <c r="F149" i="9"/>
  <c r="C527" i="1"/>
  <c r="G527" i="1" s="1"/>
  <c r="C699" i="1"/>
  <c r="F508" i="1"/>
  <c r="F546" i="1"/>
  <c r="H546" i="1"/>
  <c r="C508" i="1"/>
  <c r="G508" i="1" s="1"/>
  <c r="C680" i="1"/>
  <c r="H53" i="9"/>
  <c r="C539" i="1"/>
  <c r="G539" i="1" s="1"/>
  <c r="C711" i="1"/>
  <c r="D213" i="9"/>
  <c r="C678" i="1"/>
  <c r="F53" i="9"/>
  <c r="C506" i="1"/>
  <c r="G506" i="1" s="1"/>
  <c r="C428" i="1"/>
  <c r="I364" i="9"/>
  <c r="H518" i="1"/>
  <c r="F518" i="1"/>
  <c r="C673" i="1"/>
  <c r="H21" i="9"/>
  <c r="C501" i="1"/>
  <c r="G277" i="9"/>
  <c r="C556" i="1"/>
  <c r="C635" i="1"/>
  <c r="C629" i="1"/>
  <c r="C551" i="1"/>
  <c r="I245" i="9"/>
  <c r="C685" i="1"/>
  <c r="F85" i="9"/>
  <c r="C513" i="1"/>
  <c r="C502" i="1"/>
  <c r="G502" i="1" s="1"/>
  <c r="I21" i="9"/>
  <c r="C674" i="1"/>
  <c r="C621" i="1"/>
  <c r="E309" i="9"/>
  <c r="C561" i="1"/>
  <c r="C503" i="1"/>
  <c r="G503" i="1" s="1"/>
  <c r="C53" i="9"/>
  <c r="C675" i="1"/>
  <c r="C531" i="1"/>
  <c r="G531" i="1" s="1"/>
  <c r="C181" i="9"/>
  <c r="C703" i="1"/>
  <c r="C560" i="1"/>
  <c r="D309" i="9"/>
  <c r="C627" i="1"/>
  <c r="C684" i="1"/>
  <c r="E85" i="9"/>
  <c r="C512" i="1"/>
  <c r="F510" i="1"/>
  <c r="H510" i="1"/>
  <c r="C698" i="1"/>
  <c r="E149" i="9"/>
  <c r="C637" i="1"/>
  <c r="H277" i="9"/>
  <c r="C557" i="1"/>
  <c r="D181" i="9"/>
  <c r="C532" i="1"/>
  <c r="G532" i="1" s="1"/>
  <c r="C704" i="1"/>
  <c r="H117" i="9"/>
  <c r="C694" i="1"/>
  <c r="C522" i="1"/>
  <c r="C682" i="1"/>
  <c r="C510" i="1"/>
  <c r="G510" i="1" s="1"/>
  <c r="C85" i="9"/>
  <c r="F341" i="9"/>
  <c r="C569" i="1"/>
  <c r="C644" i="1"/>
  <c r="D277" i="9"/>
  <c r="C636" i="1"/>
  <c r="C553" i="1"/>
  <c r="F277" i="9"/>
  <c r="C617" i="1"/>
  <c r="C555" i="1"/>
  <c r="I117" i="9"/>
  <c r="C695" i="1"/>
  <c r="C523" i="1"/>
  <c r="G523" i="1" s="1"/>
  <c r="C373" i="9"/>
  <c r="C573" i="1"/>
  <c r="C622" i="1"/>
  <c r="G507" i="1" l="1"/>
  <c r="H507" i="1"/>
  <c r="G496" i="1"/>
  <c r="H496" i="1" s="1"/>
  <c r="C498" i="1"/>
  <c r="G513" i="1"/>
  <c r="H513" i="1"/>
  <c r="H516" i="1"/>
  <c r="G544" i="1"/>
  <c r="H544" i="1"/>
  <c r="G515" i="1"/>
  <c r="H515" i="1"/>
  <c r="E21" i="9"/>
  <c r="G514" i="1"/>
  <c r="H514" i="1"/>
  <c r="H500" i="1"/>
  <c r="G511" i="1"/>
  <c r="H511" i="1"/>
  <c r="G520" i="1"/>
  <c r="H520" i="1"/>
  <c r="G501" i="1"/>
  <c r="H501" i="1"/>
  <c r="G522" i="1"/>
  <c r="H522" i="1"/>
  <c r="G512" i="1"/>
  <c r="H512" i="1"/>
  <c r="H508" i="1"/>
  <c r="G524" i="1"/>
  <c r="H524" i="1"/>
  <c r="G517" i="1"/>
  <c r="H517" i="1"/>
  <c r="H509" i="1"/>
  <c r="C669" i="1"/>
  <c r="D21" i="9"/>
  <c r="F539" i="1"/>
  <c r="H539" i="1"/>
  <c r="H535" i="1"/>
  <c r="F535" i="1"/>
  <c r="F537" i="1"/>
  <c r="H537" i="1"/>
  <c r="H531" i="1"/>
  <c r="F531" i="1"/>
  <c r="H529" i="1"/>
  <c r="F529" i="1"/>
  <c r="H525" i="1"/>
  <c r="F525" i="1"/>
  <c r="H523" i="1"/>
  <c r="F523" i="1"/>
  <c r="F519" i="1"/>
  <c r="H519" i="1"/>
  <c r="H521" i="1"/>
  <c r="F521" i="1"/>
  <c r="F533" i="1"/>
  <c r="H533" i="1"/>
  <c r="D396" i="1"/>
  <c r="C151" i="8" s="1"/>
  <c r="C146" i="8"/>
  <c r="C433" i="1"/>
  <c r="C441" i="1" s="1"/>
  <c r="I369" i="9"/>
  <c r="C715" i="1"/>
  <c r="C648" i="1"/>
  <c r="M716" i="1" s="1"/>
  <c r="D615" i="1"/>
  <c r="C716" i="1"/>
  <c r="I373" i="9"/>
  <c r="H527" i="1"/>
  <c r="F527" i="1"/>
  <c r="F545" i="1"/>
  <c r="H545" i="1"/>
  <c r="G498" i="1" l="1"/>
  <c r="H498" i="1"/>
  <c r="D640" i="1"/>
  <c r="D673" i="1"/>
  <c r="D680" i="1"/>
  <c r="D709" i="1"/>
  <c r="D637" i="1"/>
  <c r="D690" i="1"/>
  <c r="D638" i="1"/>
  <c r="D678" i="1"/>
  <c r="D675" i="1"/>
  <c r="D686" i="1"/>
  <c r="D716" i="1"/>
  <c r="D706" i="1"/>
  <c r="D624" i="1"/>
  <c r="D695" i="1"/>
  <c r="D639" i="1"/>
  <c r="D616" i="1"/>
  <c r="D712" i="1"/>
  <c r="D627" i="1"/>
  <c r="D646" i="1"/>
  <c r="D676" i="1"/>
  <c r="D669" i="1"/>
  <c r="D702" i="1"/>
  <c r="D711" i="1"/>
  <c r="D628" i="1"/>
  <c r="D697" i="1"/>
  <c r="D625" i="1"/>
  <c r="D679" i="1"/>
  <c r="D708" i="1"/>
  <c r="D700" i="1"/>
  <c r="D635" i="1"/>
  <c r="D689" i="1"/>
  <c r="D677" i="1"/>
  <c r="D643" i="1"/>
  <c r="D681" i="1"/>
  <c r="D694" i="1"/>
  <c r="D707" i="1"/>
  <c r="D703" i="1"/>
  <c r="D682" i="1"/>
  <c r="D630" i="1"/>
  <c r="D699" i="1"/>
  <c r="D687" i="1"/>
  <c r="D629" i="1"/>
  <c r="D644" i="1"/>
  <c r="D671" i="1"/>
  <c r="D692" i="1"/>
  <c r="D620" i="1"/>
  <c r="D645" i="1"/>
  <c r="D634" i="1"/>
  <c r="D622" i="1"/>
  <c r="D683" i="1"/>
  <c r="D704" i="1"/>
  <c r="D621" i="1"/>
  <c r="D633" i="1"/>
  <c r="D713" i="1"/>
  <c r="D691" i="1"/>
  <c r="D631" i="1"/>
  <c r="D685" i="1"/>
  <c r="D693" i="1"/>
  <c r="D623" i="1"/>
  <c r="D619" i="1"/>
  <c r="D670" i="1"/>
  <c r="D636" i="1"/>
  <c r="D705" i="1"/>
  <c r="D688" i="1"/>
  <c r="D684" i="1"/>
  <c r="D632" i="1"/>
  <c r="D642" i="1"/>
  <c r="D617" i="1"/>
  <c r="D674" i="1"/>
  <c r="D698" i="1"/>
  <c r="D701" i="1"/>
  <c r="D696" i="1"/>
  <c r="D618" i="1"/>
  <c r="D647" i="1"/>
  <c r="D672" i="1"/>
  <c r="D710" i="1"/>
  <c r="D626" i="1"/>
  <c r="D668" i="1"/>
  <c r="D641" i="1"/>
  <c r="E623" i="1" l="1"/>
  <c r="E716" i="1" s="1"/>
  <c r="E612" i="1"/>
  <c r="D715" i="1"/>
  <c r="E638" i="1" l="1"/>
  <c r="E691" i="1"/>
  <c r="E646" i="1"/>
  <c r="E700" i="1"/>
  <c r="E644" i="1"/>
  <c r="E685" i="1"/>
  <c r="E712" i="1"/>
  <c r="E681" i="1"/>
  <c r="E689" i="1"/>
  <c r="E631" i="1"/>
  <c r="E693" i="1"/>
  <c r="E710" i="1"/>
  <c r="E672" i="1"/>
  <c r="E679" i="1"/>
  <c r="E671" i="1"/>
  <c r="E668" i="1"/>
  <c r="E640" i="1"/>
  <c r="E630" i="1"/>
  <c r="E687" i="1"/>
  <c r="E708" i="1"/>
  <c r="E684" i="1"/>
  <c r="E643" i="1"/>
  <c r="E683" i="1"/>
  <c r="E645" i="1"/>
  <c r="E639" i="1"/>
  <c r="E694" i="1"/>
  <c r="E682" i="1"/>
  <c r="E670" i="1"/>
  <c r="E677" i="1"/>
  <c r="E636" i="1"/>
  <c r="E641" i="1"/>
  <c r="E709" i="1"/>
  <c r="E698" i="1"/>
  <c r="E674" i="1"/>
  <c r="E695" i="1"/>
  <c r="E688" i="1"/>
  <c r="E635" i="1"/>
  <c r="E642" i="1"/>
  <c r="E702" i="1"/>
  <c r="E676" i="1"/>
  <c r="E632" i="1"/>
  <c r="E706" i="1"/>
  <c r="E713" i="1"/>
  <c r="E705" i="1"/>
  <c r="E647" i="1"/>
  <c r="E704" i="1"/>
  <c r="E680" i="1"/>
  <c r="E711" i="1"/>
  <c r="E696" i="1"/>
  <c r="E692" i="1"/>
  <c r="E669" i="1"/>
  <c r="E629" i="1"/>
  <c r="E628" i="1"/>
  <c r="E634" i="1"/>
  <c r="E707" i="1"/>
  <c r="E701" i="1"/>
  <c r="E699" i="1"/>
  <c r="E626" i="1"/>
  <c r="E678" i="1"/>
  <c r="F703" i="1"/>
  <c r="F668" i="1"/>
  <c r="F690" i="1"/>
  <c r="F712" i="1"/>
  <c r="F629" i="1"/>
  <c r="F675" i="1"/>
  <c r="E633" i="1"/>
  <c r="E703" i="1"/>
  <c r="E675" i="1"/>
  <c r="E624" i="1"/>
  <c r="F624" i="1" s="1"/>
  <c r="F645" i="1" s="1"/>
  <c r="E690" i="1"/>
  <c r="E625" i="1"/>
  <c r="E673" i="1"/>
  <c r="E637" i="1"/>
  <c r="E697" i="1"/>
  <c r="E686" i="1"/>
  <c r="E627" i="1"/>
  <c r="F635" i="1" l="1"/>
  <c r="F646" i="1"/>
  <c r="F643" i="1"/>
  <c r="F638" i="1"/>
  <c r="F700" i="1"/>
  <c r="F673" i="1"/>
  <c r="F627" i="1"/>
  <c r="F707" i="1"/>
  <c r="F683" i="1"/>
  <c r="F674" i="1"/>
  <c r="F641" i="1"/>
  <c r="F679" i="1"/>
  <c r="F695" i="1"/>
  <c r="F685" i="1"/>
  <c r="F647" i="1"/>
  <c r="F639" i="1"/>
  <c r="F642" i="1"/>
  <c r="F696" i="1"/>
  <c r="F677" i="1"/>
  <c r="F632" i="1"/>
  <c r="F644" i="1"/>
  <c r="F699" i="1"/>
  <c r="F633" i="1"/>
  <c r="F716" i="1"/>
  <c r="F631" i="1"/>
  <c r="F704" i="1"/>
  <c r="F636" i="1"/>
  <c r="F710" i="1"/>
  <c r="F682" i="1"/>
  <c r="F688" i="1"/>
  <c r="F705" i="1"/>
  <c r="F626" i="1"/>
  <c r="F702" i="1"/>
  <c r="F694" i="1"/>
  <c r="F698" i="1"/>
  <c r="F713" i="1"/>
  <c r="F706" i="1"/>
  <c r="F687" i="1"/>
  <c r="F678" i="1"/>
  <c r="F701" i="1"/>
  <c r="F676" i="1"/>
  <c r="F711" i="1"/>
  <c r="F672" i="1"/>
  <c r="F669" i="1"/>
  <c r="F630" i="1"/>
  <c r="F686" i="1"/>
  <c r="F628" i="1"/>
  <c r="F689" i="1"/>
  <c r="F681" i="1"/>
  <c r="F708" i="1"/>
  <c r="F634" i="1"/>
  <c r="F671" i="1"/>
  <c r="F691" i="1"/>
  <c r="F692" i="1"/>
  <c r="F680" i="1"/>
  <c r="F684" i="1"/>
  <c r="F693" i="1"/>
  <c r="F670" i="1"/>
  <c r="F640" i="1"/>
  <c r="F697" i="1"/>
  <c r="F625" i="1"/>
  <c r="G625" i="1" s="1"/>
  <c r="F637" i="1"/>
  <c r="F709" i="1"/>
  <c r="E715" i="1"/>
  <c r="F715" i="1" l="1"/>
  <c r="G703" i="1"/>
  <c r="G705" i="1"/>
  <c r="G688" i="1"/>
  <c r="G626" i="1"/>
  <c r="G676" i="1"/>
  <c r="G683" i="1"/>
  <c r="G633" i="1"/>
  <c r="G693" i="1"/>
  <c r="G684" i="1"/>
  <c r="G687" i="1"/>
  <c r="G698" i="1"/>
  <c r="G628" i="1"/>
  <c r="G668" i="1"/>
  <c r="G679" i="1"/>
  <c r="G696" i="1"/>
  <c r="G697" i="1"/>
  <c r="G677" i="1"/>
  <c r="G707" i="1"/>
  <c r="G671" i="1"/>
  <c r="G713" i="1"/>
  <c r="G692" i="1"/>
  <c r="G635" i="1"/>
  <c r="G700" i="1"/>
  <c r="G642" i="1"/>
  <c r="G689" i="1"/>
  <c r="G716" i="1"/>
  <c r="G647" i="1"/>
  <c r="G645" i="1"/>
  <c r="G669" i="1"/>
  <c r="G681" i="1"/>
  <c r="G634" i="1"/>
  <c r="G636" i="1"/>
  <c r="G673" i="1"/>
  <c r="G686" i="1"/>
  <c r="G629" i="1"/>
  <c r="G640" i="1"/>
  <c r="G704" i="1"/>
  <c r="G674" i="1"/>
  <c r="G702" i="1"/>
  <c r="G632" i="1"/>
  <c r="G709" i="1"/>
  <c r="G694" i="1"/>
  <c r="G644" i="1"/>
  <c r="G672" i="1"/>
  <c r="G711" i="1"/>
  <c r="G706" i="1"/>
  <c r="G639" i="1"/>
  <c r="G680" i="1"/>
  <c r="G678" i="1"/>
  <c r="G643" i="1"/>
  <c r="G646" i="1"/>
  <c r="G708" i="1"/>
  <c r="G631" i="1"/>
  <c r="G630" i="1"/>
  <c r="G690" i="1"/>
  <c r="G685" i="1"/>
  <c r="G641" i="1"/>
  <c r="G675" i="1"/>
  <c r="G701" i="1"/>
  <c r="G691" i="1"/>
  <c r="G627" i="1"/>
  <c r="G637" i="1"/>
  <c r="G682" i="1"/>
  <c r="G710" i="1"/>
  <c r="G699" i="1"/>
  <c r="G712" i="1"/>
  <c r="G670" i="1"/>
  <c r="G638" i="1"/>
  <c r="G695" i="1"/>
  <c r="H628" i="1" l="1"/>
  <c r="H685" i="1" s="1"/>
  <c r="H679" i="1"/>
  <c r="H692" i="1"/>
  <c r="H672" i="1"/>
  <c r="H700" i="1"/>
  <c r="H716" i="1"/>
  <c r="H690" i="1"/>
  <c r="H696" i="1"/>
  <c r="H675" i="1"/>
  <c r="H694" i="1"/>
  <c r="H707" i="1"/>
  <c r="H703" i="1"/>
  <c r="H688" i="1"/>
  <c r="H642" i="1"/>
  <c r="H636" i="1"/>
  <c r="H680" i="1"/>
  <c r="H689" i="1"/>
  <c r="H693" i="1"/>
  <c r="H681" i="1"/>
  <c r="H677" i="1"/>
  <c r="H669" i="1"/>
  <c r="H687" i="1"/>
  <c r="H629" i="1"/>
  <c r="I629" i="1" s="1"/>
  <c r="H697" i="1"/>
  <c r="H631" i="1"/>
  <c r="H635" i="1"/>
  <c r="H678" i="1"/>
  <c r="H711" i="1"/>
  <c r="H633" i="1"/>
  <c r="H647" i="1"/>
  <c r="H708" i="1"/>
  <c r="H641" i="1"/>
  <c r="H698" i="1"/>
  <c r="H699" i="1"/>
  <c r="H674" i="1"/>
  <c r="H645" i="1"/>
  <c r="H676" i="1"/>
  <c r="H683" i="1"/>
  <c r="H639" i="1"/>
  <c r="H710" i="1"/>
  <c r="H706" i="1"/>
  <c r="H643" i="1"/>
  <c r="H682" i="1"/>
  <c r="H686" i="1"/>
  <c r="H646" i="1"/>
  <c r="H668" i="1"/>
  <c r="H705" i="1"/>
  <c r="H630" i="1"/>
  <c r="H644" i="1"/>
  <c r="H673" i="1"/>
  <c r="H702" i="1"/>
  <c r="H632" i="1"/>
  <c r="H691" i="1"/>
  <c r="H670" i="1"/>
  <c r="H634" i="1"/>
  <c r="H684" i="1"/>
  <c r="H695" i="1"/>
  <c r="H640" i="1"/>
  <c r="H701" i="1"/>
  <c r="H671" i="1"/>
  <c r="H709" i="1"/>
  <c r="H637" i="1"/>
  <c r="H704" i="1"/>
  <c r="H638" i="1"/>
  <c r="H712" i="1"/>
  <c r="H713" i="1"/>
  <c r="G715" i="1"/>
  <c r="I707" i="1"/>
  <c r="I679" i="1"/>
  <c r="I630" i="1"/>
  <c r="I690" i="1"/>
  <c r="I713" i="1"/>
  <c r="I701" i="1"/>
  <c r="I692" i="1"/>
  <c r="I635" i="1"/>
  <c r="I710" i="1"/>
  <c r="I689" i="1"/>
  <c r="I712" i="1"/>
  <c r="I697" i="1"/>
  <c r="I700" i="1" l="1"/>
  <c r="I669" i="1"/>
  <c r="I633" i="1"/>
  <c r="I671" i="1"/>
  <c r="I699" i="1"/>
  <c r="I691" i="1"/>
  <c r="I675" i="1"/>
  <c r="I674" i="1"/>
  <c r="I632" i="1"/>
  <c r="I631" i="1"/>
  <c r="I636" i="1"/>
  <c r="I644" i="1"/>
  <c r="I672" i="1"/>
  <c r="I646" i="1"/>
  <c r="I670" i="1"/>
  <c r="I638" i="1"/>
  <c r="I677" i="1"/>
  <c r="I676" i="1"/>
  <c r="I634" i="1"/>
  <c r="I708" i="1"/>
  <c r="I681" i="1"/>
  <c r="I645" i="1"/>
  <c r="I694" i="1"/>
  <c r="I703" i="1"/>
  <c r="I705" i="1"/>
  <c r="I695" i="1"/>
  <c r="I693" i="1"/>
  <c r="I641" i="1"/>
  <c r="I688" i="1"/>
  <c r="I683" i="1"/>
  <c r="I668" i="1"/>
  <c r="I686" i="1"/>
  <c r="I673" i="1"/>
  <c r="I696" i="1"/>
  <c r="I706" i="1"/>
  <c r="I684" i="1"/>
  <c r="I704" i="1"/>
  <c r="I709" i="1"/>
  <c r="I640" i="1"/>
  <c r="I678" i="1"/>
  <c r="J630" i="1"/>
  <c r="I642" i="1"/>
  <c r="I685" i="1"/>
  <c r="I687" i="1"/>
  <c r="I716" i="1"/>
  <c r="I702" i="1"/>
  <c r="I680" i="1"/>
  <c r="I682" i="1"/>
  <c r="I647" i="1"/>
  <c r="I637" i="1"/>
  <c r="I639" i="1"/>
  <c r="I711" i="1"/>
  <c r="I643" i="1"/>
  <c r="I698" i="1"/>
  <c r="H715" i="1"/>
  <c r="I715" i="1" l="1"/>
  <c r="J671" i="1"/>
  <c r="J631" i="1"/>
  <c r="J645" i="1"/>
  <c r="J638" i="1"/>
  <c r="J635" i="1"/>
  <c r="J680" i="1"/>
  <c r="J634" i="1"/>
  <c r="J692" i="1"/>
  <c r="J691" i="1"/>
  <c r="J685" i="1"/>
  <c r="J677" i="1"/>
  <c r="J644" i="1"/>
  <c r="J711" i="1"/>
  <c r="J668" i="1"/>
  <c r="J676" i="1"/>
  <c r="J675" i="1"/>
  <c r="J632" i="1"/>
  <c r="J704" i="1"/>
  <c r="J683" i="1"/>
  <c r="J702" i="1"/>
  <c r="J646" i="1"/>
  <c r="J693" i="1"/>
  <c r="J697" i="1"/>
  <c r="J674" i="1"/>
  <c r="J712" i="1"/>
  <c r="J713" i="1"/>
  <c r="J690" i="1"/>
  <c r="J709" i="1"/>
  <c r="J689" i="1"/>
  <c r="J716" i="1"/>
  <c r="J633" i="1"/>
  <c r="J708" i="1"/>
  <c r="J643" i="1"/>
  <c r="J696" i="1"/>
  <c r="J647" i="1"/>
  <c r="J701" i="1"/>
  <c r="J669" i="1"/>
  <c r="J641" i="1"/>
  <c r="J694" i="1"/>
  <c r="J682" i="1"/>
  <c r="J698" i="1"/>
  <c r="J642" i="1"/>
  <c r="J706" i="1"/>
  <c r="J670" i="1"/>
  <c r="J686" i="1"/>
  <c r="J636" i="1"/>
  <c r="J707" i="1"/>
  <c r="J705" i="1"/>
  <c r="J679" i="1"/>
  <c r="J639" i="1"/>
  <c r="J673" i="1"/>
  <c r="J681" i="1"/>
  <c r="J700" i="1"/>
  <c r="J687" i="1"/>
  <c r="J699" i="1"/>
  <c r="J637" i="1"/>
  <c r="J684" i="1"/>
  <c r="J688" i="1"/>
  <c r="J678" i="1"/>
  <c r="J640" i="1"/>
  <c r="J695" i="1"/>
  <c r="J703" i="1"/>
  <c r="J710" i="1"/>
  <c r="J672" i="1"/>
  <c r="J715" i="1" l="1"/>
  <c r="K644" i="1"/>
  <c r="L647" i="1"/>
  <c r="L704" i="1" l="1"/>
  <c r="L677" i="1"/>
  <c r="L713" i="1"/>
  <c r="L683" i="1"/>
  <c r="L671" i="1"/>
  <c r="L684" i="1"/>
  <c r="L682" i="1"/>
  <c r="L668" i="1"/>
  <c r="L697" i="1"/>
  <c r="L692" i="1"/>
  <c r="L695" i="1"/>
  <c r="L696" i="1"/>
  <c r="L674" i="1"/>
  <c r="L685" i="1"/>
  <c r="L689" i="1"/>
  <c r="L687" i="1"/>
  <c r="L693" i="1"/>
  <c r="L699" i="1"/>
  <c r="L698" i="1"/>
  <c r="L673" i="1"/>
  <c r="L669" i="1"/>
  <c r="L700" i="1"/>
  <c r="L709" i="1"/>
  <c r="L690" i="1"/>
  <c r="L705" i="1"/>
  <c r="L676" i="1"/>
  <c r="L679" i="1"/>
  <c r="L702" i="1"/>
  <c r="L680" i="1"/>
  <c r="L708" i="1"/>
  <c r="L710" i="1"/>
  <c r="L688" i="1"/>
  <c r="L706" i="1"/>
  <c r="L701" i="1"/>
  <c r="L712" i="1"/>
  <c r="L670" i="1"/>
  <c r="L672" i="1"/>
  <c r="L716" i="1"/>
  <c r="L675" i="1"/>
  <c r="L711" i="1"/>
  <c r="L686" i="1"/>
  <c r="L703" i="1"/>
  <c r="L681" i="1"/>
  <c r="L678" i="1"/>
  <c r="L691" i="1"/>
  <c r="L707" i="1"/>
  <c r="L694" i="1"/>
  <c r="K716" i="1"/>
  <c r="K679" i="1"/>
  <c r="K704" i="1"/>
  <c r="K699" i="1"/>
  <c r="K713" i="1"/>
  <c r="K708" i="1"/>
  <c r="K694" i="1"/>
  <c r="K677" i="1"/>
  <c r="K700" i="1"/>
  <c r="K701" i="1"/>
  <c r="K683" i="1"/>
  <c r="K690" i="1"/>
  <c r="K674" i="1"/>
  <c r="K703" i="1"/>
  <c r="K669" i="1"/>
  <c r="K680" i="1"/>
  <c r="K695" i="1"/>
  <c r="K668" i="1"/>
  <c r="K697" i="1"/>
  <c r="K709" i="1"/>
  <c r="K691" i="1"/>
  <c r="K672" i="1"/>
  <c r="K711" i="1"/>
  <c r="K698" i="1"/>
  <c r="K681" i="1"/>
  <c r="K710" i="1"/>
  <c r="K712" i="1"/>
  <c r="K706" i="1"/>
  <c r="K671" i="1"/>
  <c r="K707" i="1"/>
  <c r="K670" i="1"/>
  <c r="K676" i="1"/>
  <c r="K692" i="1"/>
  <c r="K689" i="1"/>
  <c r="K682" i="1"/>
  <c r="K685" i="1"/>
  <c r="M685" i="1" s="1"/>
  <c r="K673" i="1"/>
  <c r="K678" i="1"/>
  <c r="K675" i="1"/>
  <c r="K684" i="1"/>
  <c r="K688" i="1"/>
  <c r="K702" i="1"/>
  <c r="K693" i="1"/>
  <c r="K696" i="1"/>
  <c r="K687" i="1"/>
  <c r="K705" i="1"/>
  <c r="K686" i="1"/>
  <c r="M680" i="1" l="1"/>
  <c r="M699" i="1"/>
  <c r="M691" i="1"/>
  <c r="M669" i="1"/>
  <c r="D23" i="9" s="1"/>
  <c r="M693" i="1"/>
  <c r="M697" i="1"/>
  <c r="M704" i="1"/>
  <c r="M711" i="1"/>
  <c r="M690" i="1"/>
  <c r="M674" i="1"/>
  <c r="M671" i="1"/>
  <c r="F23" i="9" s="1"/>
  <c r="F151" i="9"/>
  <c r="M694" i="1"/>
  <c r="M681" i="1"/>
  <c r="M675" i="1"/>
  <c r="M712" i="1"/>
  <c r="M710" i="1"/>
  <c r="M679" i="1"/>
  <c r="M709" i="1"/>
  <c r="M698" i="1"/>
  <c r="M689" i="1"/>
  <c r="M695" i="1"/>
  <c r="M682" i="1"/>
  <c r="M713" i="1"/>
  <c r="K715" i="1"/>
  <c r="M668" i="1"/>
  <c r="E119" i="9"/>
  <c r="M672" i="1"/>
  <c r="H55" i="9"/>
  <c r="M705" i="1"/>
  <c r="G119" i="9"/>
  <c r="I23" i="9"/>
  <c r="D151" i="9"/>
  <c r="D183" i="9"/>
  <c r="M678" i="1"/>
  <c r="M688" i="1"/>
  <c r="M702" i="1"/>
  <c r="D119" i="9"/>
  <c r="M673" i="1"/>
  <c r="M687" i="1"/>
  <c r="L715" i="1"/>
  <c r="M696" i="1"/>
  <c r="F87" i="9"/>
  <c r="M706" i="1"/>
  <c r="M686" i="1"/>
  <c r="M670" i="1"/>
  <c r="M683" i="1"/>
  <c r="M707" i="1"/>
  <c r="M703" i="1"/>
  <c r="M701" i="1"/>
  <c r="M708" i="1"/>
  <c r="M676" i="1"/>
  <c r="M700" i="1"/>
  <c r="M692" i="1"/>
  <c r="M684" i="1"/>
  <c r="M677" i="1"/>
  <c r="D215" i="9" l="1"/>
  <c r="G151" i="9"/>
  <c r="C183" i="9"/>
  <c r="G87" i="9"/>
  <c r="C151" i="9"/>
  <c r="C87" i="9"/>
  <c r="I183" i="9"/>
  <c r="C55" i="9"/>
  <c r="E55" i="9"/>
  <c r="D55" i="9"/>
  <c r="G183" i="9"/>
  <c r="F183" i="9"/>
  <c r="C23" i="9"/>
  <c r="M715" i="1"/>
  <c r="I119" i="9"/>
  <c r="G55" i="9"/>
  <c r="I55" i="9"/>
  <c r="E87" i="9"/>
  <c r="H183" i="9"/>
  <c r="D87" i="9"/>
  <c r="H87" i="9"/>
  <c r="I151" i="9"/>
  <c r="F55" i="9"/>
  <c r="G23" i="9"/>
  <c r="C119" i="9"/>
  <c r="C215" i="9"/>
  <c r="H119" i="9"/>
  <c r="F119" i="9"/>
  <c r="H151" i="9"/>
  <c r="E23" i="9"/>
  <c r="H23" i="9"/>
  <c r="I87" i="9"/>
  <c r="E183" i="9"/>
  <c r="F215" i="9"/>
  <c r="E151" i="9"/>
  <c r="E215" i="9"/>
</calcChain>
</file>

<file path=xl/sharedStrings.xml><?xml version="1.0" encoding="utf-8"?>
<sst xmlns="http://schemas.openxmlformats.org/spreadsheetml/2006/main" count="4670" uniqueCount="1278">
  <si>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</si>
  <si>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</si>
  <si>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</si>
  <si>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</si>
  <si>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</si>
  <si>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</si>
  <si>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</si>
  <si>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</si>
  <si>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</si>
  <si>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</si>
  <si>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</si>
  <si>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</si>
  <si>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</si>
  <si>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</si>
  <si>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</si>
  <si>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</si>
  <si>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</si>
  <si>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</si>
  <si>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</si>
  <si>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</si>
  <si>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</si>
  <si>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</si>
  <si>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</si>
  <si>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</si>
  <si>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</si>
  <si>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</si>
  <si>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</si>
  <si>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</si>
  <si>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</si>
  <si>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</si>
  <si>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</si>
  <si>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</si>
  <si>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</si>
  <si>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</si>
  <si>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</si>
  <si>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</si>
  <si>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</si>
  <si>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</si>
  <si>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</si>
  <si>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</si>
  <si>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</si>
  <si>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</si>
  <si>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</si>
  <si>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</si>
  <si>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</si>
  <si>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</si>
  <si>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</si>
  <si>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</si>
  <si>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</si>
  <si>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</si>
  <si>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</si>
  <si>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</si>
  <si>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</si>
  <si>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</si>
  <si>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</si>
  <si>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</si>
  <si>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</si>
  <si>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</si>
  <si>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</si>
  <si>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</si>
  <si>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</si>
  <si>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</si>
  <si>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</si>
  <si>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</si>
  <si>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</si>
  <si>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</si>
  <si>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</si>
  <si>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</si>
  <si>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</si>
  <si>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</si>
  <si>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</si>
  <si>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</si>
  <si>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</si>
  <si>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</si>
  <si>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</si>
  <si>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</si>
  <si>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</si>
  <si>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</si>
  <si>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</si>
  <si>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</si>
  <si>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</si>
  <si>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</si>
  <si>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</si>
  <si>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</si>
  <si>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</si>
  <si>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</si>
  <si>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</si>
  <si>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</si>
  <si>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</si>
  <si>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</si>
  <si>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</si>
  <si>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</si>
  <si>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</si>
  <si>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</si>
  <si>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</si>
  <si>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</si>
  <si>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</si>
  <si>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</si>
  <si>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</si>
  <si>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</si>
  <si>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</si>
  <si>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</si>
  <si>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</si>
  <si>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</si>
  <si>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</si>
  <si>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</si>
  <si>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</si>
  <si>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</si>
  <si>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</si>
  <si>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</si>
  <si>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</si>
  <si>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</si>
  <si>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</si>
  <si>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</si>
  <si>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</si>
  <si>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</si>
  <si>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</si>
  <si>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</si>
  <si>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</si>
  <si>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</si>
  <si>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</si>
  <si>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</si>
  <si>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</si>
  <si>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</si>
  <si>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</si>
  <si>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</si>
  <si>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</si>
  <si>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</si>
  <si>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</si>
  <si>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</si>
  <si>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</si>
  <si>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</si>
  <si>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</si>
  <si>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</si>
  <si>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</si>
  <si>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</si>
  <si>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</si>
  <si>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</si>
  <si>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</si>
  <si>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</si>
  <si>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</si>
  <si>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</si>
  <si>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</si>
  <si>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</si>
  <si>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</si>
  <si>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</si>
  <si>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</si>
  <si>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</si>
  <si>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</si>
  <si>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</si>
  <si>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</si>
  <si>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</si>
  <si>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</si>
  <si>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</si>
  <si>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</si>
  <si>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</si>
  <si>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</si>
  <si>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</si>
  <si>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</si>
  <si>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</si>
  <si>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</si>
  <si>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</si>
  <si>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</si>
  <si>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</si>
  <si>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</si>
  <si>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</si>
  <si>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</si>
  <si>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</si>
  <si>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</si>
  <si>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</si>
  <si>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</si>
  <si>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</si>
  <si>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</si>
  <si>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</si>
  <si>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</si>
  <si>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</si>
  <si>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</si>
  <si>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</si>
  <si>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</si>
  <si>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</si>
  <si>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</si>
  <si>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</si>
  <si>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</si>
  <si>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</si>
  <si>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</si>
  <si>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</si>
  <si>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</si>
  <si>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</si>
  <si>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</si>
  <si>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</si>
  <si>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</si>
  <si>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</si>
  <si>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</si>
  <si>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</si>
  <si>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</si>
  <si>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</si>
  <si>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</si>
  <si>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</si>
  <si>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</si>
  <si>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</si>
  <si>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</si>
  <si>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</si>
  <si>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</si>
  <si>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</si>
  <si>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</si>
  <si>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</si>
  <si>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</si>
  <si>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</si>
  <si>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</si>
  <si>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</si>
  <si>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</si>
  <si>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</si>
  <si>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</si>
  <si>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</si>
  <si>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</si>
  <si>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</si>
  <si>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</si>
  <si>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</si>
  <si>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</si>
  <si>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</si>
  <si>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</si>
  <si>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</si>
  <si>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</si>
  <si>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</si>
  <si>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</si>
  <si>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</si>
  <si>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</si>
  <si>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</si>
  <si>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</si>
  <si>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</si>
  <si>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</si>
  <si>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</si>
  <si>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</si>
  <si>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</si>
  <si>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</si>
  <si>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</si>
  <si>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</si>
  <si>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</si>
  <si>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</si>
  <si>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</si>
  <si>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</si>
  <si>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</si>
  <si>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</si>
  <si>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</si>
  <si>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</si>
  <si>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</si>
  <si>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</si>
  <si>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</si>
  <si>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</si>
  <si>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</si>
  <si>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</si>
  <si>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</si>
  <si>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</si>
  <si>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</si>
  <si>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</si>
  <si>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</si>
  <si>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</si>
  <si>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</si>
  <si>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</si>
  <si>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</si>
  <si>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</si>
  <si>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</si>
  <si>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</si>
  <si>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</si>
  <si>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</si>
  <si>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</si>
  <si>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</si>
  <si>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</si>
  <si>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</si>
  <si>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</si>
  <si>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</si>
  <si>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</si>
  <si>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</si>
  <si>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</si>
  <si>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</si>
  <si>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</si>
  <si>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</si>
  <si>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</si>
  <si>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</si>
  <si>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</si>
  <si>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</si>
  <si>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</si>
  <si>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</si>
  <si>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</si>
  <si>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</si>
  <si>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</si>
  <si>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</si>
  <si>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</si>
  <si>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</si>
  <si>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</si>
  <si>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</si>
  <si>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</si>
  <si>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</si>
  <si>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</si>
  <si>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</si>
  <si>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</si>
  <si>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</si>
  <si>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</si>
  <si>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</si>
  <si>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</si>
  <si>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</si>
  <si>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</si>
  <si>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</si>
  <si>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</si>
  <si>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</si>
  <si>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</si>
  <si>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</si>
  <si>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</si>
  <si>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</si>
  <si>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</si>
  <si>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</si>
  <si>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</si>
  <si>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</si>
  <si>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</si>
  <si>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</si>
  <si>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</si>
  <si>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</si>
  <si>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</si>
  <si>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</si>
  <si>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</si>
  <si>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</si>
  <si>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</si>
  <si>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</si>
  <si>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</si>
  <si>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</si>
  <si>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</si>
  <si>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</si>
  <si>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</si>
  <si>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</si>
  <si>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</si>
  <si>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</si>
  <si>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</si>
  <si>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</si>
  <si>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</si>
  <si>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</si>
  <si>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</si>
  <si>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</si>
  <si>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</si>
  <si>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</si>
  <si>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</si>
  <si>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</si>
  <si>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</si>
  <si>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</si>
  <si>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</si>
  <si>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</si>
  <si>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</si>
  <si>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</si>
  <si>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</si>
  <si>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</si>
  <si>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</si>
  <si>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</si>
  <si>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</si>
  <si>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</si>
  <si>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</si>
  <si>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</si>
  <si>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</si>
  <si>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</si>
  <si>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</si>
  <si>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</si>
  <si>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</si>
  <si>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</si>
  <si>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</si>
  <si>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</si>
  <si>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</si>
  <si>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</si>
  <si>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</si>
  <si>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</si>
  <si>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</si>
  <si>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</si>
  <si>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</si>
  <si>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</si>
  <si>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</si>
  <si>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</si>
  <si>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</si>
  <si>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</si>
  <si>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</si>
  <si>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</si>
  <si>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</si>
  <si>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</si>
  <si>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</si>
  <si>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</si>
  <si>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</si>
  <si>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</si>
  <si>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</si>
  <si>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</si>
  <si>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</si>
  <si>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</si>
  <si>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</si>
  <si>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</si>
  <si>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</si>
  <si>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</si>
  <si>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</si>
  <si>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</si>
  <si>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</si>
  <si>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</si>
  <si>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</si>
  <si>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</si>
  <si>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</si>
  <si>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</si>
  <si>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</si>
  <si>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</si>
  <si>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</si>
  <si>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</si>
  <si>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</si>
  <si>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</si>
  <si>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</si>
  <si>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</si>
  <si>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</si>
  <si>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</si>
  <si>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</si>
  <si>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</si>
  <si>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</si>
  <si>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</si>
  <si>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</si>
  <si>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</si>
  <si>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</si>
  <si>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</si>
  <si>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</si>
  <si>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</si>
  <si>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</si>
  <si>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</si>
  <si>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</si>
  <si>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</si>
  <si>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</si>
  <si>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</si>
  <si>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</si>
  <si>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</si>
  <si>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</si>
  <si>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</si>
  <si>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</si>
  <si>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</si>
  <si>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</si>
  <si>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</si>
  <si>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</si>
  <si>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</si>
  <si>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</si>
  <si>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</si>
  <si>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</si>
  <si>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</si>
  <si>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</si>
  <si>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</si>
  <si>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</si>
  <si>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</si>
  <si>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</si>
  <si>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</si>
  <si>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</si>
  <si>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</si>
  <si>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</si>
  <si>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</si>
  <si>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</si>
  <si>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</si>
  <si>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</si>
  <si>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</si>
  <si>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</si>
  <si>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</si>
  <si>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</si>
  <si>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</si>
  <si>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</si>
  <si>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</si>
  <si>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</si>
  <si>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</si>
  <si>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</si>
  <si>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</si>
  <si>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</si>
  <si>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</si>
  <si>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</si>
  <si>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</si>
  <si>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</si>
  <si>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</si>
  <si>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</si>
  <si>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</si>
  <si>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</si>
  <si>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</si>
  <si>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</si>
  <si>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</si>
  <si>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</si>
  <si>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</si>
  <si>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</si>
  <si>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</si>
  <si>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</si>
  <si>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</si>
  <si>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</si>
  <si>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</si>
  <si>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</si>
  <si>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</si>
  <si>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</si>
  <si>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</si>
  <si>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</si>
  <si>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</si>
  <si>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</si>
  <si>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</si>
  <si>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</si>
  <si>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</si>
  <si>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</si>
  <si>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</si>
  <si>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</si>
  <si>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</si>
  <si>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</si>
  <si>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</si>
  <si>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</si>
  <si>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</si>
  <si>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</si>
  <si>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</si>
  <si>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</si>
  <si>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</si>
  <si>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</si>
  <si>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</si>
  <si>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</si>
  <si>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</si>
  <si>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</si>
  <si>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</si>
  <si>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</si>
  <si>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</si>
  <si>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</si>
  <si>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</si>
  <si>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</si>
  <si>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</si>
  <si>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</si>
  <si>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</si>
  <si>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</si>
  <si>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</si>
  <si>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</si>
  <si>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</si>
  <si>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</si>
  <si>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</si>
  <si>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</si>
  <si>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</si>
  <si>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</si>
  <si>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</si>
  <si>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</si>
  <si>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</si>
  <si>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</si>
  <si>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</si>
  <si>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</si>
  <si>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</si>
  <si>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</si>
  <si>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</si>
  <si>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</si>
  <si>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</si>
  <si>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</si>
  <si>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</si>
  <si>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</si>
  <si>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</si>
  <si>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</si>
  <si>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</si>
  <si>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</si>
  <si>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</si>
  <si>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</si>
  <si>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</si>
  <si>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</si>
  <si>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</si>
  <si>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</si>
  <si>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</si>
  <si>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</si>
  <si>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</si>
  <si>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</si>
  <si>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</si>
  <si>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</si>
  <si>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</si>
  <si>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</si>
  <si>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</si>
  <si>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</si>
  <si>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</si>
  <si>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</si>
  <si>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</si>
  <si>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</si>
  <si>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</si>
  <si>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</si>
  <si>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</si>
  <si>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</si>
  <si>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</si>
  <si>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</si>
  <si>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</si>
  <si>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</si>
  <si>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</si>
  <si>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</si>
  <si>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</si>
  <si>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</si>
  <si>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</si>
  <si>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</si>
  <si>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</si>
  <si>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</si>
  <si>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</si>
  <si>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</si>
  <si>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</si>
  <si>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</si>
  <si>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</si>
  <si>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</si>
  <si>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</si>
  <si>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</si>
  <si>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</si>
  <si>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</si>
  <si>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</si>
  <si>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</si>
  <si>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</si>
  <si>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</si>
  <si>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</si>
  <si>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</si>
  <si>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</si>
  <si>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</si>
  <si>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</si>
  <si>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</si>
  <si>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</si>
  <si>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</si>
  <si>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</si>
  <si>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</si>
  <si>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</si>
  <si>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</si>
  <si>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</si>
  <si>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</si>
  <si>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</si>
  <si>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</si>
  <si>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</si>
  <si>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</si>
  <si>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</si>
  <si>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</si>
  <si>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</si>
  <si>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</si>
  <si>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</si>
  <si>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</si>
  <si>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</si>
  <si>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</si>
  <si>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</si>
  <si>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</si>
  <si>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</si>
  <si>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</si>
  <si>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</si>
  <si>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</si>
  <si>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</si>
  <si>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</si>
  <si>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</si>
  <si>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</si>
  <si>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</si>
  <si>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</si>
  <si>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</si>
  <si>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</si>
  <si>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</si>
  <si>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</si>
  <si>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</si>
  <si>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</si>
  <si>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</si>
  <si>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</si>
  <si>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</si>
  <si>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</si>
  <si>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</si>
  <si>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</si>
  <si>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</si>
  <si>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</si>
  <si>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</si>
  <si>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</si>
  <si>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</si>
  <si>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</si>
  <si>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</si>
  <si>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</si>
  <si>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</si>
  <si>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</si>
  <si>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</si>
  <si>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</si>
  <si>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</si>
  <si>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</si>
  <si>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</si>
  <si>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</si>
  <si>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</si>
  <si>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</si>
  <si>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</si>
  <si>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</si>
  <si>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</si>
  <si>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</si>
  <si>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</si>
  <si>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</si>
  <si>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</si>
  <si>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</si>
  <si>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</si>
  <si>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</si>
  <si>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</si>
  <si>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</si>
  <si>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</si>
  <si>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</si>
  <si>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</si>
  <si>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</si>
  <si>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</si>
  <si>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</si>
  <si>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</si>
  <si>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</si>
  <si>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</si>
  <si>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</si>
  <si>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</si>
  <si>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</si>
  <si>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</si>
  <si>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</si>
  <si>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</si>
  <si>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</si>
  <si>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</si>
  <si>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</si>
  <si>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</si>
  <si>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</si>
  <si>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</si>
  <si>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</si>
  <si>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</si>
  <si>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</si>
  <si>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</si>
  <si>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</si>
  <si>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</si>
  <si>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</si>
  <si>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</si>
  <si>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</si>
  <si>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</si>
  <si>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</si>
  <si>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</si>
  <si>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</si>
  <si>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</si>
  <si>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</si>
  <si>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</si>
  <si>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</si>
  <si>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</si>
  <si>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</si>
  <si>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</si>
  <si>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</si>
  <si>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</si>
  <si>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</si>
  <si>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</si>
  <si>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</si>
  <si>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</si>
  <si>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</si>
  <si>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</si>
  <si>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</si>
  <si>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</si>
  <si>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</si>
  <si>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</si>
  <si>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</si>
  <si>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</si>
  <si>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</si>
  <si>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</si>
  <si>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</si>
  <si>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</si>
  <si>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</si>
  <si>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</si>
  <si>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</si>
  <si>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</si>
  <si>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</si>
  <si>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</si>
  <si>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</si>
  <si>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</si>
  <si>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</si>
  <si>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</si>
  <si>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</si>
  <si>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</si>
  <si>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</si>
  <si>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</si>
  <si>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</si>
  <si>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</si>
  <si>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</si>
  <si>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</si>
  <si>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</si>
  <si>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</si>
  <si>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</si>
  <si>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</si>
  <si>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</si>
  <si>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</si>
  <si>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</si>
  <si>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</si>
  <si>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</si>
  <si>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</si>
  <si>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</si>
  <si>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</si>
  <si>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</si>
  <si>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</si>
  <si>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</si>
  <si>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</si>
  <si>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</si>
  <si>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</si>
  <si>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</si>
  <si>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</si>
  <si>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</si>
  <si>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</si>
  <si>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</si>
  <si>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</si>
  <si>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</si>
  <si>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</si>
  <si>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</si>
  <si>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</si>
  <si>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</si>
  <si>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</si>
  <si>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</si>
  <si>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</si>
  <si>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</si>
  <si>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</si>
  <si>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</si>
  <si>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</si>
  <si>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</si>
  <si>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</si>
  <si>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</si>
  <si>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</si>
  <si>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</si>
  <si>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</si>
  <si>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</si>
  <si>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</si>
  <si>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</si>
  <si>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</si>
  <si>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</si>
  <si>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</si>
  <si>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</si>
  <si>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</si>
  <si>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</si>
  <si>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</si>
  <si>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</si>
  <si>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</si>
  <si>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</si>
  <si>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</si>
  <si>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</si>
  <si>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</si>
  <si>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</si>
  <si>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</si>
  <si>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</si>
  <si>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</si>
  <si>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</si>
  <si>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</si>
  <si>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</si>
  <si>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</si>
  <si>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</si>
  <si>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</si>
  <si>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</si>
  <si>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</si>
  <si>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</si>
  <si>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</si>
  <si>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</si>
  <si>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</si>
  <si>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</si>
  <si>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</si>
  <si>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</si>
  <si>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</si>
  <si>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</si>
  <si>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</si>
  <si>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</si>
  <si>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</si>
  <si>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</si>
  <si>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</si>
  <si>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</si>
  <si>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</si>
  <si>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</si>
  <si>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</si>
  <si>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</si>
  <si>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</si>
  <si>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</si>
  <si>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</si>
  <si>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</si>
  <si>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</si>
  <si>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</si>
  <si>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</si>
  <si>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</si>
  <si>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</si>
  <si>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</si>
  <si>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</si>
  <si>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</si>
  <si>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</si>
  <si>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</si>
  <si>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</si>
  <si>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</si>
  <si>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</si>
  <si>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</si>
  <si>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</si>
  <si>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</si>
  <si>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</si>
  <si>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</si>
  <si>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</si>
  <si>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</si>
  <si>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</si>
  <si>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</si>
  <si>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</si>
  <si>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</si>
  <si>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</si>
  <si>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</si>
  <si>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</si>
  <si>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</si>
  <si>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</si>
  <si>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</si>
  <si>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</si>
  <si>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</si>
  <si>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</si>
  <si>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</si>
  <si>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</si>
  <si>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</si>
  <si>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</si>
  <si>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</si>
  <si>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</si>
  <si>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</si>
  <si>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</si>
  <si>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</si>
  <si>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</si>
  <si>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</si>
  <si>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</si>
  <si>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</si>
  <si>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</si>
  <si>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</si>
  <si>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</si>
  <si>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</si>
  <si>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</si>
  <si>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</si>
  <si>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</si>
  <si>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</si>
  <si>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</si>
  <si>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</si>
  <si>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</si>
  <si>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</si>
  <si>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</si>
  <si>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</si>
  <si>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</si>
  <si>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</si>
  <si>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</si>
  <si>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</si>
  <si>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</si>
  <si>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</si>
  <si>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</si>
  <si>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</si>
  <si>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</si>
  <si>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</si>
  <si>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</si>
  <si>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</si>
  <si>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</si>
  <si>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</si>
  <si>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</si>
  <si>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</si>
  <si>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</si>
  <si>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</si>
  <si>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</si>
  <si>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</si>
  <si>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</si>
  <si>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</si>
  <si>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</si>
  <si>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</si>
  <si>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</si>
  <si>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</si>
  <si>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</si>
  <si>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</si>
  <si>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</si>
  <si>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</si>
  <si>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</si>
  <si>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</si>
  <si>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</si>
  <si>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</si>
  <si>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</si>
  <si>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</si>
  <si>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</si>
  <si>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</si>
  <si>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</si>
  <si>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</si>
  <si>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</si>
  <si>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</si>
  <si>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</si>
  <si>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</si>
  <si>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</si>
  <si>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</si>
  <si>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</si>
  <si>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</si>
  <si>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</si>
  <si>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</si>
  <si>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</si>
  <si>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</si>
  <si>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</si>
  <si>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</si>
  <si>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</si>
  <si>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</si>
  <si>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</si>
  <si>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</si>
  <si>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</si>
  <si>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</si>
  <si>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</si>
  <si>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</si>
  <si>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</si>
  <si>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</si>
  <si>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</si>
  <si>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</si>
  <si>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</si>
  <si>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</si>
  <si>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</si>
  <si>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</si>
  <si>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</si>
  <si>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</si>
  <si>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</si>
  <si>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</si>
  <si>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</si>
  <si>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</si>
  <si>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</si>
  <si>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</si>
  <si>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</si>
  <si>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</si>
  <si>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</si>
  <si>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</si>
  <si>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</si>
  <si>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</si>
  <si>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</si>
  <si>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</si>
  <si>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</si>
  <si>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</si>
  <si>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</si>
  <si>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</si>
  <si>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</si>
  <si>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</si>
  <si>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</si>
  <si>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</si>
  <si>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</si>
  <si>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</si>
  <si>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</si>
  <si>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</si>
  <si>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</si>
  <si>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</si>
  <si>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</si>
  <si>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</si>
  <si>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</si>
  <si>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</si>
  <si>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</si>
  <si>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</si>
  <si>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</si>
  <si>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Office of Hospital and Patient Data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</si>
  <si>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</si>
  <si>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</si>
  <si>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</si>
  <si>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</si>
  <si>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</si>
  <si>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</si>
  <si>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</si>
  <si>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</si>
  <si>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</si>
  <si>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</si>
  <si>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</si>
  <si>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</si>
  <si>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</si>
  <si>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</si>
  <si>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</si>
  <si>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</si>
  <si>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</si>
  <si>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</si>
  <si>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</si>
  <si>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</si>
  <si>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</si>
  <si>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</si>
  <si>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</si>
  <si>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</si>
  <si>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</si>
  <si>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</si>
  <si>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</si>
  <si>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</si>
  <si>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</si>
  <si>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</si>
  <si>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</si>
  <si>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</si>
  <si>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</si>
  <si>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</si>
  <si>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</si>
  <si>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</si>
  <si>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</si>
  <si>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</si>
  <si>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</si>
  <si>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</si>
  <si>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</si>
  <si>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</si>
  <si>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</si>
  <si>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</si>
  <si>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</si>
  <si>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</si>
  <si>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</si>
  <si>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</si>
  <si>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</si>
  <si>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</si>
  <si>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</si>
  <si>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</si>
  <si>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</si>
  <si>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</si>
  <si>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</si>
  <si>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</si>
  <si>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</si>
  <si>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</si>
  <si>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</si>
  <si>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</si>
  <si>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</si>
  <si>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</si>
  <si>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</si>
  <si>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</si>
  <si>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</si>
  <si>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</si>
  <si>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</si>
  <si>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</si>
  <si>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</si>
  <si>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</si>
  <si>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</si>
  <si>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</si>
  <si>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</si>
  <si>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</si>
  <si>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</si>
  <si>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</si>
  <si>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</si>
  <si>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</si>
  <si>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</si>
  <si>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</si>
  <si>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</si>
  <si>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</si>
  <si>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</si>
  <si>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</si>
  <si>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</si>
  <si>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</si>
  <si>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</si>
  <si>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</si>
  <si>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</si>
  <si>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</si>
  <si>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</si>
  <si>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</si>
  <si>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</si>
  <si>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</si>
  <si>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</si>
  <si>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</si>
  <si>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</si>
  <si>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</si>
  <si>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</si>
  <si>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</si>
  <si>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</si>
  <si>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</si>
  <si>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</si>
  <si>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</si>
  <si>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</si>
  <si>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</si>
  <si>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</si>
  <si>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</si>
  <si>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</si>
  <si>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</si>
  <si>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</si>
  <si>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</si>
  <si>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</si>
  <si>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</si>
  <si>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</si>
  <si>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</si>
  <si>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</si>
  <si>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</si>
  <si>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</si>
  <si>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</si>
  <si>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</si>
  <si>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</si>
  <si>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</si>
  <si>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</si>
  <si>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</si>
  <si>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</si>
  <si>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</si>
  <si>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</si>
  <si>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</si>
  <si>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</si>
  <si>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</si>
  <si>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</si>
  <si>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</si>
  <si>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</si>
  <si>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</si>
  <si>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</si>
  <si>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</si>
  <si>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</si>
  <si>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</si>
  <si>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</si>
  <si>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</si>
  <si>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</si>
  <si>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</si>
  <si>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</si>
  <si>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</si>
  <si>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</si>
  <si>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</si>
  <si>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</si>
  <si>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</si>
  <si>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</si>
  <si>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</si>
  <si>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</si>
  <si>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</si>
  <si>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</si>
  <si>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</si>
  <si>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</si>
  <si>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</si>
  <si>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</si>
  <si>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</si>
  <si>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</si>
  <si>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</si>
  <si>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</si>
  <si>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</si>
  <si>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</si>
  <si>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</si>
  <si>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</si>
  <si>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</si>
  <si>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</si>
  <si>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</si>
  <si>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</si>
  <si>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</si>
  <si>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</si>
  <si>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</si>
  <si>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</si>
  <si>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</si>
  <si>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</si>
  <si>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</si>
  <si>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</si>
  <si>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</si>
  <si>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</si>
  <si>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</si>
  <si>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</si>
  <si>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</si>
  <si>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</si>
  <si>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</si>
  <si>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</si>
  <si>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</si>
  <si>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</si>
  <si>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</si>
  <si>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</si>
  <si>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</si>
  <si>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</si>
  <si>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</si>
  <si>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</si>
  <si>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</si>
  <si>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</si>
  <si>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</si>
  <si>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</si>
  <si>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</si>
  <si>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</si>
  <si>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</si>
  <si>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</si>
  <si>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</si>
  <si>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</si>
  <si>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</si>
  <si>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</si>
  <si>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</si>
  <si>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</si>
  <si>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</si>
  <si>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</si>
  <si>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</si>
  <si>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</si>
  <si>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</si>
  <si>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</si>
  <si>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</si>
  <si>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</si>
  <si>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</si>
  <si>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</si>
  <si>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</si>
  <si>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</si>
  <si>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</si>
  <si>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</si>
  <si>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</si>
  <si>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</si>
  <si>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</si>
  <si>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</si>
  <si>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</si>
  <si>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</si>
  <si>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</si>
  <si>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</si>
  <si>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</si>
  <si>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</si>
  <si>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</si>
  <si>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</si>
  <si>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</si>
  <si>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</si>
  <si>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</si>
  <si>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</si>
  <si>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</si>
  <si>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</si>
  <si>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</si>
  <si>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</si>
  <si>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</si>
  <si>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P.O. Box 47814</t>
  </si>
  <si>
    <t>Olympia, Washington 98504-7814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</si>
  <si>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</si>
  <si>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</si>
  <si>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</si>
  <si>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</si>
  <si>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</si>
  <si>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</si>
  <si>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12/31/2016</t>
  </si>
  <si>
    <t>210</t>
  </si>
  <si>
    <t>Swedish Issaquah</t>
  </si>
  <si>
    <t>751 NE Blakely Drive</t>
  </si>
  <si>
    <t>Issaquah, WA 98029</t>
  </si>
  <si>
    <t>King</t>
  </si>
  <si>
    <t>Rayburn Lewis</t>
  </si>
  <si>
    <t>Pam Gallagher-Felt</t>
  </si>
  <si>
    <t>Michael Hart M.D.</t>
  </si>
  <si>
    <t>425-313-4000</t>
  </si>
  <si>
    <t>0.00</t>
  </si>
  <si>
    <t>12/31/2015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</si>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</sst>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3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9" fillId="0" borderId="1" xfId="0" applyNumberFormat="1" applyFont="1" applyFill="1" applyBorder="1" applyAlignment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1" applyNumberFormat="1" applyFont="1" applyFill="1" applyBorder="1" applyProtection="1">
      <protection locked="0"/>
    </xf>
    <xf numFmtId="39" fontId="9" fillId="0" borderId="1" xfId="0" quotePrefix="1" applyNumberFormat="1" applyFont="1" applyFill="1" applyBorder="1" applyProtection="1">
      <protection locked="0"/>
    </xf>
    <xf numFmtId="41" fontId="9" fillId="4" borderId="1" xfId="0" applyNumberFormat="1" applyFont="1" applyFill="1" applyBorder="1" applyProtection="1">
      <protection locked="0"/>
    </xf>
    <xf numFmtId="3" fontId="9" fillId="4" borderId="1" xfId="0" applyNumberFormat="1" applyFont="1" applyFill="1" applyBorder="1" applyProtection="1">
      <protection locked="0"/>
    </xf>
    <xf numFmtId="41" fontId="9" fillId="4" borderId="1" xfId="0" applyNumberFormat="1" applyFont="1" applyFill="1" applyBorder="1" applyAlignment="1" applyProtection="1">
      <alignment horizontal="right"/>
      <protection locked="0"/>
    </xf>
    <xf numFmtId="38" fontId="9" fillId="0" borderId="1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49" fontId="9" fillId="4" borderId="1" xfId="0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3" transitionEvaluation="1" transitionEntry="1" codeName="Sheet1">
    <pageSetUpPr autoPageBreaks="0" fitToPage="1"/>
  </sheetPr>
  <dimension ref="A1:CF718"/>
  <sheetViews>
    <sheetView showGridLines="0" tabSelected="1" topLeftCell="A53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1233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1234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1262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1229</v>
      </c>
      <c r="C10" s="235"/>
    </row>
    <row r="11" spans="1:6" ht="12.75" customHeight="1" x14ac:dyDescent="0.25">
      <c r="A11" s="198" t="s">
        <v>1232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1264</v>
      </c>
      <c r="C16" s="235"/>
      <c r="F16" s="283" t="s">
        <v>1263</v>
      </c>
    </row>
    <row r="17" spans="1:6" ht="12.75" customHeight="1" x14ac:dyDescent="0.25">
      <c r="A17" s="180" t="s">
        <v>1231</v>
      </c>
      <c r="C17" s="283" t="s">
        <v>1263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3" t="s">
        <v>1235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1236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1237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1238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1239</v>
      </c>
      <c r="C36" s="235"/>
    </row>
    <row r="37" spans="1:83" ht="12.6" customHeight="1" x14ac:dyDescent="0.25">
      <c r="A37" s="199" t="s">
        <v>1230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1195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85">
        <v>4367629.1400000006</v>
      </c>
      <c r="C48" s="247">
        <f>ROUND(((B48/CE61)*C61),0)</f>
        <v>367007</v>
      </c>
      <c r="D48" s="247">
        <f>ROUND(((B48/CE61)*D61),0)</f>
        <v>0</v>
      </c>
      <c r="E48" s="195">
        <f>ROUND(((B48/CE61)*E61),0)</f>
        <v>898413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79335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287554</v>
      </c>
      <c r="P48" s="195">
        <f>ROUND(((B48/CE61)*P61),0)</f>
        <v>386962</v>
      </c>
      <c r="Q48" s="195">
        <f>ROUND(((B48/CE61)*Q61),0)</f>
        <v>202593</v>
      </c>
      <c r="R48" s="195">
        <f>ROUND(((B48/CE61)*R61),0)</f>
        <v>22827</v>
      </c>
      <c r="S48" s="195">
        <f>ROUND(((B48/CE61)*S61),0)</f>
        <v>62761</v>
      </c>
      <c r="T48" s="195">
        <f>ROUND(((B48/CE61)*T61),0)</f>
        <v>28414</v>
      </c>
      <c r="U48" s="195">
        <f>ROUND(((B48/CE61)*U61),0)</f>
        <v>18377</v>
      </c>
      <c r="V48" s="195">
        <f>ROUND(((B48/CE61)*V61),0)</f>
        <v>152283</v>
      </c>
      <c r="W48" s="195">
        <f>ROUND(((B48/CE61)*W61),0)</f>
        <v>55117</v>
      </c>
      <c r="X48" s="195">
        <f>ROUND(((B48/CE61)*X61),0)</f>
        <v>124958</v>
      </c>
      <c r="Y48" s="195">
        <f>ROUND(((B48/CE61)*Y61),0)</f>
        <v>175247</v>
      </c>
      <c r="Z48" s="195">
        <f>ROUND(((B48/CE61)*Z61),0)</f>
        <v>0</v>
      </c>
      <c r="AA48" s="195">
        <f>ROUND(((B48/CE61)*AA61),0)</f>
        <v>6643</v>
      </c>
      <c r="AB48" s="195">
        <f>ROUND(((B48/CE61)*AB61),0)</f>
        <v>133980</v>
      </c>
      <c r="AC48" s="195">
        <f>ROUND(((B48/CE61)*AC61),0)</f>
        <v>101853</v>
      </c>
      <c r="AD48" s="195">
        <f>ROUND(((B48/CE61)*AD61),0)</f>
        <v>1980</v>
      </c>
      <c r="AE48" s="195">
        <f>ROUND(((B48/CE61)*AE61),0)</f>
        <v>114456</v>
      </c>
      <c r="AF48" s="195">
        <f>ROUND(((B48/CE61)*AF61),0)</f>
        <v>0</v>
      </c>
      <c r="AG48" s="195">
        <f>ROUND(((B48/CE61)*AG61),0)</f>
        <v>309132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51069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79619</v>
      </c>
      <c r="AZ48" s="195">
        <f>ROUND(((B48/CE61)*AZ61),0)</f>
        <v>43322</v>
      </c>
      <c r="BA48" s="195">
        <f>ROUND(((B48/CE61)*BA61),0)</f>
        <v>3652</v>
      </c>
      <c r="BB48" s="195">
        <f>ROUND(((B48/CE61)*BB61),0)</f>
        <v>81142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123757</v>
      </c>
      <c r="BF48" s="195">
        <f>ROUND(((B48/CE61)*BF61),0)</f>
        <v>106363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78285</v>
      </c>
      <c r="BM48" s="195">
        <f>ROUND(((B48/CE61)*BM61),0)</f>
        <v>0</v>
      </c>
      <c r="BN48" s="195">
        <f>ROUND(((B48/CE61)*BN61),0)</f>
        <v>71931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2014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32623</v>
      </c>
      <c r="BX48" s="195">
        <f>ROUND(((B48/CE61)*BX61),0)</f>
        <v>0</v>
      </c>
      <c r="BY48" s="195">
        <f>ROUND(((B48/CE61)*BY61),0)</f>
        <v>58058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105903</v>
      </c>
      <c r="CD48" s="195"/>
      <c r="CE48" s="195">
        <f>SUM(C48:CD48)</f>
        <v>4367630</v>
      </c>
    </row>
    <row r="49" spans="1:84" ht="12.6" customHeight="1" x14ac:dyDescent="0.25">
      <c r="A49" s="175" t="s">
        <v>206</v>
      </c>
      <c r="B49" s="195">
        <f>B47+B48</f>
        <v>4367629.1400000006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86">
        <v>21205889.390000008</v>
      </c>
      <c r="C52" s="195">
        <f>ROUND((B52/(CE76+CF76)*C76),0)</f>
        <v>206399</v>
      </c>
      <c r="D52" s="195">
        <f>ROUND((B52/(CE76+CF76)*D76),0)</f>
        <v>0</v>
      </c>
      <c r="E52" s="195">
        <f>ROUND((B52/(CE76+CF76)*E76),0)</f>
        <v>1572621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181186</v>
      </c>
      <c r="Q52" s="195">
        <f>ROUND((B52/(CE76+CF76)*Q76),0)</f>
        <v>123714</v>
      </c>
      <c r="R52" s="195">
        <f>ROUND((B52/(CE76+CF76)*R76),0)</f>
        <v>0</v>
      </c>
      <c r="S52" s="195">
        <f>ROUND((B52/(CE76+CF76)*S76),0)</f>
        <v>172321</v>
      </c>
      <c r="T52" s="195">
        <f>ROUND((B52/(CE76+CF76)*T76),0)</f>
        <v>0</v>
      </c>
      <c r="U52" s="195">
        <f>ROUND((B52/(CE76+CF76)*U76),0)</f>
        <v>97793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285020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84815</v>
      </c>
      <c r="AC52" s="195">
        <f>ROUND((B52/(CE76+CF76)*AC76),0)</f>
        <v>31531</v>
      </c>
      <c r="AD52" s="195">
        <f>ROUND((B52/(CE76+CF76)*AD76),0)</f>
        <v>40935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733292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217304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1667</v>
      </c>
      <c r="BC52" s="195">
        <f>ROUND((B52/(CE76+CF76)*BC76),0)</f>
        <v>0</v>
      </c>
      <c r="BD52" s="195">
        <f>ROUND((B52/(CE76+CF76)*BD76),0)</f>
        <v>211859</v>
      </c>
      <c r="BE52" s="195">
        <f>ROUND((B52/(CE76+CF76)*BE76),0)</f>
        <v>12619987</v>
      </c>
      <c r="BF52" s="195">
        <f>ROUND((B52/(CE76+CF76)*BF76),0)</f>
        <v>77415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378584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27749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4332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4137365</v>
      </c>
      <c r="CD52" s="195"/>
      <c r="CE52" s="195">
        <f>SUM(C52:CD52)</f>
        <v>21205889</v>
      </c>
    </row>
    <row r="53" spans="1:84" ht="12.6" customHeight="1" x14ac:dyDescent="0.25">
      <c r="A53" s="175" t="s">
        <v>206</v>
      </c>
      <c r="B53" s="195">
        <f>B51+B52</f>
        <v>21205889.390000008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1195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1213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184">
        <v>5025.3068463994323</v>
      </c>
      <c r="D59" s="184">
        <v>0</v>
      </c>
      <c r="E59" s="184">
        <v>16602.693153600569</v>
      </c>
      <c r="F59" s="184">
        <v>0</v>
      </c>
      <c r="G59" s="184">
        <v>0</v>
      </c>
      <c r="H59" s="184">
        <v>0</v>
      </c>
      <c r="I59" s="184">
        <v>0</v>
      </c>
      <c r="J59" s="184">
        <v>2517</v>
      </c>
      <c r="K59" s="184">
        <v>0</v>
      </c>
      <c r="L59" s="184">
        <v>0</v>
      </c>
      <c r="M59" s="184">
        <v>0</v>
      </c>
      <c r="N59" s="184">
        <v>0</v>
      </c>
      <c r="O59" s="286">
        <v>1599</v>
      </c>
      <c r="P59" s="287">
        <v>612870</v>
      </c>
      <c r="Q59" s="287">
        <v>0</v>
      </c>
      <c r="R59" s="287">
        <v>642274</v>
      </c>
      <c r="S59" s="250"/>
      <c r="T59" s="250"/>
      <c r="U59" s="288"/>
      <c r="V59" s="287"/>
      <c r="W59" s="287"/>
      <c r="X59" s="287"/>
      <c r="Y59" s="286"/>
      <c r="Z59" s="286"/>
      <c r="AA59" s="286"/>
      <c r="AB59" s="250"/>
      <c r="AC59" s="287"/>
      <c r="AD59" s="287"/>
      <c r="AE59" s="287"/>
      <c r="AF59" s="287"/>
      <c r="AG59" s="184">
        <v>28743</v>
      </c>
      <c r="AH59" s="287"/>
      <c r="AI59" s="287"/>
      <c r="AJ59" s="287"/>
      <c r="AK59" s="287"/>
      <c r="AL59" s="287"/>
      <c r="AM59" s="287"/>
      <c r="AN59" s="286"/>
      <c r="AO59" s="287"/>
      <c r="AP59" s="287"/>
      <c r="AQ59" s="287"/>
      <c r="AR59" s="287"/>
      <c r="AS59" s="287"/>
      <c r="AT59" s="287"/>
      <c r="AU59" s="287"/>
      <c r="AV59" s="250"/>
      <c r="AW59" s="250"/>
      <c r="AX59" s="250"/>
      <c r="AY59" s="187">
        <v>118376</v>
      </c>
      <c r="AZ59" s="187">
        <v>0</v>
      </c>
      <c r="BA59" s="250"/>
      <c r="BB59" s="250"/>
      <c r="BC59" s="250"/>
      <c r="BD59" s="250"/>
      <c r="BE59" s="185">
        <v>1146016.9638239993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7">
        <v>52.381923076923087</v>
      </c>
      <c r="D60" s="187">
        <v>0</v>
      </c>
      <c r="E60" s="187">
        <v>142.28712980769228</v>
      </c>
      <c r="F60" s="187">
        <v>0</v>
      </c>
      <c r="G60" s="187">
        <v>0</v>
      </c>
      <c r="H60" s="187">
        <v>0</v>
      </c>
      <c r="I60" s="187">
        <v>0</v>
      </c>
      <c r="J60" s="187">
        <v>9.0151730769230785</v>
      </c>
      <c r="K60" s="187">
        <v>0</v>
      </c>
      <c r="L60" s="187">
        <v>0</v>
      </c>
      <c r="M60" s="187">
        <v>0</v>
      </c>
      <c r="N60" s="187">
        <v>0</v>
      </c>
      <c r="O60" s="187">
        <v>37.561403846153844</v>
      </c>
      <c r="P60" s="187">
        <v>59.602663461538469</v>
      </c>
      <c r="Q60" s="187">
        <v>23.992533653846156</v>
      </c>
      <c r="R60" s="187">
        <v>3.7142067307692308</v>
      </c>
      <c r="S60" s="187">
        <v>14.785956730769231</v>
      </c>
      <c r="T60" s="187">
        <v>3.6995721153846155</v>
      </c>
      <c r="U60" s="187">
        <v>2.565504807692307</v>
      </c>
      <c r="V60" s="187">
        <v>23.354495192307692</v>
      </c>
      <c r="W60" s="187">
        <v>6.7223701923076931</v>
      </c>
      <c r="X60" s="187">
        <v>17.131524038461539</v>
      </c>
      <c r="Y60" s="187">
        <v>31.70099519230769</v>
      </c>
      <c r="Z60" s="187">
        <v>0</v>
      </c>
      <c r="AA60" s="187">
        <v>0.80802403846153847</v>
      </c>
      <c r="AB60" s="187">
        <v>17.104480769230769</v>
      </c>
      <c r="AC60" s="289">
        <v>15.503028846153846</v>
      </c>
      <c r="AD60" s="289">
        <v>0.22931730769230771</v>
      </c>
      <c r="AE60" s="289">
        <v>18.35683653846154</v>
      </c>
      <c r="AF60" s="187">
        <v>0</v>
      </c>
      <c r="AG60" s="187">
        <v>47.381942307692306</v>
      </c>
      <c r="AH60" s="187">
        <v>0</v>
      </c>
      <c r="AI60" s="187">
        <v>0</v>
      </c>
      <c r="AJ60" s="187">
        <v>6.2015528846153849</v>
      </c>
      <c r="AK60" s="187">
        <v>0</v>
      </c>
      <c r="AL60" s="187">
        <v>0</v>
      </c>
      <c r="AM60" s="187">
        <v>0</v>
      </c>
      <c r="AN60" s="187">
        <v>0</v>
      </c>
      <c r="AO60" s="187">
        <v>0</v>
      </c>
      <c r="AP60" s="187">
        <v>0</v>
      </c>
      <c r="AQ60" s="187">
        <v>0</v>
      </c>
      <c r="AR60" s="187">
        <v>0</v>
      </c>
      <c r="AS60" s="187">
        <v>0</v>
      </c>
      <c r="AT60" s="187">
        <v>0</v>
      </c>
      <c r="AU60" s="187">
        <v>0</v>
      </c>
      <c r="AV60" s="221"/>
      <c r="AW60" s="221"/>
      <c r="AX60" s="221"/>
      <c r="AY60" s="187">
        <v>22.358471153846157</v>
      </c>
      <c r="AZ60" s="187">
        <v>12.511341346153845</v>
      </c>
      <c r="BA60" s="187">
        <v>1.1483701923076921</v>
      </c>
      <c r="BB60" s="187">
        <v>13.503067307692309</v>
      </c>
      <c r="BC60" s="187">
        <v>0</v>
      </c>
      <c r="BD60" s="187">
        <v>0</v>
      </c>
      <c r="BE60" s="187">
        <v>26.963995192307692</v>
      </c>
      <c r="BF60" s="187">
        <v>32.835860576923075</v>
      </c>
      <c r="BG60" s="187">
        <v>0</v>
      </c>
      <c r="BH60" s="187">
        <v>0</v>
      </c>
      <c r="BI60" s="187">
        <v>0</v>
      </c>
      <c r="BJ60" s="187">
        <v>0</v>
      </c>
      <c r="BK60" s="187">
        <v>0</v>
      </c>
      <c r="BL60" s="187">
        <v>22.273879807692307</v>
      </c>
      <c r="BM60" s="187">
        <v>0</v>
      </c>
      <c r="BN60" s="187">
        <v>6.3368990384615387</v>
      </c>
      <c r="BO60" s="187">
        <v>0</v>
      </c>
      <c r="BP60" s="187">
        <v>0</v>
      </c>
      <c r="BQ60" s="187">
        <v>0</v>
      </c>
      <c r="BR60" s="187">
        <v>0</v>
      </c>
      <c r="BS60" s="187">
        <v>0.40700480769230768</v>
      </c>
      <c r="BT60" s="187">
        <v>0</v>
      </c>
      <c r="BU60" s="187">
        <v>0</v>
      </c>
      <c r="BV60" s="187">
        <v>0</v>
      </c>
      <c r="BW60" s="187">
        <v>5.4610576923076923</v>
      </c>
      <c r="BX60" s="187">
        <v>0</v>
      </c>
      <c r="BY60" s="187">
        <v>7.1201875000000001</v>
      </c>
      <c r="BZ60" s="187">
        <v>0</v>
      </c>
      <c r="CA60" s="187">
        <v>0</v>
      </c>
      <c r="CB60" s="187">
        <v>0</v>
      </c>
      <c r="CC60" s="187">
        <v>28.944038461538465</v>
      </c>
      <c r="CD60" s="251" t="s">
        <v>221</v>
      </c>
      <c r="CE60" s="253">
        <f t="shared" ref="CE60:CE70" si="0">SUM(C60:CD60)</f>
        <v>713.96480769230755</v>
      </c>
    </row>
    <row r="61" spans="1:84" ht="12.6" customHeight="1" x14ac:dyDescent="0.25">
      <c r="A61" s="171" t="s">
        <v>235</v>
      </c>
      <c r="B61" s="175"/>
      <c r="C61" s="184">
        <v>5205222.58</v>
      </c>
      <c r="D61" s="184">
        <v>0</v>
      </c>
      <c r="E61" s="184">
        <v>12742084.640000001</v>
      </c>
      <c r="F61" s="184">
        <v>0</v>
      </c>
      <c r="G61" s="184">
        <v>0</v>
      </c>
      <c r="H61" s="184">
        <v>0</v>
      </c>
      <c r="I61" s="184">
        <v>0</v>
      </c>
      <c r="J61" s="184">
        <v>1125205.2</v>
      </c>
      <c r="K61" s="184">
        <v>0</v>
      </c>
      <c r="L61" s="184">
        <v>0</v>
      </c>
      <c r="M61" s="184">
        <v>0</v>
      </c>
      <c r="N61" s="184">
        <v>0</v>
      </c>
      <c r="O61" s="184">
        <v>4078336.74</v>
      </c>
      <c r="P61" s="184">
        <v>5488234.4900000021</v>
      </c>
      <c r="Q61" s="184">
        <v>2873348.0199999996</v>
      </c>
      <c r="R61" s="184">
        <v>323752.86</v>
      </c>
      <c r="S61" s="184">
        <v>890125.30999999994</v>
      </c>
      <c r="T61" s="184">
        <v>402988.25999999995</v>
      </c>
      <c r="U61" s="184">
        <v>260641.92000000004</v>
      </c>
      <c r="V61" s="184">
        <v>2159815.0499999998</v>
      </c>
      <c r="W61" s="184">
        <v>781715.6</v>
      </c>
      <c r="X61" s="184">
        <v>1772262.7899999998</v>
      </c>
      <c r="Y61" s="184">
        <v>2485505.86</v>
      </c>
      <c r="Z61" s="184">
        <v>0</v>
      </c>
      <c r="AA61" s="184">
        <v>94213.52</v>
      </c>
      <c r="AB61" s="184">
        <v>1900220.9400000002</v>
      </c>
      <c r="AC61" s="184">
        <v>1444565.53</v>
      </c>
      <c r="AD61" s="184">
        <v>28075.969999999998</v>
      </c>
      <c r="AE61" s="184">
        <v>1623315.53</v>
      </c>
      <c r="AF61" s="184">
        <v>0</v>
      </c>
      <c r="AG61" s="184">
        <v>4384385.63</v>
      </c>
      <c r="AH61" s="184">
        <v>0</v>
      </c>
      <c r="AI61" s="184">
        <v>0</v>
      </c>
      <c r="AJ61" s="184">
        <v>724308.99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5"/>
      <c r="AW61" s="185"/>
      <c r="AX61" s="185"/>
      <c r="AY61" s="184">
        <v>1129226.8999999999</v>
      </c>
      <c r="AZ61" s="184">
        <v>614426.68000000005</v>
      </c>
      <c r="BA61" s="184">
        <v>51797.369999999995</v>
      </c>
      <c r="BB61" s="184">
        <v>1150820.5399999998</v>
      </c>
      <c r="BC61" s="184">
        <v>0</v>
      </c>
      <c r="BD61" s="184">
        <v>0</v>
      </c>
      <c r="BE61" s="184">
        <v>1755230.8599999999</v>
      </c>
      <c r="BF61" s="184">
        <v>1508530.2199999997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1110304.1400000001</v>
      </c>
      <c r="BM61" s="184">
        <v>0</v>
      </c>
      <c r="BN61" s="184">
        <v>1020195.6900000001</v>
      </c>
      <c r="BO61" s="184">
        <v>0</v>
      </c>
      <c r="BP61" s="184">
        <v>0</v>
      </c>
      <c r="BQ61" s="184">
        <v>0</v>
      </c>
      <c r="BR61" s="184">
        <v>0</v>
      </c>
      <c r="BS61" s="184">
        <v>28562.549999999996</v>
      </c>
      <c r="BT61" s="184">
        <v>0</v>
      </c>
      <c r="BU61" s="184">
        <v>0</v>
      </c>
      <c r="BV61" s="184">
        <v>0</v>
      </c>
      <c r="BW61" s="184">
        <v>462688.93000000005</v>
      </c>
      <c r="BX61" s="184">
        <v>0</v>
      </c>
      <c r="BY61" s="184">
        <v>823435.57000000007</v>
      </c>
      <c r="BZ61" s="184">
        <v>0</v>
      </c>
      <c r="CA61" s="184">
        <v>0</v>
      </c>
      <c r="CB61" s="184">
        <v>0</v>
      </c>
      <c r="CC61" s="184">
        <v>1502010.09</v>
      </c>
      <c r="CD61" s="251" t="s">
        <v>221</v>
      </c>
      <c r="CE61" s="195">
        <f t="shared" si="0"/>
        <v>61945554.969999999</v>
      </c>
      <c r="CF61" s="254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367007</v>
      </c>
      <c r="D62" s="195">
        <f t="shared" si="1"/>
        <v>0</v>
      </c>
      <c r="E62" s="195">
        <f t="shared" si="1"/>
        <v>898413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79335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287554</v>
      </c>
      <c r="P62" s="195">
        <f t="shared" si="1"/>
        <v>386962</v>
      </c>
      <c r="Q62" s="195">
        <f t="shared" si="1"/>
        <v>202593</v>
      </c>
      <c r="R62" s="195">
        <f t="shared" si="1"/>
        <v>22827</v>
      </c>
      <c r="S62" s="195">
        <f t="shared" si="1"/>
        <v>62761</v>
      </c>
      <c r="T62" s="195">
        <f t="shared" si="1"/>
        <v>28414</v>
      </c>
      <c r="U62" s="195">
        <f t="shared" si="1"/>
        <v>18377</v>
      </c>
      <c r="V62" s="195">
        <f t="shared" si="1"/>
        <v>152283</v>
      </c>
      <c r="W62" s="195">
        <f t="shared" si="1"/>
        <v>55117</v>
      </c>
      <c r="X62" s="195">
        <f t="shared" si="1"/>
        <v>124958</v>
      </c>
      <c r="Y62" s="195">
        <f t="shared" si="1"/>
        <v>175247</v>
      </c>
      <c r="Z62" s="195">
        <f t="shared" si="1"/>
        <v>0</v>
      </c>
      <c r="AA62" s="195">
        <f t="shared" si="1"/>
        <v>6643</v>
      </c>
      <c r="AB62" s="195">
        <f t="shared" si="1"/>
        <v>133980</v>
      </c>
      <c r="AC62" s="195">
        <f t="shared" si="1"/>
        <v>101853</v>
      </c>
      <c r="AD62" s="195">
        <f t="shared" si="1"/>
        <v>1980</v>
      </c>
      <c r="AE62" s="195">
        <f t="shared" si="1"/>
        <v>114456</v>
      </c>
      <c r="AF62" s="195">
        <f t="shared" si="1"/>
        <v>0</v>
      </c>
      <c r="AG62" s="195">
        <f t="shared" si="1"/>
        <v>309132</v>
      </c>
      <c r="AH62" s="195">
        <f t="shared" si="1"/>
        <v>0</v>
      </c>
      <c r="AI62" s="195">
        <f t="shared" si="1"/>
        <v>0</v>
      </c>
      <c r="AJ62" s="195">
        <f t="shared" si="1"/>
        <v>51069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79619</v>
      </c>
      <c r="AZ62" s="195">
        <f>ROUND(AZ47+AZ48,0)</f>
        <v>43322</v>
      </c>
      <c r="BA62" s="195">
        <f>ROUND(BA47+BA48,0)</f>
        <v>3652</v>
      </c>
      <c r="BB62" s="195">
        <f t="shared" si="1"/>
        <v>81142</v>
      </c>
      <c r="BC62" s="195">
        <f t="shared" si="1"/>
        <v>0</v>
      </c>
      <c r="BD62" s="195">
        <f t="shared" si="1"/>
        <v>0</v>
      </c>
      <c r="BE62" s="195">
        <f t="shared" si="1"/>
        <v>123757</v>
      </c>
      <c r="BF62" s="195">
        <f t="shared" si="1"/>
        <v>106363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78285</v>
      </c>
      <c r="BM62" s="195">
        <f t="shared" si="1"/>
        <v>0</v>
      </c>
      <c r="BN62" s="195">
        <f t="shared" si="1"/>
        <v>71931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2014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32623</v>
      </c>
      <c r="BX62" s="195">
        <f t="shared" si="2"/>
        <v>0</v>
      </c>
      <c r="BY62" s="195">
        <f t="shared" si="2"/>
        <v>58058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105903</v>
      </c>
      <c r="CD62" s="251" t="s">
        <v>221</v>
      </c>
      <c r="CE62" s="195">
        <f t="shared" si="0"/>
        <v>4367630</v>
      </c>
      <c r="CF62" s="254"/>
    </row>
    <row r="63" spans="1:84" ht="12.6" customHeight="1" x14ac:dyDescent="0.25">
      <c r="A63" s="171" t="s">
        <v>236</v>
      </c>
      <c r="B63" s="175"/>
      <c r="C63" s="184">
        <v>104277.76000000002</v>
      </c>
      <c r="D63" s="184">
        <v>0</v>
      </c>
      <c r="E63" s="184">
        <v>503003.12999999995</v>
      </c>
      <c r="F63" s="184">
        <v>0</v>
      </c>
      <c r="G63" s="184">
        <v>0</v>
      </c>
      <c r="H63" s="184">
        <v>0</v>
      </c>
      <c r="I63" s="184">
        <v>0</v>
      </c>
      <c r="J63" s="184">
        <v>420000</v>
      </c>
      <c r="K63" s="184">
        <v>0</v>
      </c>
      <c r="L63" s="184">
        <v>0</v>
      </c>
      <c r="M63" s="184">
        <v>0</v>
      </c>
      <c r="N63" s="184">
        <v>0</v>
      </c>
      <c r="O63" s="184">
        <v>1655272.2100000002</v>
      </c>
      <c r="P63" s="184">
        <v>508995.71</v>
      </c>
      <c r="Q63" s="184">
        <v>7389.63</v>
      </c>
      <c r="R63" s="184">
        <v>9300</v>
      </c>
      <c r="S63" s="184">
        <v>0</v>
      </c>
      <c r="T63" s="184">
        <v>0</v>
      </c>
      <c r="U63" s="184">
        <v>645332.31000000006</v>
      </c>
      <c r="V63" s="184">
        <v>97372.13</v>
      </c>
      <c r="W63" s="184">
        <v>0</v>
      </c>
      <c r="X63" s="184">
        <v>0</v>
      </c>
      <c r="Y63" s="184">
        <v>1735</v>
      </c>
      <c r="Z63" s="184">
        <v>0</v>
      </c>
      <c r="AA63" s="184">
        <v>0</v>
      </c>
      <c r="AB63" s="184">
        <v>1092.5</v>
      </c>
      <c r="AC63" s="184">
        <v>31614.879999999997</v>
      </c>
      <c r="AD63" s="184">
        <v>0</v>
      </c>
      <c r="AE63" s="184">
        <v>0</v>
      </c>
      <c r="AF63" s="184">
        <v>0</v>
      </c>
      <c r="AG63" s="184">
        <v>749589.79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10504.789999999999</v>
      </c>
      <c r="AZ63" s="184">
        <v>0</v>
      </c>
      <c r="BA63" s="184">
        <v>0</v>
      </c>
      <c r="BB63" s="184">
        <v>0</v>
      </c>
      <c r="BC63" s="184">
        <v>0</v>
      </c>
      <c r="BD63" s="184">
        <v>600</v>
      </c>
      <c r="BE63" s="184">
        <v>12590.52</v>
      </c>
      <c r="BF63" s="184">
        <v>600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600</v>
      </c>
      <c r="BM63" s="184">
        <v>0</v>
      </c>
      <c r="BN63" s="184">
        <v>870031.49</v>
      </c>
      <c r="BO63" s="184">
        <v>0</v>
      </c>
      <c r="BP63" s="184">
        <v>0</v>
      </c>
      <c r="BQ63" s="184">
        <v>0</v>
      </c>
      <c r="BR63" s="184">
        <v>0</v>
      </c>
      <c r="BS63" s="184">
        <v>600</v>
      </c>
      <c r="BT63" s="184">
        <v>0</v>
      </c>
      <c r="BU63" s="184">
        <v>0</v>
      </c>
      <c r="BV63" s="184">
        <v>0</v>
      </c>
      <c r="BW63" s="184">
        <v>35021.050000000003</v>
      </c>
      <c r="BX63" s="184">
        <v>0</v>
      </c>
      <c r="BY63" s="184">
        <v>250</v>
      </c>
      <c r="BZ63" s="184">
        <v>0</v>
      </c>
      <c r="CA63" s="184">
        <v>37368.509999999995</v>
      </c>
      <c r="CB63" s="184">
        <v>0</v>
      </c>
      <c r="CC63" s="184">
        <v>5609.07</v>
      </c>
      <c r="CD63" s="251" t="s">
        <v>221</v>
      </c>
      <c r="CE63" s="195">
        <f t="shared" si="0"/>
        <v>5708750.4799999995</v>
      </c>
      <c r="CF63" s="254"/>
    </row>
    <row r="64" spans="1:84" ht="12.6" customHeight="1" x14ac:dyDescent="0.25">
      <c r="A64" s="171" t="s">
        <v>237</v>
      </c>
      <c r="B64" s="175"/>
      <c r="C64" s="184">
        <v>235013.86000000002</v>
      </c>
      <c r="D64" s="184">
        <v>0</v>
      </c>
      <c r="E64" s="184">
        <v>781596.95000000019</v>
      </c>
      <c r="F64" s="184">
        <v>0</v>
      </c>
      <c r="G64" s="184">
        <v>0</v>
      </c>
      <c r="H64" s="184">
        <v>0</v>
      </c>
      <c r="I64" s="184">
        <v>0</v>
      </c>
      <c r="J64" s="184">
        <v>99249.939999999988</v>
      </c>
      <c r="K64" s="184">
        <v>0</v>
      </c>
      <c r="L64" s="184">
        <v>0</v>
      </c>
      <c r="M64" s="184">
        <v>0</v>
      </c>
      <c r="N64" s="184">
        <v>0</v>
      </c>
      <c r="O64" s="184">
        <v>478422.53</v>
      </c>
      <c r="P64" s="184">
        <v>8457731.0999999978</v>
      </c>
      <c r="Q64" s="184">
        <v>89267.11</v>
      </c>
      <c r="R64" s="184">
        <v>279840.39</v>
      </c>
      <c r="S64" s="184">
        <v>10127918.91</v>
      </c>
      <c r="T64" s="184">
        <v>92341.68</v>
      </c>
      <c r="U64" s="184">
        <v>820680.50999999989</v>
      </c>
      <c r="V64" s="184">
        <v>1601874.8699999999</v>
      </c>
      <c r="W64" s="184">
        <v>225939.71000000002</v>
      </c>
      <c r="X64" s="184">
        <v>455634.13999999996</v>
      </c>
      <c r="Y64" s="184">
        <v>563320.05000000005</v>
      </c>
      <c r="Z64" s="184">
        <v>0</v>
      </c>
      <c r="AA64" s="184">
        <v>101070.51999999999</v>
      </c>
      <c r="AB64" s="184">
        <v>7315827.9699999997</v>
      </c>
      <c r="AC64" s="184">
        <v>213216.01999999993</v>
      </c>
      <c r="AD64" s="184">
        <v>3729.51</v>
      </c>
      <c r="AE64" s="184">
        <v>18515.61</v>
      </c>
      <c r="AF64" s="184">
        <v>0</v>
      </c>
      <c r="AG64" s="184">
        <v>850350.25999999989</v>
      </c>
      <c r="AH64" s="184">
        <v>0</v>
      </c>
      <c r="AI64" s="184">
        <v>0</v>
      </c>
      <c r="AJ64" s="184">
        <v>30281.33</v>
      </c>
      <c r="AK64" s="184">
        <v>0</v>
      </c>
      <c r="AL64" s="184">
        <v>0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273480.55</v>
      </c>
      <c r="AZ64" s="184">
        <v>575082.63</v>
      </c>
      <c r="BA64" s="184">
        <v>0</v>
      </c>
      <c r="BB64" s="184">
        <v>0</v>
      </c>
      <c r="BC64" s="184">
        <v>0</v>
      </c>
      <c r="BD64" s="184">
        <v>-863174.02</v>
      </c>
      <c r="BE64" s="184">
        <v>409628.63</v>
      </c>
      <c r="BF64" s="184">
        <v>169231.15000000002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23259.7</v>
      </c>
      <c r="BM64" s="184">
        <v>0</v>
      </c>
      <c r="BN64" s="184">
        <v>1043023.7599999999</v>
      </c>
      <c r="BO64" s="184">
        <v>0</v>
      </c>
      <c r="BP64" s="184">
        <v>0</v>
      </c>
      <c r="BQ64" s="184">
        <v>0</v>
      </c>
      <c r="BR64" s="184">
        <v>0</v>
      </c>
      <c r="BS64" s="184">
        <v>33689.17</v>
      </c>
      <c r="BT64" s="184">
        <v>0</v>
      </c>
      <c r="BU64" s="184">
        <v>0</v>
      </c>
      <c r="BV64" s="184">
        <v>0</v>
      </c>
      <c r="BW64" s="184">
        <v>8849.93</v>
      </c>
      <c r="BX64" s="184">
        <v>0</v>
      </c>
      <c r="BY64" s="184">
        <v>3759.04</v>
      </c>
      <c r="BZ64" s="184">
        <v>0</v>
      </c>
      <c r="CA64" s="184">
        <v>0</v>
      </c>
      <c r="CB64" s="184">
        <v>0</v>
      </c>
      <c r="CC64" s="184">
        <v>1684749.2</v>
      </c>
      <c r="CD64" s="251" t="s">
        <v>221</v>
      </c>
      <c r="CE64" s="195">
        <f t="shared" si="0"/>
        <v>36203402.710000008</v>
      </c>
      <c r="CF64" s="254"/>
    </row>
    <row r="65" spans="1:84" ht="12.6" customHeight="1" x14ac:dyDescent="0.25">
      <c r="A65" s="171" t="s">
        <v>238</v>
      </c>
      <c r="B65" s="175"/>
      <c r="C65" s="184">
        <v>637.09</v>
      </c>
      <c r="D65" s="184">
        <v>0</v>
      </c>
      <c r="E65" s="184">
        <v>1335.08</v>
      </c>
      <c r="F65" s="184">
        <v>0</v>
      </c>
      <c r="G65" s="184">
        <v>0</v>
      </c>
      <c r="H65" s="184">
        <v>0</v>
      </c>
      <c r="I65" s="184">
        <v>0</v>
      </c>
      <c r="J65" s="184">
        <v>250</v>
      </c>
      <c r="K65" s="184">
        <v>0</v>
      </c>
      <c r="L65" s="184">
        <v>0</v>
      </c>
      <c r="M65" s="184">
        <v>0</v>
      </c>
      <c r="N65" s="184">
        <v>0</v>
      </c>
      <c r="O65" s="184">
        <v>50</v>
      </c>
      <c r="P65" s="184">
        <v>75</v>
      </c>
      <c r="Q65" s="184">
        <v>0</v>
      </c>
      <c r="R65" s="184">
        <v>0</v>
      </c>
      <c r="S65" s="184">
        <v>600</v>
      </c>
      <c r="T65" s="184">
        <v>0</v>
      </c>
      <c r="U65" s="184">
        <v>300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600</v>
      </c>
      <c r="AC65" s="184">
        <v>5742.52</v>
      </c>
      <c r="AD65" s="184">
        <v>0</v>
      </c>
      <c r="AE65" s="184">
        <v>0</v>
      </c>
      <c r="AF65" s="184">
        <v>0</v>
      </c>
      <c r="AG65" s="184">
        <v>1520.7299999999998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1223.78</v>
      </c>
      <c r="AZ65" s="184">
        <v>1029.53</v>
      </c>
      <c r="BA65" s="184">
        <v>0</v>
      </c>
      <c r="BB65" s="184">
        <v>0</v>
      </c>
      <c r="BC65" s="184">
        <v>0</v>
      </c>
      <c r="BD65" s="184">
        <v>0</v>
      </c>
      <c r="BE65" s="184">
        <v>1198889.9500000002</v>
      </c>
      <c r="BF65" s="184">
        <v>380684.10999999993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1000</v>
      </c>
      <c r="BM65" s="184">
        <v>0</v>
      </c>
      <c r="BN65" s="184">
        <v>8987.1299999999992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2786.2599999999993</v>
      </c>
      <c r="BX65" s="184">
        <v>0</v>
      </c>
      <c r="BY65" s="184">
        <v>751.58</v>
      </c>
      <c r="BZ65" s="184">
        <v>0</v>
      </c>
      <c r="CA65" s="184">
        <v>0</v>
      </c>
      <c r="CB65" s="184">
        <v>0</v>
      </c>
      <c r="CC65" s="184">
        <v>3338.84</v>
      </c>
      <c r="CD65" s="251" t="s">
        <v>221</v>
      </c>
      <c r="CE65" s="195">
        <f t="shared" si="0"/>
        <v>1609801.6</v>
      </c>
      <c r="CF65" s="254"/>
    </row>
    <row r="66" spans="1:84" ht="12.6" customHeight="1" x14ac:dyDescent="0.25">
      <c r="A66" s="171" t="s">
        <v>239</v>
      </c>
      <c r="B66" s="175"/>
      <c r="C66" s="184">
        <v>258651.68999999997</v>
      </c>
      <c r="D66" s="184">
        <v>0</v>
      </c>
      <c r="E66" s="184">
        <v>269514.40000000002</v>
      </c>
      <c r="F66" s="184">
        <v>0</v>
      </c>
      <c r="G66" s="184">
        <v>0</v>
      </c>
      <c r="H66" s="184">
        <v>0</v>
      </c>
      <c r="I66" s="184">
        <v>0</v>
      </c>
      <c r="J66" s="184">
        <v>208.24</v>
      </c>
      <c r="K66" s="184">
        <v>0</v>
      </c>
      <c r="L66" s="184">
        <v>0</v>
      </c>
      <c r="M66" s="184">
        <v>0</v>
      </c>
      <c r="N66" s="184">
        <v>0</v>
      </c>
      <c r="O66" s="184">
        <v>550.02</v>
      </c>
      <c r="P66" s="184">
        <v>702461.71999999986</v>
      </c>
      <c r="Q66" s="184">
        <v>716.06</v>
      </c>
      <c r="R66" s="184">
        <v>0</v>
      </c>
      <c r="S66" s="184">
        <v>527770.02</v>
      </c>
      <c r="T66" s="184">
        <v>105.4</v>
      </c>
      <c r="U66" s="184">
        <v>4194919.8099999996</v>
      </c>
      <c r="V66" s="184">
        <v>739203.5</v>
      </c>
      <c r="W66" s="184">
        <v>267964.09999999998</v>
      </c>
      <c r="X66" s="184">
        <v>372031.23000000004</v>
      </c>
      <c r="Y66" s="184">
        <v>660395.16999999993</v>
      </c>
      <c r="Z66" s="184">
        <v>0</v>
      </c>
      <c r="AA66" s="184">
        <v>9671.69</v>
      </c>
      <c r="AB66" s="184">
        <v>105656.38000000002</v>
      </c>
      <c r="AC66" s="184">
        <v>-5020.5200000000023</v>
      </c>
      <c r="AD66" s="184">
        <v>321</v>
      </c>
      <c r="AE66" s="184">
        <v>85.580000000000013</v>
      </c>
      <c r="AF66" s="184">
        <v>0</v>
      </c>
      <c r="AG66" s="184">
        <v>12743.9</v>
      </c>
      <c r="AH66" s="184">
        <v>0</v>
      </c>
      <c r="AI66" s="184">
        <v>0</v>
      </c>
      <c r="AJ66" s="184">
        <v>92.72</v>
      </c>
      <c r="AK66" s="184">
        <v>0</v>
      </c>
      <c r="AL66" s="184">
        <v>0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0</v>
      </c>
      <c r="AW66" s="184">
        <v>0</v>
      </c>
      <c r="AX66" s="184">
        <v>0</v>
      </c>
      <c r="AY66" s="184">
        <v>32762.870000000003</v>
      </c>
      <c r="AZ66" s="184">
        <v>2680.9900000000002</v>
      </c>
      <c r="BA66" s="184">
        <v>732913.66999999993</v>
      </c>
      <c r="BB66" s="184">
        <v>0</v>
      </c>
      <c r="BC66" s="184">
        <v>0</v>
      </c>
      <c r="BD66" s="184">
        <v>206969.33000000002</v>
      </c>
      <c r="BE66" s="184">
        <v>1417412.7399999995</v>
      </c>
      <c r="BF66" s="184">
        <v>91260.65</v>
      </c>
      <c r="BG66" s="184">
        <v>0</v>
      </c>
      <c r="BH66" s="184">
        <v>0</v>
      </c>
      <c r="BI66" s="184">
        <v>0</v>
      </c>
      <c r="BJ66" s="184">
        <v>0</v>
      </c>
      <c r="BK66" s="184">
        <v>0</v>
      </c>
      <c r="BL66" s="184">
        <v>0</v>
      </c>
      <c r="BM66" s="184">
        <v>0</v>
      </c>
      <c r="BN66" s="184">
        <v>185316.16999999998</v>
      </c>
      <c r="BO66" s="184">
        <v>0</v>
      </c>
      <c r="BP66" s="184">
        <v>0</v>
      </c>
      <c r="BQ66" s="184">
        <v>0</v>
      </c>
      <c r="BR66" s="184">
        <v>0</v>
      </c>
      <c r="BS66" s="184">
        <v>2570.33</v>
      </c>
      <c r="BT66" s="184">
        <v>0</v>
      </c>
      <c r="BU66" s="184">
        <v>0</v>
      </c>
      <c r="BV66" s="184">
        <v>0</v>
      </c>
      <c r="BW66" s="184">
        <v>2050.46</v>
      </c>
      <c r="BX66" s="184">
        <v>0</v>
      </c>
      <c r="BY66" s="184">
        <v>12222.37</v>
      </c>
      <c r="BZ66" s="184">
        <v>0</v>
      </c>
      <c r="CA66" s="184">
        <v>0</v>
      </c>
      <c r="CB66" s="184">
        <v>0</v>
      </c>
      <c r="CC66" s="184">
        <v>271825.87999999995</v>
      </c>
      <c r="CD66" s="251" t="s">
        <v>221</v>
      </c>
      <c r="CE66" s="195">
        <f t="shared" si="0"/>
        <v>11076027.570000002</v>
      </c>
      <c r="CF66" s="254"/>
    </row>
    <row r="67" spans="1:84" ht="12.6" customHeight="1" x14ac:dyDescent="0.25">
      <c r="A67" s="171" t="s">
        <v>6</v>
      </c>
      <c r="B67" s="175"/>
      <c r="C67" s="195">
        <f>ROUND(C51+C52,0)</f>
        <v>206399</v>
      </c>
      <c r="D67" s="195">
        <f>ROUND(D51+D52,0)</f>
        <v>0</v>
      </c>
      <c r="E67" s="195">
        <f t="shared" ref="E67:BP67" si="3">ROUND(E51+E52,0)</f>
        <v>1572621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181186</v>
      </c>
      <c r="Q67" s="195">
        <f t="shared" si="3"/>
        <v>123714</v>
      </c>
      <c r="R67" s="195">
        <f t="shared" si="3"/>
        <v>0</v>
      </c>
      <c r="S67" s="195">
        <f t="shared" si="3"/>
        <v>172321</v>
      </c>
      <c r="T67" s="195">
        <f t="shared" si="3"/>
        <v>0</v>
      </c>
      <c r="U67" s="195">
        <f t="shared" si="3"/>
        <v>97793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285020</v>
      </c>
      <c r="Z67" s="195">
        <f t="shared" si="3"/>
        <v>0</v>
      </c>
      <c r="AA67" s="195">
        <f t="shared" si="3"/>
        <v>0</v>
      </c>
      <c r="AB67" s="195">
        <f t="shared" si="3"/>
        <v>84815</v>
      </c>
      <c r="AC67" s="195">
        <f t="shared" si="3"/>
        <v>31531</v>
      </c>
      <c r="AD67" s="195">
        <f t="shared" si="3"/>
        <v>40935</v>
      </c>
      <c r="AE67" s="195">
        <f t="shared" si="3"/>
        <v>0</v>
      </c>
      <c r="AF67" s="195">
        <f t="shared" si="3"/>
        <v>0</v>
      </c>
      <c r="AG67" s="195">
        <f t="shared" si="3"/>
        <v>733292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217304</v>
      </c>
      <c r="AZ67" s="195">
        <f>ROUND(AZ51+AZ52,0)</f>
        <v>0</v>
      </c>
      <c r="BA67" s="195">
        <f>ROUND(BA51+BA52,0)</f>
        <v>0</v>
      </c>
      <c r="BB67" s="195">
        <f t="shared" si="3"/>
        <v>1667</v>
      </c>
      <c r="BC67" s="195">
        <f t="shared" si="3"/>
        <v>0</v>
      </c>
      <c r="BD67" s="195">
        <f t="shared" si="3"/>
        <v>211859</v>
      </c>
      <c r="BE67" s="195">
        <f t="shared" si="3"/>
        <v>12619987</v>
      </c>
      <c r="BF67" s="195">
        <f t="shared" si="3"/>
        <v>77415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378584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27749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4332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4137365</v>
      </c>
      <c r="CD67" s="251" t="s">
        <v>221</v>
      </c>
      <c r="CE67" s="195">
        <f t="shared" si="0"/>
        <v>21205889</v>
      </c>
      <c r="CF67" s="254"/>
    </row>
    <row r="68" spans="1:84" ht="12.6" customHeight="1" x14ac:dyDescent="0.25">
      <c r="A68" s="171" t="s">
        <v>240</v>
      </c>
      <c r="B68" s="175"/>
      <c r="C68" s="184">
        <v>2032.2599999999998</v>
      </c>
      <c r="D68" s="184">
        <v>0</v>
      </c>
      <c r="E68" s="184">
        <v>390.24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72908.789999999994</v>
      </c>
      <c r="Q68" s="184">
        <v>0</v>
      </c>
      <c r="R68" s="184">
        <v>0</v>
      </c>
      <c r="S68" s="184">
        <v>23552.25</v>
      </c>
      <c r="T68" s="184">
        <v>0</v>
      </c>
      <c r="U68" s="184">
        <v>0</v>
      </c>
      <c r="V68" s="184">
        <v>77064.5</v>
      </c>
      <c r="W68" s="184">
        <v>0</v>
      </c>
      <c r="X68" s="184">
        <v>0</v>
      </c>
      <c r="Y68" s="184">
        <v>77064.5</v>
      </c>
      <c r="Z68" s="184">
        <v>0</v>
      </c>
      <c r="AA68" s="184">
        <v>0</v>
      </c>
      <c r="AB68" s="184">
        <v>601272.47</v>
      </c>
      <c r="AC68" s="184">
        <v>8258.85</v>
      </c>
      <c r="AD68" s="184">
        <v>0</v>
      </c>
      <c r="AE68" s="184">
        <v>0</v>
      </c>
      <c r="AF68" s="184">
        <v>0</v>
      </c>
      <c r="AG68" s="184">
        <v>0</v>
      </c>
      <c r="AH68" s="184">
        <v>0</v>
      </c>
      <c r="AI68" s="184">
        <v>0</v>
      </c>
      <c r="AJ68" s="184">
        <v>0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6468.2199999999993</v>
      </c>
      <c r="AZ68" s="184">
        <v>0</v>
      </c>
      <c r="BA68" s="184">
        <v>0</v>
      </c>
      <c r="BB68" s="184">
        <v>0</v>
      </c>
      <c r="BC68" s="184">
        <v>0</v>
      </c>
      <c r="BD68" s="184">
        <v>0</v>
      </c>
      <c r="BE68" s="184">
        <v>0</v>
      </c>
      <c r="BF68" s="184">
        <v>0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0</v>
      </c>
      <c r="BM68" s="184">
        <v>0</v>
      </c>
      <c r="BN68" s="184">
        <v>2377709.2800000007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2556.85</v>
      </c>
      <c r="CD68" s="251" t="s">
        <v>221</v>
      </c>
      <c r="CE68" s="195">
        <f t="shared" si="0"/>
        <v>3249278.2100000009</v>
      </c>
      <c r="CF68" s="254"/>
    </row>
    <row r="69" spans="1:84" ht="12.6" customHeight="1" x14ac:dyDescent="0.25">
      <c r="A69" s="171" t="s">
        <v>241</v>
      </c>
      <c r="B69" s="175"/>
      <c r="C69" s="184">
        <v>20753.080000000005</v>
      </c>
      <c r="D69" s="184">
        <v>0</v>
      </c>
      <c r="E69" s="184">
        <v>131142.16000000003</v>
      </c>
      <c r="F69" s="184">
        <v>0</v>
      </c>
      <c r="G69" s="184">
        <v>0</v>
      </c>
      <c r="H69" s="184">
        <v>0</v>
      </c>
      <c r="I69" s="184">
        <v>0</v>
      </c>
      <c r="J69" s="184">
        <v>3373.79</v>
      </c>
      <c r="K69" s="184">
        <v>0</v>
      </c>
      <c r="L69" s="184">
        <v>0</v>
      </c>
      <c r="M69" s="184">
        <v>0</v>
      </c>
      <c r="N69" s="184">
        <v>0</v>
      </c>
      <c r="O69" s="184">
        <v>16591.939999999999</v>
      </c>
      <c r="P69" s="184">
        <v>57072.08</v>
      </c>
      <c r="Q69" s="184">
        <v>6215.08</v>
      </c>
      <c r="R69" s="184">
        <v>31.5</v>
      </c>
      <c r="S69" s="184">
        <v>24731.19</v>
      </c>
      <c r="T69" s="184">
        <v>5180.45</v>
      </c>
      <c r="U69" s="184">
        <v>317.04999999999995</v>
      </c>
      <c r="V69" s="184">
        <v>4420.49</v>
      </c>
      <c r="W69" s="184">
        <v>7639.58</v>
      </c>
      <c r="X69" s="184">
        <v>1872.45</v>
      </c>
      <c r="Y69" s="184">
        <v>16926.96</v>
      </c>
      <c r="Z69" s="184">
        <v>0</v>
      </c>
      <c r="AA69" s="184">
        <v>0</v>
      </c>
      <c r="AB69" s="184">
        <v>32264.19</v>
      </c>
      <c r="AC69" s="184">
        <v>10830.460000000001</v>
      </c>
      <c r="AD69" s="184">
        <v>0</v>
      </c>
      <c r="AE69" s="184">
        <v>8399.4700000000012</v>
      </c>
      <c r="AF69" s="184">
        <v>0</v>
      </c>
      <c r="AG69" s="184">
        <v>40376.35</v>
      </c>
      <c r="AH69" s="184">
        <v>0</v>
      </c>
      <c r="AI69" s="184">
        <v>0</v>
      </c>
      <c r="AJ69" s="184">
        <v>1525.31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23050.86</v>
      </c>
      <c r="AZ69" s="184">
        <v>20.95</v>
      </c>
      <c r="BA69" s="184">
        <v>0</v>
      </c>
      <c r="BB69" s="184">
        <v>0</v>
      </c>
      <c r="BC69" s="184">
        <v>0</v>
      </c>
      <c r="BD69" s="184">
        <v>0</v>
      </c>
      <c r="BE69" s="184">
        <v>13295.349999999999</v>
      </c>
      <c r="BF69" s="184">
        <v>3854.25</v>
      </c>
      <c r="BG69" s="184">
        <v>0</v>
      </c>
      <c r="BH69" s="184">
        <v>0</v>
      </c>
      <c r="BI69" s="184">
        <v>0</v>
      </c>
      <c r="BJ69" s="184">
        <v>0</v>
      </c>
      <c r="BK69" s="184">
        <v>0</v>
      </c>
      <c r="BL69" s="184">
        <v>2852.3</v>
      </c>
      <c r="BM69" s="184">
        <v>0</v>
      </c>
      <c r="BN69" s="184">
        <v>1249117.55</v>
      </c>
      <c r="BO69" s="184">
        <v>0</v>
      </c>
      <c r="BP69" s="184">
        <v>0</v>
      </c>
      <c r="BQ69" s="184">
        <v>0</v>
      </c>
      <c r="BR69" s="184">
        <v>0</v>
      </c>
      <c r="BS69" s="184">
        <v>7570.3600000000006</v>
      </c>
      <c r="BT69" s="184">
        <v>0</v>
      </c>
      <c r="BU69" s="184">
        <v>0</v>
      </c>
      <c r="BV69" s="184">
        <v>0</v>
      </c>
      <c r="BW69" s="184">
        <v>26783.170000000002</v>
      </c>
      <c r="BX69" s="184">
        <v>0</v>
      </c>
      <c r="BY69" s="184">
        <v>1236</v>
      </c>
      <c r="BZ69" s="184">
        <v>0</v>
      </c>
      <c r="CA69" s="184">
        <v>0</v>
      </c>
      <c r="CB69" s="184">
        <v>0</v>
      </c>
      <c r="CC69" s="184">
        <v>68152617.661280304</v>
      </c>
      <c r="CD69" s="184">
        <v>19805053.510000002</v>
      </c>
      <c r="CE69" s="195">
        <f t="shared" si="0"/>
        <v>89675115.541280314</v>
      </c>
      <c r="CF69" s="254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31349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8434.06</v>
      </c>
      <c r="Q70" s="184">
        <v>0</v>
      </c>
      <c r="R70" s="184">
        <v>0</v>
      </c>
      <c r="S70" s="184">
        <v>0</v>
      </c>
      <c r="T70" s="184">
        <v>0</v>
      </c>
      <c r="U70" s="184">
        <v>249.7</v>
      </c>
      <c r="V70" s="184">
        <v>0</v>
      </c>
      <c r="W70" s="184">
        <v>0</v>
      </c>
      <c r="X70" s="184">
        <v>0</v>
      </c>
      <c r="Y70" s="184">
        <v>17621.62</v>
      </c>
      <c r="Z70" s="184">
        <v>0</v>
      </c>
      <c r="AA70" s="184">
        <v>0</v>
      </c>
      <c r="AB70" s="184">
        <v>26581.049999999996</v>
      </c>
      <c r="AC70" s="184">
        <v>0</v>
      </c>
      <c r="AD70" s="184">
        <v>0</v>
      </c>
      <c r="AE70" s="184">
        <v>687.5</v>
      </c>
      <c r="AF70" s="184">
        <v>0</v>
      </c>
      <c r="AG70" s="184">
        <v>46798.02</v>
      </c>
      <c r="AH70" s="184">
        <v>0</v>
      </c>
      <c r="AI70" s="184">
        <v>0</v>
      </c>
      <c r="AJ70" s="184">
        <v>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164158.79999999999</v>
      </c>
      <c r="AZ70" s="184">
        <v>881138.7</v>
      </c>
      <c r="BA70" s="184">
        <v>0</v>
      </c>
      <c r="BB70" s="184">
        <v>0</v>
      </c>
      <c r="BC70" s="184">
        <v>0</v>
      </c>
      <c r="BD70" s="184">
        <v>0</v>
      </c>
      <c r="BE70" s="184">
        <v>135834.99</v>
      </c>
      <c r="BF70" s="184">
        <v>24775</v>
      </c>
      <c r="BG70" s="184">
        <v>0</v>
      </c>
      <c r="BH70" s="184">
        <v>0</v>
      </c>
      <c r="BI70" s="184">
        <v>0</v>
      </c>
      <c r="BJ70" s="184">
        <v>0</v>
      </c>
      <c r="BK70" s="184">
        <v>0</v>
      </c>
      <c r="BL70" s="184">
        <v>0</v>
      </c>
      <c r="BM70" s="184">
        <v>0</v>
      </c>
      <c r="BN70" s="184">
        <v>1776965.0899999996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11760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7476719.3599999985</v>
      </c>
      <c r="CD70" s="188"/>
      <c r="CE70" s="195">
        <f t="shared" si="0"/>
        <v>10603072.889999997</v>
      </c>
      <c r="CF70" s="254"/>
    </row>
    <row r="71" spans="1:84" ht="12.6" customHeight="1" x14ac:dyDescent="0.25">
      <c r="A71" s="171" t="s">
        <v>243</v>
      </c>
      <c r="B71" s="175"/>
      <c r="C71" s="195">
        <f>SUM(C61:C68)+C69-C70</f>
        <v>6399994.3200000003</v>
      </c>
      <c r="D71" s="195">
        <f t="shared" ref="D71:AI71" si="5">SUM(D61:D69)-D70</f>
        <v>0</v>
      </c>
      <c r="E71" s="195">
        <f t="shared" si="5"/>
        <v>16868751.600000001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1727622.17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6516777.4400000004</v>
      </c>
      <c r="P71" s="195">
        <f t="shared" si="5"/>
        <v>15847192.83</v>
      </c>
      <c r="Q71" s="195">
        <f t="shared" si="5"/>
        <v>3303242.8999999994</v>
      </c>
      <c r="R71" s="195">
        <f t="shared" si="5"/>
        <v>635751.75</v>
      </c>
      <c r="S71" s="195">
        <f t="shared" si="5"/>
        <v>11829779.68</v>
      </c>
      <c r="T71" s="195">
        <f t="shared" si="5"/>
        <v>529029.78999999992</v>
      </c>
      <c r="U71" s="195">
        <f t="shared" si="5"/>
        <v>6038111.8999999994</v>
      </c>
      <c r="V71" s="195">
        <f t="shared" si="5"/>
        <v>4832033.54</v>
      </c>
      <c r="W71" s="195">
        <f t="shared" si="5"/>
        <v>1338375.9900000002</v>
      </c>
      <c r="X71" s="195">
        <f t="shared" si="5"/>
        <v>2726758.61</v>
      </c>
      <c r="Y71" s="195">
        <f t="shared" si="5"/>
        <v>4247592.92</v>
      </c>
      <c r="Z71" s="195">
        <f t="shared" si="5"/>
        <v>0</v>
      </c>
      <c r="AA71" s="195">
        <f t="shared" si="5"/>
        <v>211598.72999999998</v>
      </c>
      <c r="AB71" s="195">
        <f t="shared" si="5"/>
        <v>10149148.4</v>
      </c>
      <c r="AC71" s="195">
        <f t="shared" si="5"/>
        <v>1842591.74</v>
      </c>
      <c r="AD71" s="195">
        <f t="shared" si="5"/>
        <v>75041.48</v>
      </c>
      <c r="AE71" s="195">
        <f t="shared" si="5"/>
        <v>1764084.6900000002</v>
      </c>
      <c r="AF71" s="195">
        <f t="shared" si="5"/>
        <v>0</v>
      </c>
      <c r="AG71" s="195">
        <f t="shared" si="5"/>
        <v>7034592.6400000006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807277.35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1609482.1700000002</v>
      </c>
      <c r="AZ71" s="195">
        <f t="shared" si="6"/>
        <v>355424.08000000007</v>
      </c>
      <c r="BA71" s="195">
        <f t="shared" si="6"/>
        <v>788363.03999999992</v>
      </c>
      <c r="BB71" s="195">
        <f t="shared" si="6"/>
        <v>1233629.5399999998</v>
      </c>
      <c r="BC71" s="195">
        <f t="shared" si="6"/>
        <v>0</v>
      </c>
      <c r="BD71" s="195">
        <f t="shared" si="6"/>
        <v>-443745.68999999994</v>
      </c>
      <c r="BE71" s="195">
        <f t="shared" si="6"/>
        <v>17414957.060000002</v>
      </c>
      <c r="BF71" s="195">
        <f t="shared" si="6"/>
        <v>2313163.3799999994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1216301.1400000001</v>
      </c>
      <c r="BM71" s="195">
        <f t="shared" si="6"/>
        <v>0</v>
      </c>
      <c r="BN71" s="195">
        <f t="shared" si="6"/>
        <v>5427930.9800000004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102755.40999999999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559042.80000000016</v>
      </c>
      <c r="BX71" s="195">
        <f t="shared" si="7"/>
        <v>0</v>
      </c>
      <c r="BY71" s="195">
        <f t="shared" si="7"/>
        <v>904044.56</v>
      </c>
      <c r="BZ71" s="195">
        <f t="shared" si="7"/>
        <v>0</v>
      </c>
      <c r="CA71" s="195">
        <f t="shared" si="7"/>
        <v>37368.509999999995</v>
      </c>
      <c r="CB71" s="195">
        <f t="shared" si="7"/>
        <v>0</v>
      </c>
      <c r="CC71" s="195">
        <f t="shared" si="7"/>
        <v>68389256.231280312</v>
      </c>
      <c r="CD71" s="247">
        <f>CD69-CD70</f>
        <v>19805053.510000002</v>
      </c>
      <c r="CE71" s="195">
        <f>SUM(CE61:CE69)-CE70</f>
        <v>224438377.19128036</v>
      </c>
      <c r="CF71" s="254"/>
    </row>
    <row r="72" spans="1:84" ht="12.6" customHeight="1" x14ac:dyDescent="0.25">
      <c r="A72" s="171" t="s">
        <v>244</v>
      </c>
      <c r="B72" s="175"/>
      <c r="C72" s="251" t="s">
        <v>221</v>
      </c>
      <c r="D72" s="251" t="s">
        <v>221</v>
      </c>
      <c r="E72" s="251" t="s">
        <v>221</v>
      </c>
      <c r="F72" s="251" t="s">
        <v>221</v>
      </c>
      <c r="G72" s="251" t="s">
        <v>221</v>
      </c>
      <c r="H72" s="251" t="s">
        <v>221</v>
      </c>
      <c r="I72" s="251" t="s">
        <v>221</v>
      </c>
      <c r="J72" s="251" t="s">
        <v>221</v>
      </c>
      <c r="K72" s="255" t="s">
        <v>221</v>
      </c>
      <c r="L72" s="251" t="s">
        <v>221</v>
      </c>
      <c r="M72" s="251" t="s">
        <v>221</v>
      </c>
      <c r="N72" s="251" t="s">
        <v>221</v>
      </c>
      <c r="O72" s="251" t="s">
        <v>221</v>
      </c>
      <c r="P72" s="251" t="s">
        <v>221</v>
      </c>
      <c r="Q72" s="251" t="s">
        <v>221</v>
      </c>
      <c r="R72" s="251" t="s">
        <v>221</v>
      </c>
      <c r="S72" s="251" t="s">
        <v>221</v>
      </c>
      <c r="T72" s="251" t="s">
        <v>221</v>
      </c>
      <c r="U72" s="251" t="s">
        <v>221</v>
      </c>
      <c r="V72" s="251" t="s">
        <v>221</v>
      </c>
      <c r="W72" s="251" t="s">
        <v>221</v>
      </c>
      <c r="X72" s="251" t="s">
        <v>221</v>
      </c>
      <c r="Y72" s="251" t="s">
        <v>221</v>
      </c>
      <c r="Z72" s="251" t="s">
        <v>221</v>
      </c>
      <c r="AA72" s="251" t="s">
        <v>221</v>
      </c>
      <c r="AB72" s="251" t="s">
        <v>221</v>
      </c>
      <c r="AC72" s="251" t="s">
        <v>221</v>
      </c>
      <c r="AD72" s="251" t="s">
        <v>221</v>
      </c>
      <c r="AE72" s="251" t="s">
        <v>221</v>
      </c>
      <c r="AF72" s="251" t="s">
        <v>221</v>
      </c>
      <c r="AG72" s="251" t="s">
        <v>221</v>
      </c>
      <c r="AH72" s="251" t="s">
        <v>221</v>
      </c>
      <c r="AI72" s="251" t="s">
        <v>221</v>
      </c>
      <c r="AJ72" s="251" t="s">
        <v>221</v>
      </c>
      <c r="AK72" s="251" t="s">
        <v>221</v>
      </c>
      <c r="AL72" s="251" t="s">
        <v>221</v>
      </c>
      <c r="AM72" s="251" t="s">
        <v>221</v>
      </c>
      <c r="AN72" s="251" t="s">
        <v>221</v>
      </c>
      <c r="AO72" s="251" t="s">
        <v>221</v>
      </c>
      <c r="AP72" s="251" t="s">
        <v>221</v>
      </c>
      <c r="AQ72" s="251" t="s">
        <v>221</v>
      </c>
      <c r="AR72" s="251" t="s">
        <v>221</v>
      </c>
      <c r="AS72" s="251" t="s">
        <v>221</v>
      </c>
      <c r="AT72" s="251" t="s">
        <v>221</v>
      </c>
      <c r="AU72" s="251" t="s">
        <v>221</v>
      </c>
      <c r="AV72" s="251" t="s">
        <v>221</v>
      </c>
      <c r="AW72" s="251" t="s">
        <v>221</v>
      </c>
      <c r="AX72" s="251" t="s">
        <v>221</v>
      </c>
      <c r="AY72" s="251" t="s">
        <v>221</v>
      </c>
      <c r="AZ72" s="251" t="s">
        <v>221</v>
      </c>
      <c r="BA72" s="251" t="s">
        <v>221</v>
      </c>
      <c r="BB72" s="251" t="s">
        <v>221</v>
      </c>
      <c r="BC72" s="251" t="s">
        <v>221</v>
      </c>
      <c r="BD72" s="251" t="s">
        <v>221</v>
      </c>
      <c r="BE72" s="251" t="s">
        <v>221</v>
      </c>
      <c r="BF72" s="251" t="s">
        <v>221</v>
      </c>
      <c r="BG72" s="251" t="s">
        <v>221</v>
      </c>
      <c r="BH72" s="251" t="s">
        <v>221</v>
      </c>
      <c r="BI72" s="251" t="s">
        <v>221</v>
      </c>
      <c r="BJ72" s="251" t="s">
        <v>221</v>
      </c>
      <c r="BK72" s="251" t="s">
        <v>221</v>
      </c>
      <c r="BL72" s="251" t="s">
        <v>221</v>
      </c>
      <c r="BM72" s="251" t="s">
        <v>221</v>
      </c>
      <c r="BN72" s="251" t="s">
        <v>221</v>
      </c>
      <c r="BO72" s="251" t="s">
        <v>221</v>
      </c>
      <c r="BP72" s="251" t="s">
        <v>221</v>
      </c>
      <c r="BQ72" s="251" t="s">
        <v>221</v>
      </c>
      <c r="BR72" s="251" t="s">
        <v>221</v>
      </c>
      <c r="BS72" s="251" t="s">
        <v>221</v>
      </c>
      <c r="BT72" s="251" t="s">
        <v>221</v>
      </c>
      <c r="BU72" s="251" t="s">
        <v>221</v>
      </c>
      <c r="BV72" s="251" t="s">
        <v>221</v>
      </c>
      <c r="BW72" s="251" t="s">
        <v>221</v>
      </c>
      <c r="BX72" s="251" t="s">
        <v>221</v>
      </c>
      <c r="BY72" s="251" t="s">
        <v>221</v>
      </c>
      <c r="BZ72" s="251" t="s">
        <v>221</v>
      </c>
      <c r="CA72" s="251" t="s">
        <v>221</v>
      </c>
      <c r="CB72" s="251" t="s">
        <v>221</v>
      </c>
      <c r="CC72" s="251" t="s">
        <v>221</v>
      </c>
      <c r="CD72" s="251" t="s">
        <v>221</v>
      </c>
      <c r="CE72" s="188">
        <v>0</v>
      </c>
      <c r="CF72" s="254"/>
    </row>
    <row r="73" spans="1:84" ht="12.6" customHeight="1" x14ac:dyDescent="0.25">
      <c r="A73" s="171" t="s">
        <v>245</v>
      </c>
      <c r="B73" s="175"/>
      <c r="C73" s="184">
        <v>24117979</v>
      </c>
      <c r="D73" s="184">
        <v>0</v>
      </c>
      <c r="E73" s="184">
        <v>49482578</v>
      </c>
      <c r="F73" s="184">
        <v>0</v>
      </c>
      <c r="G73" s="184">
        <v>0</v>
      </c>
      <c r="H73" s="184">
        <v>0</v>
      </c>
      <c r="I73" s="184">
        <v>0</v>
      </c>
      <c r="J73" s="184">
        <v>8179274</v>
      </c>
      <c r="K73" s="184">
        <v>0</v>
      </c>
      <c r="L73" s="184">
        <v>0</v>
      </c>
      <c r="M73" s="184">
        <v>0</v>
      </c>
      <c r="N73" s="184">
        <v>0</v>
      </c>
      <c r="O73" s="184">
        <v>16367940.079999998</v>
      </c>
      <c r="P73" s="184">
        <v>60428160.709999993</v>
      </c>
      <c r="Q73" s="184">
        <v>4802297</v>
      </c>
      <c r="R73" s="184">
        <v>17262311</v>
      </c>
      <c r="S73" s="184">
        <v>25879836.830000002</v>
      </c>
      <c r="T73" s="184">
        <v>846762.65</v>
      </c>
      <c r="U73" s="184">
        <v>17809012.5</v>
      </c>
      <c r="V73" s="184">
        <v>20234717.529999997</v>
      </c>
      <c r="W73" s="184">
        <v>1691445.5999999999</v>
      </c>
      <c r="X73" s="184">
        <v>4917438.76</v>
      </c>
      <c r="Y73" s="184">
        <v>3475323.46</v>
      </c>
      <c r="Z73" s="184">
        <v>0</v>
      </c>
      <c r="AA73" s="184">
        <v>217402</v>
      </c>
      <c r="AB73" s="184">
        <v>23743494</v>
      </c>
      <c r="AC73" s="184">
        <v>12872241</v>
      </c>
      <c r="AD73" s="184">
        <v>659345</v>
      </c>
      <c r="AE73" s="184">
        <v>6013840.7799999993</v>
      </c>
      <c r="AF73" s="184">
        <v>0</v>
      </c>
      <c r="AG73" s="184">
        <v>14960679</v>
      </c>
      <c r="AH73" s="184">
        <v>0</v>
      </c>
      <c r="AI73" s="184">
        <v>0</v>
      </c>
      <c r="AJ73" s="184">
        <v>1228.67</v>
      </c>
      <c r="AK73" s="184">
        <v>0</v>
      </c>
      <c r="AL73" s="184">
        <v>0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-96.739999999990687</v>
      </c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95">
        <f t="shared" ref="CE73:CE80" si="8">SUM(C73:CD73)</f>
        <v>313963210.82999998</v>
      </c>
      <c r="CF73" s="254"/>
    </row>
    <row r="74" spans="1:84" ht="12.6" customHeight="1" x14ac:dyDescent="0.25">
      <c r="A74" s="171" t="s">
        <v>246</v>
      </c>
      <c r="B74" s="175"/>
      <c r="C74" s="184">
        <v>1371237</v>
      </c>
      <c r="D74" s="184">
        <v>0</v>
      </c>
      <c r="E74" s="184">
        <v>3794249</v>
      </c>
      <c r="F74" s="184">
        <v>0</v>
      </c>
      <c r="G74" s="184">
        <v>0</v>
      </c>
      <c r="H74" s="184">
        <v>0</v>
      </c>
      <c r="I74" s="184">
        <v>0</v>
      </c>
      <c r="J74" s="184">
        <v>7486</v>
      </c>
      <c r="K74" s="184">
        <v>0</v>
      </c>
      <c r="L74" s="184">
        <v>0</v>
      </c>
      <c r="M74" s="184">
        <v>0</v>
      </c>
      <c r="N74" s="184">
        <v>0</v>
      </c>
      <c r="O74" s="184">
        <v>744867</v>
      </c>
      <c r="P74" s="184">
        <v>80571731.879999995</v>
      </c>
      <c r="Q74" s="184">
        <v>8414059.620000001</v>
      </c>
      <c r="R74" s="184">
        <v>19721260</v>
      </c>
      <c r="S74" s="184">
        <v>23856701.029999997</v>
      </c>
      <c r="T74" s="184">
        <v>2040032.5899999999</v>
      </c>
      <c r="U74" s="184">
        <v>11388190.5</v>
      </c>
      <c r="V74" s="184">
        <v>17645519.679999996</v>
      </c>
      <c r="W74" s="184">
        <v>12897494.790000001</v>
      </c>
      <c r="X74" s="184">
        <v>16892820.52</v>
      </c>
      <c r="Y74" s="184">
        <v>23542550.300000004</v>
      </c>
      <c r="Z74" s="184">
        <v>0</v>
      </c>
      <c r="AA74" s="184">
        <v>2467707</v>
      </c>
      <c r="AB74" s="184">
        <v>28612141.449999999</v>
      </c>
      <c r="AC74" s="184">
        <v>3208673</v>
      </c>
      <c r="AD74" s="184">
        <v>4026</v>
      </c>
      <c r="AE74" s="184">
        <v>3115652.1</v>
      </c>
      <c r="AF74" s="184">
        <v>0</v>
      </c>
      <c r="AG74" s="184">
        <v>59508116</v>
      </c>
      <c r="AH74" s="184">
        <v>0</v>
      </c>
      <c r="AI74" s="184">
        <v>0</v>
      </c>
      <c r="AJ74" s="184">
        <v>3144892.22</v>
      </c>
      <c r="AK74" s="184">
        <v>0</v>
      </c>
      <c r="AL74" s="184">
        <v>0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4588</v>
      </c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si="8"/>
        <v>322953995.68000007</v>
      </c>
      <c r="CF74" s="254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25489216</v>
      </c>
      <c r="D75" s="195">
        <f t="shared" si="9"/>
        <v>0</v>
      </c>
      <c r="E75" s="195">
        <f t="shared" si="9"/>
        <v>53276827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8186760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17112807.079999998</v>
      </c>
      <c r="P75" s="195">
        <f t="shared" si="9"/>
        <v>140999892.58999997</v>
      </c>
      <c r="Q75" s="195">
        <f t="shared" si="9"/>
        <v>13216356.620000001</v>
      </c>
      <c r="R75" s="195">
        <f t="shared" si="9"/>
        <v>36983571</v>
      </c>
      <c r="S75" s="195">
        <f t="shared" si="9"/>
        <v>49736537.859999999</v>
      </c>
      <c r="T75" s="195">
        <f t="shared" si="9"/>
        <v>2886795.2399999998</v>
      </c>
      <c r="U75" s="195">
        <f t="shared" si="9"/>
        <v>29197203</v>
      </c>
      <c r="V75" s="195">
        <f t="shared" si="9"/>
        <v>37880237.209999993</v>
      </c>
      <c r="W75" s="195">
        <f t="shared" si="9"/>
        <v>14588940.390000001</v>
      </c>
      <c r="X75" s="195">
        <f t="shared" si="9"/>
        <v>21810259.280000001</v>
      </c>
      <c r="Y75" s="195">
        <f t="shared" si="9"/>
        <v>27017873.760000005</v>
      </c>
      <c r="Z75" s="195">
        <f t="shared" si="9"/>
        <v>0</v>
      </c>
      <c r="AA75" s="195">
        <f t="shared" si="9"/>
        <v>2685109</v>
      </c>
      <c r="AB75" s="195">
        <f t="shared" si="9"/>
        <v>52355635.450000003</v>
      </c>
      <c r="AC75" s="195">
        <f t="shared" si="9"/>
        <v>16080914</v>
      </c>
      <c r="AD75" s="195">
        <f t="shared" si="9"/>
        <v>663371</v>
      </c>
      <c r="AE75" s="195">
        <f t="shared" si="9"/>
        <v>9129492.879999999</v>
      </c>
      <c r="AF75" s="195">
        <f t="shared" si="9"/>
        <v>0</v>
      </c>
      <c r="AG75" s="195">
        <f t="shared" si="9"/>
        <v>74468795</v>
      </c>
      <c r="AH75" s="195">
        <f t="shared" si="9"/>
        <v>0</v>
      </c>
      <c r="AI75" s="195">
        <f t="shared" si="9"/>
        <v>0</v>
      </c>
      <c r="AJ75" s="195">
        <f t="shared" si="9"/>
        <v>3146120.89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4491.2600000000093</v>
      </c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8"/>
        <v>636917206.50999999</v>
      </c>
      <c r="CF75" s="254"/>
    </row>
    <row r="76" spans="1:84" ht="12.6" customHeight="1" x14ac:dyDescent="0.25">
      <c r="A76" s="171" t="s">
        <v>248</v>
      </c>
      <c r="B76" s="175"/>
      <c r="C76" s="184">
        <v>11154.317420000005</v>
      </c>
      <c r="D76" s="184">
        <v>0</v>
      </c>
      <c r="E76" s="184">
        <v>84988.176752000014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9791.7140129999989</v>
      </c>
      <c r="Q76" s="184">
        <v>6685.7876709999991</v>
      </c>
      <c r="R76" s="184">
        <v>0</v>
      </c>
      <c r="S76" s="184">
        <v>9312.6123619999998</v>
      </c>
      <c r="T76" s="184">
        <v>0</v>
      </c>
      <c r="U76" s="184">
        <v>5284.9723669999994</v>
      </c>
      <c r="V76" s="184">
        <v>0</v>
      </c>
      <c r="W76" s="184">
        <v>0</v>
      </c>
      <c r="X76" s="184">
        <v>0</v>
      </c>
      <c r="Y76" s="184">
        <v>15403.155785000004</v>
      </c>
      <c r="Z76" s="184">
        <v>0</v>
      </c>
      <c r="AA76" s="184">
        <v>0</v>
      </c>
      <c r="AB76" s="184">
        <v>4583.5959640000001</v>
      </c>
      <c r="AC76" s="184">
        <v>1704.0346560000003</v>
      </c>
      <c r="AD76" s="184">
        <v>2212.198864</v>
      </c>
      <c r="AE76" s="184">
        <v>0</v>
      </c>
      <c r="AF76" s="184">
        <v>0</v>
      </c>
      <c r="AG76" s="184">
        <v>39628.843089999988</v>
      </c>
      <c r="AH76" s="184">
        <v>0</v>
      </c>
      <c r="AI76" s="184">
        <v>0</v>
      </c>
      <c r="AJ76" s="184">
        <v>0</v>
      </c>
      <c r="AK76" s="184">
        <v>0</v>
      </c>
      <c r="AL76" s="184">
        <v>0</v>
      </c>
      <c r="AM76" s="184">
        <v>0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0</v>
      </c>
      <c r="AW76" s="184">
        <v>0</v>
      </c>
      <c r="AX76" s="184">
        <v>0</v>
      </c>
      <c r="AY76" s="184">
        <v>11743.641523999999</v>
      </c>
      <c r="AZ76" s="184">
        <v>0</v>
      </c>
      <c r="BA76" s="184">
        <v>0</v>
      </c>
      <c r="BB76" s="184">
        <v>90.09393</v>
      </c>
      <c r="BC76" s="184">
        <v>0</v>
      </c>
      <c r="BD76" s="184">
        <v>11449.356216999997</v>
      </c>
      <c r="BE76" s="184">
        <v>682014.27962599939</v>
      </c>
      <c r="BF76" s="184">
        <v>4183.7166940000006</v>
      </c>
      <c r="BG76" s="184">
        <v>0</v>
      </c>
      <c r="BH76" s="184">
        <v>0</v>
      </c>
      <c r="BI76" s="184">
        <v>0</v>
      </c>
      <c r="BJ76" s="184">
        <v>0</v>
      </c>
      <c r="BK76" s="184">
        <v>0</v>
      </c>
      <c r="BL76" s="184">
        <v>0</v>
      </c>
      <c r="BM76" s="184">
        <v>0</v>
      </c>
      <c r="BN76" s="184">
        <v>20459.610332000007</v>
      </c>
      <c r="BO76" s="184">
        <v>0</v>
      </c>
      <c r="BP76" s="184">
        <v>0</v>
      </c>
      <c r="BQ76" s="184">
        <v>0</v>
      </c>
      <c r="BR76" s="184">
        <v>0</v>
      </c>
      <c r="BS76" s="184">
        <v>1499.6279959999999</v>
      </c>
      <c r="BT76" s="184">
        <v>0</v>
      </c>
      <c r="BU76" s="184">
        <v>0</v>
      </c>
      <c r="BV76" s="184">
        <v>0</v>
      </c>
      <c r="BW76" s="184">
        <v>0</v>
      </c>
      <c r="BX76" s="184">
        <v>0</v>
      </c>
      <c r="BY76" s="184">
        <v>234.11505099999999</v>
      </c>
      <c r="BZ76" s="184">
        <v>0</v>
      </c>
      <c r="CA76" s="184">
        <v>0</v>
      </c>
      <c r="CB76" s="184">
        <v>0</v>
      </c>
      <c r="CC76" s="184">
        <v>223593.11350999997</v>
      </c>
      <c r="CD76" s="251" t="s">
        <v>221</v>
      </c>
      <c r="CE76" s="195">
        <f t="shared" si="8"/>
        <v>1146016.9638239993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27504.888258247607</v>
      </c>
      <c r="D77" s="184">
        <v>0</v>
      </c>
      <c r="E77" s="184">
        <v>90871.111741752393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1" t="s">
        <v>221</v>
      </c>
      <c r="AY77" s="251" t="s">
        <v>221</v>
      </c>
      <c r="AZ77" s="184"/>
      <c r="BA77" s="184"/>
      <c r="BB77" s="184"/>
      <c r="BC77" s="184"/>
      <c r="BD77" s="251" t="s">
        <v>221</v>
      </c>
      <c r="BE77" s="251" t="s">
        <v>221</v>
      </c>
      <c r="BF77" s="184"/>
      <c r="BG77" s="251" t="s">
        <v>221</v>
      </c>
      <c r="BH77" s="184"/>
      <c r="BI77" s="184"/>
      <c r="BJ77" s="251" t="s">
        <v>221</v>
      </c>
      <c r="BK77" s="184"/>
      <c r="BL77" s="184"/>
      <c r="BM77" s="184"/>
      <c r="BN77" s="251" t="s">
        <v>221</v>
      </c>
      <c r="BO77" s="251" t="s">
        <v>221</v>
      </c>
      <c r="BP77" s="251" t="s">
        <v>221</v>
      </c>
      <c r="BQ77" s="251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1" t="s">
        <v>221</v>
      </c>
      <c r="CD77" s="251" t="s">
        <v>221</v>
      </c>
      <c r="CE77" s="195">
        <f>SUM(C77:CD77)</f>
        <v>118376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579.24671182169823</v>
      </c>
      <c r="D78" s="184">
        <v>0</v>
      </c>
      <c r="E78" s="184">
        <v>4413.4589391411891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508.48634941650175</v>
      </c>
      <c r="Q78" s="184">
        <v>347.19475684105089</v>
      </c>
      <c r="R78" s="184">
        <v>0</v>
      </c>
      <c r="S78" s="184">
        <v>483.60647147143823</v>
      </c>
      <c r="T78" s="184">
        <v>0</v>
      </c>
      <c r="U78" s="184">
        <v>274.45004031930137</v>
      </c>
      <c r="V78" s="184">
        <v>0</v>
      </c>
      <c r="W78" s="184">
        <v>0</v>
      </c>
      <c r="X78" s="184">
        <v>0</v>
      </c>
      <c r="Y78" s="184">
        <v>799.89003398278919</v>
      </c>
      <c r="Z78" s="184">
        <v>0</v>
      </c>
      <c r="AA78" s="184">
        <v>0</v>
      </c>
      <c r="AB78" s="184">
        <v>238.02737455773482</v>
      </c>
      <c r="AC78" s="184">
        <v>88.490979246152605</v>
      </c>
      <c r="AD78" s="184">
        <v>114.88008361408954</v>
      </c>
      <c r="AE78" s="184">
        <v>0</v>
      </c>
      <c r="AF78" s="184">
        <v>0</v>
      </c>
      <c r="AG78" s="184">
        <v>2057.9365091423506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51" t="s">
        <v>221</v>
      </c>
      <c r="AY78" s="251" t="s">
        <v>221</v>
      </c>
      <c r="AZ78" s="251" t="s">
        <v>221</v>
      </c>
      <c r="BA78" s="184"/>
      <c r="BB78" s="184">
        <v>4.6786020822773242</v>
      </c>
      <c r="BC78" s="184"/>
      <c r="BD78" s="251" t="s">
        <v>221</v>
      </c>
      <c r="BE78" s="251" t="s">
        <v>221</v>
      </c>
      <c r="BF78" s="251" t="s">
        <v>221</v>
      </c>
      <c r="BG78" s="251" t="s">
        <v>221</v>
      </c>
      <c r="BH78" s="184"/>
      <c r="BI78" s="184"/>
      <c r="BJ78" s="251" t="s">
        <v>221</v>
      </c>
      <c r="BK78" s="184"/>
      <c r="BL78" s="184"/>
      <c r="BM78" s="184"/>
      <c r="BN78" s="251" t="s">
        <v>221</v>
      </c>
      <c r="BO78" s="251" t="s">
        <v>221</v>
      </c>
      <c r="BP78" s="251" t="s">
        <v>221</v>
      </c>
      <c r="BQ78" s="251" t="s">
        <v>221</v>
      </c>
      <c r="BR78" s="251" t="s">
        <v>221</v>
      </c>
      <c r="BS78" s="184">
        <v>77.876086266044453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12.157657736776073</v>
      </c>
      <c r="BZ78" s="184">
        <v>0</v>
      </c>
      <c r="CA78" s="184">
        <v>0</v>
      </c>
      <c r="CB78" s="184">
        <v>0</v>
      </c>
      <c r="CC78" s="251" t="s">
        <v>221</v>
      </c>
      <c r="CD78" s="251" t="s">
        <v>221</v>
      </c>
      <c r="CE78" s="195">
        <f t="shared" si="8"/>
        <v>10000.380595639394</v>
      </c>
      <c r="CF78" s="195"/>
    </row>
    <row r="79" spans="1:84" ht="12.6" customHeight="1" x14ac:dyDescent="0.25">
      <c r="A79" s="171" t="s">
        <v>251</v>
      </c>
      <c r="B79" s="175"/>
      <c r="C79" s="184">
        <v>2460.7924796026959</v>
      </c>
      <c r="D79" s="184">
        <v>0</v>
      </c>
      <c r="E79" s="184">
        <v>8130.0075203973038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1" t="s">
        <v>221</v>
      </c>
      <c r="AY79" s="251" t="s">
        <v>221</v>
      </c>
      <c r="AZ79" s="251" t="s">
        <v>221</v>
      </c>
      <c r="BA79" s="251" t="s">
        <v>221</v>
      </c>
      <c r="BB79" s="184"/>
      <c r="BC79" s="184"/>
      <c r="BD79" s="251" t="s">
        <v>221</v>
      </c>
      <c r="BE79" s="251" t="s">
        <v>221</v>
      </c>
      <c r="BF79" s="251" t="s">
        <v>221</v>
      </c>
      <c r="BG79" s="251" t="s">
        <v>221</v>
      </c>
      <c r="BH79" s="184"/>
      <c r="BI79" s="184"/>
      <c r="BJ79" s="251" t="s">
        <v>221</v>
      </c>
      <c r="BK79" s="184"/>
      <c r="BL79" s="184"/>
      <c r="BM79" s="184"/>
      <c r="BN79" s="251" t="s">
        <v>221</v>
      </c>
      <c r="BO79" s="251" t="s">
        <v>221</v>
      </c>
      <c r="BP79" s="251" t="s">
        <v>221</v>
      </c>
      <c r="BQ79" s="251" t="s">
        <v>221</v>
      </c>
      <c r="BR79" s="251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1" t="s">
        <v>221</v>
      </c>
      <c r="CD79" s="251" t="s">
        <v>221</v>
      </c>
      <c r="CE79" s="195">
        <f t="shared" si="8"/>
        <v>10590.8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29.065302884615384</v>
      </c>
      <c r="D80" s="187">
        <v>0</v>
      </c>
      <c r="E80" s="187">
        <v>79.735865384615394</v>
      </c>
      <c r="F80" s="187">
        <v>0</v>
      </c>
      <c r="G80" s="187">
        <v>0</v>
      </c>
      <c r="H80" s="187">
        <v>0</v>
      </c>
      <c r="I80" s="187">
        <v>0</v>
      </c>
      <c r="J80" s="187">
        <v>6.4862259615384614</v>
      </c>
      <c r="K80" s="187">
        <v>0</v>
      </c>
      <c r="L80" s="187">
        <v>0</v>
      </c>
      <c r="M80" s="187">
        <v>0</v>
      </c>
      <c r="N80" s="187">
        <v>0</v>
      </c>
      <c r="O80" s="187">
        <v>24.626432692307695</v>
      </c>
      <c r="P80" s="187">
        <v>32.912850961538467</v>
      </c>
      <c r="Q80" s="187">
        <v>14.286913461538461</v>
      </c>
      <c r="R80" s="187">
        <v>0</v>
      </c>
      <c r="S80" s="187">
        <v>0</v>
      </c>
      <c r="T80" s="187">
        <v>3.4922403846153847</v>
      </c>
      <c r="U80" s="187">
        <v>0</v>
      </c>
      <c r="V80" s="187">
        <v>2.7552500000000002</v>
      </c>
      <c r="W80" s="187">
        <v>0</v>
      </c>
      <c r="X80" s="187">
        <v>1.4423076923076924E-3</v>
      </c>
      <c r="Y80" s="187">
        <v>1.0817307692307693E-3</v>
      </c>
      <c r="Z80" s="187">
        <v>0</v>
      </c>
      <c r="AA80" s="187">
        <v>0</v>
      </c>
      <c r="AB80" s="187">
        <v>0</v>
      </c>
      <c r="AC80" s="187">
        <v>0</v>
      </c>
      <c r="AD80" s="187">
        <v>0.22078365384615387</v>
      </c>
      <c r="AE80" s="187">
        <v>0</v>
      </c>
      <c r="AF80" s="187">
        <v>0</v>
      </c>
      <c r="AG80" s="187">
        <v>25.576235576923075</v>
      </c>
      <c r="AH80" s="187">
        <v>0</v>
      </c>
      <c r="AI80" s="187">
        <v>0</v>
      </c>
      <c r="AJ80" s="187">
        <v>2.1740961538461541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51" t="s">
        <v>221</v>
      </c>
      <c r="AX80" s="251" t="s">
        <v>221</v>
      </c>
      <c r="AY80" s="251" t="s">
        <v>221</v>
      </c>
      <c r="AZ80" s="251" t="s">
        <v>221</v>
      </c>
      <c r="BA80" s="251" t="s">
        <v>221</v>
      </c>
      <c r="BB80" s="251" t="s">
        <v>221</v>
      </c>
      <c r="BC80" s="251" t="s">
        <v>221</v>
      </c>
      <c r="BD80" s="251" t="s">
        <v>221</v>
      </c>
      <c r="BE80" s="251" t="s">
        <v>221</v>
      </c>
      <c r="BF80" s="251" t="s">
        <v>221</v>
      </c>
      <c r="BG80" s="251" t="s">
        <v>221</v>
      </c>
      <c r="BH80" s="251" t="s">
        <v>221</v>
      </c>
      <c r="BI80" s="251" t="s">
        <v>221</v>
      </c>
      <c r="BJ80" s="251" t="s">
        <v>221</v>
      </c>
      <c r="BK80" s="251" t="s">
        <v>221</v>
      </c>
      <c r="BL80" s="251" t="s">
        <v>221</v>
      </c>
      <c r="BM80" s="251" t="s">
        <v>221</v>
      </c>
      <c r="BN80" s="251" t="s">
        <v>221</v>
      </c>
      <c r="BO80" s="251" t="s">
        <v>221</v>
      </c>
      <c r="BP80" s="251" t="s">
        <v>221</v>
      </c>
      <c r="BQ80" s="251" t="s">
        <v>221</v>
      </c>
      <c r="BR80" s="251" t="s">
        <v>221</v>
      </c>
      <c r="BS80" s="251" t="s">
        <v>221</v>
      </c>
      <c r="BT80" s="251" t="s">
        <v>221</v>
      </c>
      <c r="BU80" s="256"/>
      <c r="BV80" s="256"/>
      <c r="BW80" s="256"/>
      <c r="BX80" s="256"/>
      <c r="BY80" s="256"/>
      <c r="BZ80" s="256"/>
      <c r="CA80" s="256"/>
      <c r="CB80" s="256"/>
      <c r="CC80" s="251" t="s">
        <v>221</v>
      </c>
      <c r="CD80" s="251" t="s">
        <v>221</v>
      </c>
      <c r="CE80" s="257">
        <f t="shared" si="8"/>
        <v>221.33472115384615</v>
      </c>
      <c r="CF80" s="257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8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8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1252</v>
      </c>
      <c r="B85" s="172"/>
      <c r="C85" s="230" t="s">
        <v>1268</v>
      </c>
      <c r="D85" s="205"/>
      <c r="E85" s="204"/>
    </row>
    <row r="86" spans="1:5" ht="12.6" customHeight="1" x14ac:dyDescent="0.25">
      <c r="A86" s="173" t="s">
        <v>1253</v>
      </c>
      <c r="B86" s="172" t="s">
        <v>256</v>
      </c>
      <c r="C86" s="230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8"/>
      <c r="E92" s="175"/>
    </row>
    <row r="93" spans="1:5" ht="12.6" customHeight="1" x14ac:dyDescent="0.25">
      <c r="A93" s="173" t="s">
        <v>264</v>
      </c>
      <c r="B93" s="172" t="s">
        <v>256</v>
      </c>
      <c r="C93" s="226">
        <v>0</v>
      </c>
      <c r="D93" s="258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9" t="s">
        <v>266</v>
      </c>
      <c r="B96" s="259"/>
      <c r="C96" s="259"/>
      <c r="D96" s="259"/>
      <c r="E96" s="259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9" t="s">
        <v>269</v>
      </c>
      <c r="B100" s="259"/>
      <c r="C100" s="259"/>
      <c r="D100" s="259"/>
      <c r="E100" s="259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9" t="s">
        <v>271</v>
      </c>
      <c r="B103" s="259"/>
      <c r="C103" s="259"/>
      <c r="D103" s="259"/>
      <c r="E103" s="259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7703</v>
      </c>
      <c r="D111" s="290">
        <v>21628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290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1599</v>
      </c>
      <c r="D114" s="290">
        <v>2517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13</v>
      </c>
      <c r="D117" s="175"/>
      <c r="E117" s="175"/>
    </row>
    <row r="118" spans="1:5" ht="12.6" customHeight="1" x14ac:dyDescent="0.25">
      <c r="A118" s="173" t="s">
        <v>1240</v>
      </c>
      <c r="B118" s="172" t="s">
        <v>256</v>
      </c>
      <c r="C118" s="189">
        <v>72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134</v>
      </c>
    </row>
    <row r="128" spans="1:5" ht="12.6" customHeight="1" x14ac:dyDescent="0.25">
      <c r="A128" s="173" t="s">
        <v>292</v>
      </c>
      <c r="B128" s="172" t="s">
        <v>256</v>
      </c>
      <c r="C128" s="189">
        <v>144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1241</v>
      </c>
      <c r="B136" s="207"/>
      <c r="C136" s="207"/>
      <c r="D136" s="207"/>
      <c r="E136" s="207"/>
    </row>
    <row r="137" spans="1:6" ht="12.6" customHeight="1" x14ac:dyDescent="0.25">
      <c r="A137" s="260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291">
        <v>3253.5056177687838</v>
      </c>
      <c r="C138" s="291">
        <v>731.21889297490702</v>
      </c>
      <c r="D138" s="291">
        <v>3718.2754892563089</v>
      </c>
      <c r="E138" s="175">
        <f>SUM(B138:D138)</f>
        <v>7703</v>
      </c>
    </row>
    <row r="139" spans="1:6" ht="12.6" customHeight="1" x14ac:dyDescent="0.25">
      <c r="A139" s="173" t="s">
        <v>215</v>
      </c>
      <c r="B139" s="291">
        <v>9134.9889005716286</v>
      </c>
      <c r="C139" s="291">
        <v>2053.0705202208605</v>
      </c>
      <c r="D139" s="291">
        <v>10439.94057920751</v>
      </c>
      <c r="E139" s="175">
        <f>SUM(B139:D139)</f>
        <v>21628</v>
      </c>
    </row>
    <row r="140" spans="1:6" ht="12.6" customHeight="1" x14ac:dyDescent="0.25">
      <c r="A140" s="173" t="s">
        <v>298</v>
      </c>
      <c r="B140" s="291">
        <v>29544.316753086227</v>
      </c>
      <c r="C140" s="291">
        <v>12620.489991573619</v>
      </c>
      <c r="D140" s="291">
        <v>72286.193255340157</v>
      </c>
      <c r="E140" s="175">
        <f>SUM(B140:D140)</f>
        <v>114451</v>
      </c>
    </row>
    <row r="141" spans="1:6" ht="12.6" customHeight="1" x14ac:dyDescent="0.25">
      <c r="A141" s="173" t="s">
        <v>245</v>
      </c>
      <c r="B141" s="291">
        <v>132608213.71000002</v>
      </c>
      <c r="C141" s="291">
        <v>29803431.32</v>
      </c>
      <c r="D141" s="291">
        <v>151551565.80000001</v>
      </c>
      <c r="E141" s="175">
        <f>SUM(B141:D141)</f>
        <v>313963210.83000004</v>
      </c>
      <c r="F141" s="199"/>
    </row>
    <row r="142" spans="1:6" ht="12.6" customHeight="1" x14ac:dyDescent="0.25">
      <c r="A142" s="173" t="s">
        <v>246</v>
      </c>
      <c r="B142" s="291">
        <v>83367162.760000005</v>
      </c>
      <c r="C142" s="291">
        <v>35612075.649999999</v>
      </c>
      <c r="D142" s="291">
        <v>203974757.27000001</v>
      </c>
      <c r="E142" s="175">
        <f>SUM(B142:D142)</f>
        <v>322953995.68000001</v>
      </c>
      <c r="F142" s="199"/>
    </row>
    <row r="143" spans="1:6" ht="12.6" customHeight="1" x14ac:dyDescent="0.25">
      <c r="A143" s="260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60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0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9" t="s">
        <v>306</v>
      </c>
      <c r="B164" s="259"/>
      <c r="C164" s="259"/>
      <c r="D164" s="259"/>
      <c r="E164" s="259"/>
    </row>
    <row r="165" spans="1:5" ht="11.4" customHeight="1" x14ac:dyDescent="0.25">
      <c r="A165" s="173" t="s">
        <v>307</v>
      </c>
      <c r="B165" s="172" t="s">
        <v>256</v>
      </c>
      <c r="C165" s="290">
        <v>4164444.58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290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290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290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290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290">
        <v>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290">
        <v>203184.55999999997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290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4367629.1399999997</v>
      </c>
      <c r="E173" s="175"/>
    </row>
    <row r="174" spans="1:5" ht="11.4" customHeight="1" x14ac:dyDescent="0.25">
      <c r="A174" s="259" t="s">
        <v>314</v>
      </c>
      <c r="B174" s="259"/>
      <c r="C174" s="259"/>
      <c r="D174" s="259"/>
      <c r="E174" s="259"/>
    </row>
    <row r="175" spans="1:5" ht="11.4" customHeight="1" x14ac:dyDescent="0.25">
      <c r="A175" s="173" t="s">
        <v>315</v>
      </c>
      <c r="B175" s="172" t="s">
        <v>256</v>
      </c>
      <c r="C175" s="290">
        <v>2379373.34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290">
        <v>869904.86999999988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3249278.21</v>
      </c>
      <c r="E177" s="175"/>
    </row>
    <row r="178" spans="1:5" ht="11.4" customHeight="1" x14ac:dyDescent="0.25">
      <c r="A178" s="259" t="s">
        <v>317</v>
      </c>
      <c r="B178" s="259"/>
      <c r="C178" s="259"/>
      <c r="D178" s="259"/>
      <c r="E178" s="259"/>
    </row>
    <row r="179" spans="1:5" ht="11.4" customHeight="1" x14ac:dyDescent="0.25">
      <c r="A179" s="173" t="s">
        <v>318</v>
      </c>
      <c r="B179" s="172" t="s">
        <v>256</v>
      </c>
      <c r="C179" s="290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290">
        <v>161246.75999999998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161246.75999999998</v>
      </c>
      <c r="E181" s="175"/>
    </row>
    <row r="182" spans="1:5" ht="11.4" customHeight="1" x14ac:dyDescent="0.25">
      <c r="A182" s="259" t="s">
        <v>320</v>
      </c>
      <c r="B182" s="259"/>
      <c r="C182" s="259"/>
      <c r="D182" s="259"/>
      <c r="E182" s="259"/>
    </row>
    <row r="183" spans="1:5" ht="11.4" customHeight="1" x14ac:dyDescent="0.25">
      <c r="A183" s="173" t="s">
        <v>321</v>
      </c>
      <c r="B183" s="172" t="s">
        <v>256</v>
      </c>
      <c r="C183" s="290">
        <v>43638.78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290">
        <v>5762141.3200000003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290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5805780.1000000006</v>
      </c>
      <c r="E186" s="175"/>
    </row>
    <row r="187" spans="1:5" ht="11.4" customHeight="1" x14ac:dyDescent="0.25">
      <c r="A187" s="259" t="s">
        <v>323</v>
      </c>
      <c r="B187" s="259"/>
      <c r="C187" s="259"/>
      <c r="D187" s="259"/>
      <c r="E187" s="259"/>
    </row>
    <row r="188" spans="1:5" ht="11.4" customHeight="1" x14ac:dyDescent="0.25">
      <c r="A188" s="173" t="s">
        <v>324</v>
      </c>
      <c r="B188" s="172" t="s">
        <v>256</v>
      </c>
      <c r="C188" s="290">
        <v>-469662.36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290">
        <v>14307689.010000002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13838026.650000002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290">
        <v>46315057.900000006</v>
      </c>
      <c r="C195" s="290">
        <v>0</v>
      </c>
      <c r="D195" s="290">
        <v>0</v>
      </c>
      <c r="E195" s="175">
        <f t="shared" ref="E195:E203" si="10">SUM(B195:C195)-D195</f>
        <v>46315057.900000006</v>
      </c>
    </row>
    <row r="196" spans="1:8" ht="12.6" customHeight="1" x14ac:dyDescent="0.25">
      <c r="A196" s="173" t="s">
        <v>333</v>
      </c>
      <c r="B196" s="292" t="s">
        <v>1275</v>
      </c>
      <c r="C196" s="290">
        <v>2123129.75</v>
      </c>
      <c r="D196" s="290">
        <v>0</v>
      </c>
      <c r="E196" s="175">
        <f t="shared" si="10"/>
        <v>2123129.75</v>
      </c>
    </row>
    <row r="197" spans="1:8" ht="12.6" customHeight="1" x14ac:dyDescent="0.25">
      <c r="A197" s="173" t="s">
        <v>334</v>
      </c>
      <c r="B197" s="290">
        <v>286549739.07999998</v>
      </c>
      <c r="C197" s="290">
        <v>3830019.3099999996</v>
      </c>
      <c r="D197" s="290">
        <v>0</v>
      </c>
      <c r="E197" s="175">
        <f t="shared" si="10"/>
        <v>290379758.38999999</v>
      </c>
    </row>
    <row r="198" spans="1:8" ht="12.6" customHeight="1" x14ac:dyDescent="0.25">
      <c r="A198" s="173" t="s">
        <v>335</v>
      </c>
      <c r="B198" s="292" t="s">
        <v>1275</v>
      </c>
      <c r="C198" s="290">
        <v>0</v>
      </c>
      <c r="D198" s="290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290">
        <v>618892.42000000004</v>
      </c>
      <c r="C199" s="290">
        <v>0</v>
      </c>
      <c r="D199" s="290">
        <v>0</v>
      </c>
      <c r="E199" s="175">
        <f t="shared" si="10"/>
        <v>618892.42000000004</v>
      </c>
    </row>
    <row r="200" spans="1:8" ht="12.6" customHeight="1" x14ac:dyDescent="0.25">
      <c r="A200" s="173" t="s">
        <v>337</v>
      </c>
      <c r="B200" s="290">
        <v>90017187.930000007</v>
      </c>
      <c r="C200" s="290">
        <v>544687.12</v>
      </c>
      <c r="D200" s="290">
        <v>0</v>
      </c>
      <c r="E200" s="175">
        <f t="shared" si="10"/>
        <v>90561875.050000012</v>
      </c>
    </row>
    <row r="201" spans="1:8" ht="12.6" customHeight="1" x14ac:dyDescent="0.25">
      <c r="A201" s="173" t="s">
        <v>338</v>
      </c>
      <c r="B201" s="290">
        <v>195333.3</v>
      </c>
      <c r="C201" s="290">
        <v>0</v>
      </c>
      <c r="D201" s="290">
        <v>0</v>
      </c>
      <c r="E201" s="175">
        <f t="shared" si="10"/>
        <v>195333.3</v>
      </c>
    </row>
    <row r="202" spans="1:8" ht="12.6" customHeight="1" x14ac:dyDescent="0.25">
      <c r="A202" s="173" t="s">
        <v>339</v>
      </c>
      <c r="B202" s="290" t="s">
        <v>1275</v>
      </c>
      <c r="C202" s="290">
        <v>0</v>
      </c>
      <c r="D202" s="290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290">
        <v>187160.46999999881</v>
      </c>
      <c r="C203" s="290">
        <v>12684680.930000002</v>
      </c>
      <c r="D203" s="290">
        <v>12831737.49</v>
      </c>
      <c r="E203" s="175">
        <f t="shared" si="10"/>
        <v>40103.910000000149</v>
      </c>
    </row>
    <row r="204" spans="1:8" ht="12.6" customHeight="1" x14ac:dyDescent="0.25">
      <c r="A204" s="173" t="s">
        <v>203</v>
      </c>
      <c r="B204" s="175">
        <f>SUM(B195:B203)</f>
        <v>423883371.10000002</v>
      </c>
      <c r="C204" s="191">
        <f>SUM(C195:C203)</f>
        <v>19182517.109999999</v>
      </c>
      <c r="D204" s="175">
        <f>SUM(D195:D203)</f>
        <v>12831737.49</v>
      </c>
      <c r="E204" s="175">
        <f>SUM(E195:E203)</f>
        <v>430234150.72000003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1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1"/>
    </row>
    <row r="209" spans="1:8" ht="12.6" customHeight="1" x14ac:dyDescent="0.25">
      <c r="A209" s="173" t="s">
        <v>333</v>
      </c>
      <c r="B209" s="290">
        <v>0</v>
      </c>
      <c r="C209" s="290">
        <v>61924.619999999995</v>
      </c>
      <c r="D209" s="290">
        <v>0</v>
      </c>
      <c r="E209" s="175">
        <f t="shared" ref="E209:E216" si="11">SUM(B209:C209)-D209</f>
        <v>61924.619999999995</v>
      </c>
      <c r="H209" s="261"/>
    </row>
    <row r="210" spans="1:8" ht="12.6" customHeight="1" x14ac:dyDescent="0.25">
      <c r="A210" s="173" t="s">
        <v>334</v>
      </c>
      <c r="B210" s="290">
        <v>39969013.780000001</v>
      </c>
      <c r="C210" s="290">
        <v>10345862.239999972</v>
      </c>
      <c r="D210" s="290">
        <v>2853</v>
      </c>
      <c r="E210" s="175">
        <f t="shared" si="11"/>
        <v>50312023.019999973</v>
      </c>
      <c r="H210" s="261"/>
    </row>
    <row r="211" spans="1:8" ht="12.6" customHeight="1" x14ac:dyDescent="0.25">
      <c r="A211" s="173" t="s">
        <v>335</v>
      </c>
      <c r="B211" s="290"/>
      <c r="C211" s="290"/>
      <c r="D211" s="290"/>
      <c r="E211" s="175">
        <f t="shared" si="11"/>
        <v>0</v>
      </c>
      <c r="H211" s="261"/>
    </row>
    <row r="212" spans="1:8" ht="12.6" customHeight="1" x14ac:dyDescent="0.25">
      <c r="A212" s="173" t="s">
        <v>336</v>
      </c>
      <c r="B212" s="290">
        <v>154735.6799999997</v>
      </c>
      <c r="C212" s="290">
        <v>53404.089999999967</v>
      </c>
      <c r="D212" s="290">
        <v>0</v>
      </c>
      <c r="E212" s="175">
        <f t="shared" si="11"/>
        <v>208139.76999999967</v>
      </c>
      <c r="H212" s="261"/>
    </row>
    <row r="213" spans="1:8" ht="12.6" customHeight="1" x14ac:dyDescent="0.25">
      <c r="A213" s="173" t="s">
        <v>337</v>
      </c>
      <c r="B213" s="290">
        <v>58936089.530000001</v>
      </c>
      <c r="C213" s="290">
        <v>10695044.940000093</v>
      </c>
      <c r="D213" s="290">
        <v>-84</v>
      </c>
      <c r="E213" s="175">
        <f t="shared" si="11"/>
        <v>69631218.470000088</v>
      </c>
      <c r="H213" s="261"/>
    </row>
    <row r="214" spans="1:8" ht="12.6" customHeight="1" x14ac:dyDescent="0.25">
      <c r="A214" s="173" t="s">
        <v>338</v>
      </c>
      <c r="B214" s="290">
        <v>132789.72</v>
      </c>
      <c r="C214" s="290">
        <v>49653.499999999993</v>
      </c>
      <c r="D214" s="290">
        <v>0</v>
      </c>
      <c r="E214" s="175">
        <f t="shared" si="11"/>
        <v>182443.22</v>
      </c>
      <c r="H214" s="261"/>
    </row>
    <row r="215" spans="1:8" ht="12.6" customHeight="1" x14ac:dyDescent="0.25">
      <c r="A215" s="173" t="s">
        <v>339</v>
      </c>
      <c r="B215" s="290">
        <v>0</v>
      </c>
      <c r="C215" s="290">
        <v>0</v>
      </c>
      <c r="D215" s="290">
        <v>0</v>
      </c>
      <c r="E215" s="175">
        <f t="shared" si="11"/>
        <v>0</v>
      </c>
      <c r="H215" s="261"/>
    </row>
    <row r="216" spans="1:8" ht="12.6" customHeight="1" x14ac:dyDescent="0.25">
      <c r="A216" s="173" t="s">
        <v>340</v>
      </c>
      <c r="B216" s="290"/>
      <c r="C216" s="290"/>
      <c r="D216" s="290"/>
      <c r="E216" s="175">
        <f t="shared" si="11"/>
        <v>0</v>
      </c>
      <c r="H216" s="261"/>
    </row>
    <row r="217" spans="1:8" ht="12.6" customHeight="1" x14ac:dyDescent="0.25">
      <c r="A217" s="173" t="s">
        <v>203</v>
      </c>
      <c r="B217" s="175">
        <f>SUM(B208:B216)</f>
        <v>99192628.710000008</v>
      </c>
      <c r="C217" s="191">
        <f>SUM(C208:C216)</f>
        <v>21205889.390000064</v>
      </c>
      <c r="D217" s="175">
        <f>SUM(D208:D216)</f>
        <v>2769</v>
      </c>
      <c r="E217" s="175">
        <f>SUM(E208:E216)</f>
        <v>120395749.10000005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7" t="s">
        <v>1259</v>
      </c>
      <c r="C220" s="297"/>
      <c r="D220" s="208"/>
      <c r="E220" s="208"/>
    </row>
    <row r="221" spans="1:8" ht="12.6" customHeight="1" x14ac:dyDescent="0.25">
      <c r="A221" s="272" t="s">
        <v>1259</v>
      </c>
      <c r="B221" s="208"/>
      <c r="C221" s="189">
        <v>4824397.9899999993</v>
      </c>
      <c r="D221" s="172">
        <f>C221</f>
        <v>4824397.9899999993</v>
      </c>
      <c r="E221" s="208"/>
    </row>
    <row r="222" spans="1:8" ht="12.6" customHeight="1" x14ac:dyDescent="0.25">
      <c r="A222" s="259" t="s">
        <v>343</v>
      </c>
      <c r="B222" s="259"/>
      <c r="C222" s="259"/>
      <c r="D222" s="259"/>
      <c r="E222" s="259"/>
    </row>
    <row r="223" spans="1:8" ht="12.6" customHeight="1" x14ac:dyDescent="0.25">
      <c r="A223" s="173" t="s">
        <v>344</v>
      </c>
      <c r="B223" s="172" t="s">
        <v>256</v>
      </c>
      <c r="C223" s="189">
        <v>165136877.41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50219754.020000003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-261552.76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188769273.11000001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16035293.609999999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419899645.39000005</v>
      </c>
      <c r="E229" s="175"/>
    </row>
    <row r="230" spans="1:5" ht="12.6" customHeight="1" x14ac:dyDescent="0.25">
      <c r="A230" s="259" t="s">
        <v>351</v>
      </c>
      <c r="B230" s="259"/>
      <c r="C230" s="259"/>
      <c r="D230" s="259"/>
      <c r="E230" s="259"/>
    </row>
    <row r="231" spans="1:5" ht="12.6" customHeight="1" x14ac:dyDescent="0.25">
      <c r="A231" s="171" t="s">
        <v>352</v>
      </c>
      <c r="B231" s="172" t="s">
        <v>256</v>
      </c>
      <c r="C231" s="189">
        <v>269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2610539.61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2681368.67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5291908.2799999993</v>
      </c>
      <c r="E236" s="175"/>
    </row>
    <row r="237" spans="1:5" ht="12.6" customHeight="1" x14ac:dyDescent="0.25">
      <c r="A237" s="259" t="s">
        <v>356</v>
      </c>
      <c r="B237" s="259"/>
      <c r="C237" s="259"/>
      <c r="D237" s="259"/>
      <c r="E237" s="259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430015951.66000003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9" t="s">
        <v>361</v>
      </c>
      <c r="B249" s="259"/>
      <c r="C249" s="259"/>
      <c r="D249" s="259"/>
      <c r="E249" s="259"/>
    </row>
    <row r="250" spans="1:5" ht="12.45" customHeight="1" x14ac:dyDescent="0.25">
      <c r="A250" s="173" t="s">
        <v>362</v>
      </c>
      <c r="B250" s="172" t="s">
        <v>256</v>
      </c>
      <c r="C250" s="189">
        <v>13392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90385717.040000007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61671624.469999999</v>
      </c>
      <c r="D253" s="175"/>
      <c r="E253" s="175"/>
    </row>
    <row r="254" spans="1:5" ht="12.45" customHeight="1" x14ac:dyDescent="0.25">
      <c r="A254" s="173" t="s">
        <v>1242</v>
      </c>
      <c r="B254" s="172" t="s">
        <v>256</v>
      </c>
      <c r="C254" s="293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72034416.679999992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6259199.8100000005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667754.31999999995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660583.92999999993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108349439.31</v>
      </c>
      <c r="E260" s="175"/>
    </row>
    <row r="261" spans="1:5" ht="11.25" customHeight="1" x14ac:dyDescent="0.25">
      <c r="A261" s="259" t="s">
        <v>372</v>
      </c>
      <c r="B261" s="259"/>
      <c r="C261" s="259"/>
      <c r="D261" s="259"/>
      <c r="E261" s="259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9" t="s">
        <v>375</v>
      </c>
      <c r="B266" s="259"/>
      <c r="C266" s="259"/>
      <c r="D266" s="259"/>
      <c r="E266" s="259"/>
    </row>
    <row r="267" spans="1:5" ht="12.45" customHeight="1" x14ac:dyDescent="0.25">
      <c r="A267" s="173" t="s">
        <v>332</v>
      </c>
      <c r="B267" s="172" t="s">
        <v>256</v>
      </c>
      <c r="C267" s="189">
        <v>46315057.899999999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2123129.75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290379758.38999999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618892.42000000004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90757208.349999994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40103.910000000003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430234150.71999997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120395749.09999999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309838401.62</v>
      </c>
      <c r="E277" s="175"/>
    </row>
    <row r="278" spans="1:5" ht="12.6" customHeight="1" x14ac:dyDescent="0.25">
      <c r="A278" s="259" t="s">
        <v>382</v>
      </c>
      <c r="B278" s="259"/>
      <c r="C278" s="259"/>
      <c r="D278" s="259"/>
      <c r="E278" s="259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397056.33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397056.33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9" t="s">
        <v>387</v>
      </c>
      <c r="B285" s="259"/>
      <c r="C285" s="259"/>
      <c r="D285" s="259"/>
      <c r="E285" s="259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418584897.25999999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9" t="s">
        <v>395</v>
      </c>
      <c r="B303" s="259"/>
      <c r="C303" s="259"/>
      <c r="D303" s="259"/>
      <c r="E303" s="259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3617513.7600000007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4010419.38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1243</v>
      </c>
      <c r="B309" s="172" t="s">
        <v>256</v>
      </c>
      <c r="C309" s="189">
        <v>1080783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7202916.1500000004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15911632.290000001</v>
      </c>
      <c r="E314" s="175"/>
    </row>
    <row r="315" spans="1:5" ht="12.6" customHeight="1" x14ac:dyDescent="0.25">
      <c r="A315" s="259" t="s">
        <v>406</v>
      </c>
      <c r="B315" s="259"/>
      <c r="C315" s="259"/>
      <c r="D315" s="259"/>
      <c r="E315" s="259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31079.360000000001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31079.360000000001</v>
      </c>
      <c r="E319" s="175"/>
    </row>
    <row r="320" spans="1:5" ht="12.6" customHeight="1" x14ac:dyDescent="0.25">
      <c r="A320" s="259" t="s">
        <v>411</v>
      </c>
      <c r="B320" s="259"/>
      <c r="C320" s="259"/>
      <c r="D320" s="259"/>
      <c r="E320" s="259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37082152.960000001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273343227.50999999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310425380.46999997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310425380.46999997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92216805.140000403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1144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1254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418584897.26000035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418584897.25999999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9" t="s">
        <v>427</v>
      </c>
      <c r="B358" s="259"/>
      <c r="C358" s="259"/>
      <c r="D358" s="259"/>
      <c r="E358" s="259"/>
    </row>
    <row r="359" spans="1:5" ht="12.6" customHeight="1" x14ac:dyDescent="0.25">
      <c r="A359" s="173" t="s">
        <v>428</v>
      </c>
      <c r="B359" s="172" t="s">
        <v>256</v>
      </c>
      <c r="C359" s="189">
        <v>313963210.82999992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322953995.67999995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636917206.50999987</v>
      </c>
      <c r="E361" s="175"/>
    </row>
    <row r="362" spans="1:5" ht="12.6" customHeight="1" x14ac:dyDescent="0.25">
      <c r="A362" s="259" t="s">
        <v>431</v>
      </c>
      <c r="B362" s="259"/>
      <c r="C362" s="259"/>
      <c r="D362" s="259"/>
      <c r="E362" s="259"/>
    </row>
    <row r="363" spans="1:5" ht="12.6" customHeight="1" x14ac:dyDescent="0.25">
      <c r="A363" s="173" t="s">
        <v>1259</v>
      </c>
      <c r="B363" s="259"/>
      <c r="C363" s="189">
        <v>4824397.9899999993</v>
      </c>
      <c r="D363" s="175"/>
      <c r="E363" s="259"/>
    </row>
    <row r="364" spans="1:5" ht="12.6" customHeight="1" x14ac:dyDescent="0.25">
      <c r="A364" s="173" t="s">
        <v>432</v>
      </c>
      <c r="B364" s="172" t="s">
        <v>256</v>
      </c>
      <c r="C364" s="189">
        <v>419899645.38999987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5291908.2799999993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430015951.65999985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206901254.85000002</v>
      </c>
      <c r="E368" s="175"/>
    </row>
    <row r="369" spans="1:5" ht="12.6" customHeight="1" x14ac:dyDescent="0.25">
      <c r="A369" s="259" t="s">
        <v>436</v>
      </c>
      <c r="B369" s="259"/>
      <c r="C369" s="259"/>
      <c r="D369" s="259"/>
      <c r="E369" s="259"/>
    </row>
    <row r="370" spans="1:5" ht="12.6" customHeight="1" x14ac:dyDescent="0.25">
      <c r="A370" s="173" t="s">
        <v>437</v>
      </c>
      <c r="B370" s="172" t="s">
        <v>256</v>
      </c>
      <c r="C370" s="189">
        <v>10603072.889999999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10603072.889999999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217504327.74000001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9" t="s">
        <v>441</v>
      </c>
      <c r="B377" s="259"/>
      <c r="C377" s="259"/>
      <c r="D377" s="259"/>
      <c r="E377" s="259"/>
    </row>
    <row r="378" spans="1:5" ht="12.6" customHeight="1" x14ac:dyDescent="0.25">
      <c r="A378" s="173" t="s">
        <v>442</v>
      </c>
      <c r="B378" s="172" t="s">
        <v>256</v>
      </c>
      <c r="C378" s="189">
        <v>61945554.969999954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4367629.1400000006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5708750.4799999977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36203402.710000023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1609801.6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11076027.569999997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21205889.390000008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3249278.21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161246.75999999998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5805780.1000000006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13838026.650000002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69870062.031279922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235041449.6112799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-17537121.871279895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-17537121.871279895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-17537121.871279895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2"/>
    </row>
    <row r="412" spans="1:5" ht="12.6" customHeight="1" x14ac:dyDescent="0.25">
      <c r="A412" s="179" t="str">
        <f>C84&amp;"   "&amp;"H-"&amp;FIXED(C83,0,TRUE)&amp;"     FYE "&amp;C82</f>
        <v>Swedish Issaquah   H-0     FYE 12/31/2016</v>
      </c>
      <c r="B412" s="179"/>
      <c r="C412" s="179"/>
      <c r="D412" s="179"/>
      <c r="E412" s="262"/>
    </row>
    <row r="413" spans="1:5" ht="12.6" customHeight="1" x14ac:dyDescent="0.25">
      <c r="A413" s="179" t="s">
        <v>460</v>
      </c>
      <c r="B413" s="181" t="s">
        <v>461</v>
      </c>
      <c r="C413" s="181" t="s">
        <v>1244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7703</v>
      </c>
      <c r="C414" s="194">
        <f>E138</f>
        <v>7703</v>
      </c>
      <c r="D414" s="179"/>
    </row>
    <row r="415" spans="1:5" ht="12.6" customHeight="1" x14ac:dyDescent="0.25">
      <c r="A415" s="179" t="s">
        <v>464</v>
      </c>
      <c r="B415" s="179">
        <f>D111</f>
        <v>21628</v>
      </c>
      <c r="C415" s="179">
        <f>E139</f>
        <v>21628</v>
      </c>
      <c r="D415" s="194">
        <f>SUM(C59:H59)+N59</f>
        <v>21628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1599</v>
      </c>
    </row>
    <row r="424" spans="1:7" ht="12.6" customHeight="1" x14ac:dyDescent="0.25">
      <c r="A424" s="179" t="s">
        <v>1245</v>
      </c>
      <c r="B424" s="179">
        <f>D114</f>
        <v>2517</v>
      </c>
      <c r="D424" s="179">
        <f>J59</f>
        <v>2517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61945554.969999954</v>
      </c>
      <c r="C427" s="179">
        <f t="shared" ref="C427:C434" si="13">CE61</f>
        <v>61945554.969999999</v>
      </c>
      <c r="D427" s="179"/>
    </row>
    <row r="428" spans="1:7" ht="12.6" customHeight="1" x14ac:dyDescent="0.25">
      <c r="A428" s="179" t="s">
        <v>3</v>
      </c>
      <c r="B428" s="179">
        <f t="shared" si="12"/>
        <v>4367629.1400000006</v>
      </c>
      <c r="C428" s="179">
        <f t="shared" si="13"/>
        <v>4367630</v>
      </c>
      <c r="D428" s="179">
        <f>D173</f>
        <v>4367629.1399999997</v>
      </c>
    </row>
    <row r="429" spans="1:7" ht="12.6" customHeight="1" x14ac:dyDescent="0.25">
      <c r="A429" s="179" t="s">
        <v>236</v>
      </c>
      <c r="B429" s="179">
        <f t="shared" si="12"/>
        <v>5708750.4799999977</v>
      </c>
      <c r="C429" s="179">
        <f t="shared" si="13"/>
        <v>5708750.4799999995</v>
      </c>
      <c r="D429" s="179"/>
    </row>
    <row r="430" spans="1:7" ht="12.6" customHeight="1" x14ac:dyDescent="0.25">
      <c r="A430" s="179" t="s">
        <v>237</v>
      </c>
      <c r="B430" s="179">
        <f t="shared" si="12"/>
        <v>36203402.710000023</v>
      </c>
      <c r="C430" s="179">
        <f t="shared" si="13"/>
        <v>36203402.710000008</v>
      </c>
      <c r="D430" s="179"/>
    </row>
    <row r="431" spans="1:7" ht="12.6" customHeight="1" x14ac:dyDescent="0.25">
      <c r="A431" s="179" t="s">
        <v>444</v>
      </c>
      <c r="B431" s="179">
        <f t="shared" si="12"/>
        <v>1609801.6</v>
      </c>
      <c r="C431" s="179">
        <f t="shared" si="13"/>
        <v>1609801.6</v>
      </c>
      <c r="D431" s="179"/>
    </row>
    <row r="432" spans="1:7" ht="12.6" customHeight="1" x14ac:dyDescent="0.25">
      <c r="A432" s="179" t="s">
        <v>445</v>
      </c>
      <c r="B432" s="179">
        <f t="shared" si="12"/>
        <v>11076027.569999997</v>
      </c>
      <c r="C432" s="179">
        <f t="shared" si="13"/>
        <v>11076027.570000002</v>
      </c>
      <c r="D432" s="179"/>
    </row>
    <row r="433" spans="1:7" ht="12.6" customHeight="1" x14ac:dyDescent="0.25">
      <c r="A433" s="179" t="s">
        <v>6</v>
      </c>
      <c r="B433" s="179">
        <f t="shared" si="12"/>
        <v>21205889.390000008</v>
      </c>
      <c r="C433" s="179">
        <f t="shared" si="13"/>
        <v>21205889</v>
      </c>
      <c r="D433" s="179">
        <f>C217</f>
        <v>21205889.390000064</v>
      </c>
    </row>
    <row r="434" spans="1:7" ht="12.6" customHeight="1" x14ac:dyDescent="0.25">
      <c r="A434" s="179" t="s">
        <v>474</v>
      </c>
      <c r="B434" s="179">
        <f t="shared" si="12"/>
        <v>3249278.21</v>
      </c>
      <c r="C434" s="179">
        <f t="shared" si="13"/>
        <v>3249278.2100000009</v>
      </c>
      <c r="D434" s="179">
        <f>D177</f>
        <v>3249278.21</v>
      </c>
    </row>
    <row r="435" spans="1:7" ht="12.6" customHeight="1" x14ac:dyDescent="0.25">
      <c r="A435" s="179" t="s">
        <v>447</v>
      </c>
      <c r="B435" s="179">
        <f t="shared" si="12"/>
        <v>161246.75999999998</v>
      </c>
      <c r="C435" s="179"/>
      <c r="D435" s="179">
        <f>D181</f>
        <v>161246.75999999998</v>
      </c>
    </row>
    <row r="436" spans="1:7" ht="12.6" customHeight="1" x14ac:dyDescent="0.25">
      <c r="A436" s="179" t="s">
        <v>475</v>
      </c>
      <c r="B436" s="179">
        <f t="shared" si="12"/>
        <v>5805780.1000000006</v>
      </c>
      <c r="C436" s="179"/>
      <c r="D436" s="179">
        <f>D186</f>
        <v>5805780.1000000006</v>
      </c>
    </row>
    <row r="437" spans="1:7" ht="12.6" customHeight="1" x14ac:dyDescent="0.25">
      <c r="A437" s="194" t="s">
        <v>449</v>
      </c>
      <c r="B437" s="194">
        <f t="shared" si="12"/>
        <v>13838026.650000002</v>
      </c>
      <c r="C437" s="194"/>
      <c r="D437" s="194">
        <f>D190</f>
        <v>13838026.650000002</v>
      </c>
    </row>
    <row r="438" spans="1:7" ht="12.6" customHeight="1" x14ac:dyDescent="0.25">
      <c r="A438" s="194" t="s">
        <v>476</v>
      </c>
      <c r="B438" s="194">
        <f>C386+C387+C388</f>
        <v>19805053.510000002</v>
      </c>
      <c r="C438" s="194">
        <f>CD69</f>
        <v>19805053.510000002</v>
      </c>
      <c r="D438" s="194">
        <f>D181+D186+D190</f>
        <v>19805053.510000002</v>
      </c>
    </row>
    <row r="439" spans="1:7" ht="12.6" customHeight="1" x14ac:dyDescent="0.25">
      <c r="A439" s="179" t="s">
        <v>451</v>
      </c>
      <c r="B439" s="194">
        <f>C389</f>
        <v>69870062.031279922</v>
      </c>
      <c r="C439" s="194">
        <f>SUM(C69:CC69)</f>
        <v>69870062.031280309</v>
      </c>
      <c r="D439" s="179"/>
    </row>
    <row r="440" spans="1:7" ht="12.6" customHeight="1" x14ac:dyDescent="0.25">
      <c r="A440" s="179" t="s">
        <v>477</v>
      </c>
      <c r="B440" s="194">
        <f>B438+B439</f>
        <v>89675115.541279927</v>
      </c>
      <c r="C440" s="194">
        <f>CE69</f>
        <v>89675115.541280314</v>
      </c>
      <c r="D440" s="179"/>
    </row>
    <row r="441" spans="1:7" ht="12.6" customHeight="1" x14ac:dyDescent="0.25">
      <c r="A441" s="179" t="s">
        <v>478</v>
      </c>
      <c r="B441" s="179">
        <f>D390</f>
        <v>235041449.6112799</v>
      </c>
      <c r="C441" s="179">
        <f>SUM(C427:C437)+C440</f>
        <v>235041450.08128035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1261</v>
      </c>
      <c r="B444" s="179">
        <f>D221</f>
        <v>4824397.9899999993</v>
      </c>
      <c r="C444" s="179">
        <f>C363</f>
        <v>4824397.9899999993</v>
      </c>
      <c r="D444" s="179"/>
    </row>
    <row r="445" spans="1:7" ht="12.6" customHeight="1" x14ac:dyDescent="0.25">
      <c r="A445" s="179" t="s">
        <v>343</v>
      </c>
      <c r="B445" s="179">
        <f>D229</f>
        <v>419899645.39000005</v>
      </c>
      <c r="C445" s="179">
        <f>C364</f>
        <v>419899645.38999987</v>
      </c>
      <c r="D445" s="179"/>
    </row>
    <row r="446" spans="1:7" ht="12.6" customHeight="1" x14ac:dyDescent="0.25">
      <c r="A446" s="179" t="s">
        <v>351</v>
      </c>
      <c r="B446" s="179">
        <f>D236</f>
        <v>5291908.2799999993</v>
      </c>
      <c r="C446" s="179">
        <f>C365</f>
        <v>5291908.2799999993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430015951.66000003</v>
      </c>
      <c r="C448" s="179">
        <f>D367</f>
        <v>430015951.65999985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269</v>
      </c>
    </row>
    <row r="454" spans="1:7" ht="12.6" customHeight="1" x14ac:dyDescent="0.25">
      <c r="A454" s="179" t="s">
        <v>168</v>
      </c>
      <c r="B454" s="179">
        <f>C233</f>
        <v>2610539.61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2681368.67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10603072.889999999</v>
      </c>
      <c r="C458" s="194">
        <f>CE70</f>
        <v>10603072.889999997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1246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313963210.82999992</v>
      </c>
      <c r="C463" s="194">
        <f>CE73</f>
        <v>313963210.82999998</v>
      </c>
      <c r="D463" s="194">
        <f>E141+E147+E153</f>
        <v>313963210.83000004</v>
      </c>
    </row>
    <row r="464" spans="1:7" ht="12.6" customHeight="1" x14ac:dyDescent="0.25">
      <c r="A464" s="179" t="s">
        <v>246</v>
      </c>
      <c r="B464" s="194">
        <f>C360</f>
        <v>322953995.67999995</v>
      </c>
      <c r="C464" s="194">
        <f>CE74</f>
        <v>322953995.68000007</v>
      </c>
      <c r="D464" s="194">
        <f>E142+E148+E154</f>
        <v>322953995.68000001</v>
      </c>
    </row>
    <row r="465" spans="1:7" ht="12.6" customHeight="1" x14ac:dyDescent="0.25">
      <c r="A465" s="179" t="s">
        <v>247</v>
      </c>
      <c r="B465" s="194">
        <f>D361</f>
        <v>636917206.50999987</v>
      </c>
      <c r="C465" s="194">
        <f>CE75</f>
        <v>636917206.50999999</v>
      </c>
      <c r="D465" s="194">
        <f>D463+D464</f>
        <v>636917206.50999999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46315057.899999999</v>
      </c>
      <c r="C468" s="179">
        <f>E195</f>
        <v>46315057.900000006</v>
      </c>
      <c r="D468" s="179"/>
    </row>
    <row r="469" spans="1:7" ht="12.6" customHeight="1" x14ac:dyDescent="0.25">
      <c r="A469" s="179" t="s">
        <v>333</v>
      </c>
      <c r="B469" s="179">
        <f t="shared" si="14"/>
        <v>2123129.75</v>
      </c>
      <c r="C469" s="179">
        <f>E196</f>
        <v>2123129.75</v>
      </c>
      <c r="D469" s="179"/>
    </row>
    <row r="470" spans="1:7" ht="12.6" customHeight="1" x14ac:dyDescent="0.25">
      <c r="A470" s="179" t="s">
        <v>334</v>
      </c>
      <c r="B470" s="179">
        <f t="shared" si="14"/>
        <v>290379758.38999999</v>
      </c>
      <c r="C470" s="179">
        <f>E197</f>
        <v>290379758.38999999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618892.42000000004</v>
      </c>
      <c r="C472" s="179">
        <f>E199</f>
        <v>618892.42000000004</v>
      </c>
      <c r="D472" s="179"/>
    </row>
    <row r="473" spans="1:7" ht="12.6" customHeight="1" x14ac:dyDescent="0.25">
      <c r="A473" s="179" t="s">
        <v>495</v>
      </c>
      <c r="B473" s="179">
        <f t="shared" si="14"/>
        <v>90757208.349999994</v>
      </c>
      <c r="C473" s="179">
        <f>SUM(E200:E201)</f>
        <v>90757208.350000009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40103.910000000003</v>
      </c>
      <c r="C475" s="179">
        <f>E203</f>
        <v>40103.910000000149</v>
      </c>
      <c r="D475" s="179"/>
    </row>
    <row r="476" spans="1:7" ht="12.6" customHeight="1" x14ac:dyDescent="0.25">
      <c r="A476" s="179" t="s">
        <v>203</v>
      </c>
      <c r="B476" s="179">
        <f>D275</f>
        <v>430234150.71999997</v>
      </c>
      <c r="C476" s="179">
        <f>E204</f>
        <v>430234150.72000003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120395749.09999999</v>
      </c>
      <c r="C478" s="179">
        <f>E217</f>
        <v>120395749.10000005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418584897.25999999</v>
      </c>
    </row>
    <row r="482" spans="1:12" ht="12.6" customHeight="1" x14ac:dyDescent="0.25">
      <c r="A482" s="180" t="s">
        <v>499</v>
      </c>
      <c r="C482" s="180">
        <f>D339</f>
        <v>418584897.26000035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Swedish Issaquah</v>
      </c>
      <c r="B493" s="263" t="str">
        <f>RIGHT('Prior Year'!C82,4)</f>
        <v>2015</v>
      </c>
      <c r="C493" s="263" t="str">
        <f>RIGHT(C82,4)</f>
        <v>2016</v>
      </c>
      <c r="D493" s="263" t="str">
        <f>RIGHT('Prior Year'!C82,4)</f>
        <v>2015</v>
      </c>
      <c r="E493" s="263" t="str">
        <f>RIGHT(C82,4)</f>
        <v>2016</v>
      </c>
      <c r="F493" s="263" t="str">
        <f>RIGHT('Prior Year'!C83,4)</f>
        <v>210</v>
      </c>
      <c r="G493" s="263" t="str">
        <f>RIGHT(C82,4)</f>
        <v>2016</v>
      </c>
      <c r="H493" s="263"/>
      <c r="K493" s="263"/>
      <c r="L493" s="263"/>
    </row>
    <row r="494" spans="1:12" ht="12.6" customHeight="1" x14ac:dyDescent="0.25">
      <c r="A494" s="198"/>
      <c r="B494" s="181" t="s">
        <v>505</v>
      </c>
      <c r="C494" s="181" t="s">
        <v>505</v>
      </c>
      <c r="D494" s="264" t="s">
        <v>506</v>
      </c>
      <c r="E494" s="264" t="s">
        <v>506</v>
      </c>
      <c r="F494" s="263" t="s">
        <v>507</v>
      </c>
      <c r="G494" s="263" t="s">
        <v>507</v>
      </c>
      <c r="H494" s="263" t="s">
        <v>508</v>
      </c>
      <c r="K494" s="263"/>
      <c r="L494" s="263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3" t="s">
        <v>510</v>
      </c>
      <c r="G495" s="263" t="s">
        <v>510</v>
      </c>
      <c r="H495" s="263" t="s">
        <v>511</v>
      </c>
      <c r="K495" s="263"/>
      <c r="L495" s="263"/>
    </row>
    <row r="496" spans="1:12" ht="12.6" customHeight="1" x14ac:dyDescent="0.25">
      <c r="A496" s="180" t="s">
        <v>512</v>
      </c>
      <c r="B496" s="242">
        <f>'Prior Year'!C71</f>
        <v>6524240</v>
      </c>
      <c r="C496" s="242">
        <f>C71</f>
        <v>6399994.3200000003</v>
      </c>
      <c r="D496" s="242">
        <f>'Prior Year'!C59</f>
        <v>5610</v>
      </c>
      <c r="E496" s="180">
        <f>C59</f>
        <v>5025.3068463994323</v>
      </c>
      <c r="F496" s="265">
        <f t="shared" ref="F496:G511" si="15">IF(B496=0,"",IF(D496=0,"",B496/D496))</f>
        <v>1162.9661319073084</v>
      </c>
      <c r="G496" s="266">
        <f t="shared" si="15"/>
        <v>1273.5529422617276</v>
      </c>
      <c r="H496" s="267" t="str">
        <f>IF(B496=0,"",IF(C496=0,"",IF(D496=0,"",IF(E496=0,"",IF(G496/F496-1&lt;-0.25,G496/F496-1,IF(G496/F496-1&gt;0.25,G496/F496-1,""))))))</f>
        <v/>
      </c>
      <c r="I496" s="269"/>
      <c r="K496" s="263"/>
      <c r="L496" s="263"/>
    </row>
    <row r="497" spans="1:12" ht="12.6" customHeight="1" x14ac:dyDescent="0.25">
      <c r="A497" s="180" t="s">
        <v>513</v>
      </c>
      <c r="B497" s="242">
        <f>'Prior Year'!D71</f>
        <v>0</v>
      </c>
      <c r="C497" s="242">
        <f>D71</f>
        <v>0</v>
      </c>
      <c r="D497" s="242">
        <f>'Prior Year'!D59</f>
        <v>0</v>
      </c>
      <c r="E497" s="180">
        <f>D59</f>
        <v>0</v>
      </c>
      <c r="F497" s="265" t="str">
        <f t="shared" si="15"/>
        <v/>
      </c>
      <c r="G497" s="265" t="str">
        <f t="shared" si="15"/>
        <v/>
      </c>
      <c r="H497" s="267" t="str">
        <f t="shared" ref="H497:H550" si="16">IF(B497=0,"",IF(C497=0,"",IF(D497=0,"",IF(E497=0,"",IF(G497/F497-1&lt;-0.25,G497/F497-1,IF(G497/F497-1&gt;0.25,G497/F497-1,""))))))</f>
        <v/>
      </c>
      <c r="I497" s="269"/>
      <c r="K497" s="263"/>
      <c r="L497" s="263"/>
    </row>
    <row r="498" spans="1:12" ht="12.6" customHeight="1" x14ac:dyDescent="0.25">
      <c r="A498" s="180" t="s">
        <v>514</v>
      </c>
      <c r="B498" s="242">
        <f>'Prior Year'!E71</f>
        <v>6794366</v>
      </c>
      <c r="C498" s="242">
        <f>E71</f>
        <v>16868751.600000001</v>
      </c>
      <c r="D498" s="242">
        <f>'Prior Year'!E59</f>
        <v>9333</v>
      </c>
      <c r="E498" s="180">
        <f>E59</f>
        <v>16602.693153600569</v>
      </c>
      <c r="F498" s="265">
        <f t="shared" si="15"/>
        <v>727.99378549233904</v>
      </c>
      <c r="G498" s="265">
        <f t="shared" si="15"/>
        <v>1016.0250173835041</v>
      </c>
      <c r="H498" s="267">
        <f t="shared" si="16"/>
        <v>0.39565067399080989</v>
      </c>
      <c r="I498" s="269"/>
      <c r="K498" s="263"/>
      <c r="L498" s="263"/>
    </row>
    <row r="499" spans="1:12" ht="12.6" customHeight="1" x14ac:dyDescent="0.25">
      <c r="A499" s="180" t="s">
        <v>515</v>
      </c>
      <c r="B499" s="242">
        <f>'Prior Year'!F71</f>
        <v>0</v>
      </c>
      <c r="C499" s="242">
        <f>F71</f>
        <v>0</v>
      </c>
      <c r="D499" s="242">
        <f>'Prior Year'!F59</f>
        <v>0</v>
      </c>
      <c r="E499" s="180">
        <f>F59</f>
        <v>0</v>
      </c>
      <c r="F499" s="265" t="str">
        <f t="shared" si="15"/>
        <v/>
      </c>
      <c r="G499" s="265" t="str">
        <f t="shared" si="15"/>
        <v/>
      </c>
      <c r="H499" s="267" t="str">
        <f t="shared" si="16"/>
        <v/>
      </c>
      <c r="I499" s="269"/>
      <c r="K499" s="263"/>
      <c r="L499" s="263"/>
    </row>
    <row r="500" spans="1:12" ht="12.6" customHeight="1" x14ac:dyDescent="0.25">
      <c r="A500" s="180" t="s">
        <v>516</v>
      </c>
      <c r="B500" s="242">
        <f>'Prior Year'!G71</f>
        <v>1402604</v>
      </c>
      <c r="C500" s="242">
        <f>G71</f>
        <v>0</v>
      </c>
      <c r="D500" s="242">
        <f>'Prior Year'!G59</f>
        <v>0</v>
      </c>
      <c r="E500" s="180">
        <f>G59</f>
        <v>0</v>
      </c>
      <c r="F500" s="265" t="str">
        <f t="shared" si="15"/>
        <v/>
      </c>
      <c r="G500" s="265" t="str">
        <f t="shared" si="15"/>
        <v/>
      </c>
      <c r="H500" s="267" t="str">
        <f t="shared" si="16"/>
        <v/>
      </c>
      <c r="I500" s="269"/>
      <c r="K500" s="263"/>
      <c r="L500" s="263"/>
    </row>
    <row r="501" spans="1:12" ht="12.6" customHeight="1" x14ac:dyDescent="0.25">
      <c r="A501" s="180" t="s">
        <v>517</v>
      </c>
      <c r="B501" s="242">
        <f>'Prior Year'!H71</f>
        <v>1688380</v>
      </c>
      <c r="C501" s="242">
        <f>H71</f>
        <v>0</v>
      </c>
      <c r="D501" s="242">
        <f>'Prior Year'!H59</f>
        <v>1931</v>
      </c>
      <c r="E501" s="180">
        <f>H59</f>
        <v>0</v>
      </c>
      <c r="F501" s="265">
        <f t="shared" si="15"/>
        <v>874.35525634386329</v>
      </c>
      <c r="G501" s="265" t="str">
        <f t="shared" si="15"/>
        <v/>
      </c>
      <c r="H501" s="267" t="str">
        <f t="shared" si="16"/>
        <v/>
      </c>
      <c r="I501" s="269"/>
      <c r="K501" s="263"/>
      <c r="L501" s="263"/>
    </row>
    <row r="502" spans="1:12" ht="12.6" customHeight="1" x14ac:dyDescent="0.25">
      <c r="A502" s="180" t="s">
        <v>518</v>
      </c>
      <c r="B502" s="242">
        <f>'Prior Year'!I71</f>
        <v>0</v>
      </c>
      <c r="C502" s="242">
        <f>I71</f>
        <v>0</v>
      </c>
      <c r="D502" s="242">
        <f>'Prior Year'!I59</f>
        <v>0</v>
      </c>
      <c r="E502" s="180">
        <f>I59</f>
        <v>0</v>
      </c>
      <c r="F502" s="265" t="str">
        <f t="shared" si="15"/>
        <v/>
      </c>
      <c r="G502" s="265" t="str">
        <f t="shared" si="15"/>
        <v/>
      </c>
      <c r="H502" s="267" t="str">
        <f t="shared" si="16"/>
        <v/>
      </c>
      <c r="I502" s="269"/>
      <c r="K502" s="263"/>
      <c r="L502" s="263"/>
    </row>
    <row r="503" spans="1:12" ht="12.6" customHeight="1" x14ac:dyDescent="0.25">
      <c r="A503" s="180" t="s">
        <v>519</v>
      </c>
      <c r="B503" s="242">
        <f>'Prior Year'!J71</f>
        <v>0</v>
      </c>
      <c r="C503" s="242">
        <f>J71</f>
        <v>1727622.17</v>
      </c>
      <c r="D503" s="242">
        <f>'Prior Year'!J59</f>
        <v>2048</v>
      </c>
      <c r="E503" s="180">
        <f>J59</f>
        <v>2517</v>
      </c>
      <c r="F503" s="265" t="str">
        <f t="shared" si="15"/>
        <v/>
      </c>
      <c r="G503" s="265">
        <f t="shared" si="15"/>
        <v>686.38147397695661</v>
      </c>
      <c r="H503" s="267" t="str">
        <f t="shared" si="16"/>
        <v/>
      </c>
      <c r="I503" s="269"/>
      <c r="K503" s="263"/>
      <c r="L503" s="263"/>
    </row>
    <row r="504" spans="1:12" ht="12.6" customHeight="1" x14ac:dyDescent="0.25">
      <c r="A504" s="180" t="s">
        <v>520</v>
      </c>
      <c r="B504" s="242">
        <f>'Prior Year'!K71</f>
        <v>0</v>
      </c>
      <c r="C504" s="242">
        <f>K71</f>
        <v>0</v>
      </c>
      <c r="D504" s="242">
        <f>'Prior Year'!K59</f>
        <v>0</v>
      </c>
      <c r="E504" s="180">
        <f>K59</f>
        <v>0</v>
      </c>
      <c r="F504" s="265" t="str">
        <f t="shared" si="15"/>
        <v/>
      </c>
      <c r="G504" s="265" t="str">
        <f t="shared" si="15"/>
        <v/>
      </c>
      <c r="H504" s="267" t="str">
        <f t="shared" si="16"/>
        <v/>
      </c>
      <c r="I504" s="269"/>
      <c r="K504" s="263"/>
      <c r="L504" s="263"/>
    </row>
    <row r="505" spans="1:12" ht="12.6" customHeight="1" x14ac:dyDescent="0.25">
      <c r="A505" s="180" t="s">
        <v>521</v>
      </c>
      <c r="B505" s="242">
        <f>'Prior Year'!L71</f>
        <v>0</v>
      </c>
      <c r="C505" s="242">
        <f>L71</f>
        <v>0</v>
      </c>
      <c r="D505" s="242">
        <f>'Prior Year'!L59</f>
        <v>0</v>
      </c>
      <c r="E505" s="180">
        <f>L59</f>
        <v>0</v>
      </c>
      <c r="F505" s="265" t="str">
        <f t="shared" si="15"/>
        <v/>
      </c>
      <c r="G505" s="265" t="str">
        <f t="shared" si="15"/>
        <v/>
      </c>
      <c r="H505" s="267" t="str">
        <f t="shared" si="16"/>
        <v/>
      </c>
      <c r="I505" s="269"/>
      <c r="K505" s="263"/>
      <c r="L505" s="263"/>
    </row>
    <row r="506" spans="1:12" ht="12.6" customHeight="1" x14ac:dyDescent="0.25">
      <c r="A506" s="180" t="s">
        <v>522</v>
      </c>
      <c r="B506" s="242">
        <f>'Prior Year'!M71</f>
        <v>0</v>
      </c>
      <c r="C506" s="242">
        <f>M71</f>
        <v>0</v>
      </c>
      <c r="D506" s="242">
        <f>'Prior Year'!M59</f>
        <v>0</v>
      </c>
      <c r="E506" s="180">
        <f>M59</f>
        <v>0</v>
      </c>
      <c r="F506" s="265" t="str">
        <f t="shared" si="15"/>
        <v/>
      </c>
      <c r="G506" s="265" t="str">
        <f t="shared" si="15"/>
        <v/>
      </c>
      <c r="H506" s="267" t="str">
        <f t="shared" si="16"/>
        <v/>
      </c>
      <c r="I506" s="269"/>
      <c r="K506" s="263"/>
      <c r="L506" s="263"/>
    </row>
    <row r="507" spans="1:12" ht="12.6" customHeight="1" x14ac:dyDescent="0.25">
      <c r="A507" s="180" t="s">
        <v>523</v>
      </c>
      <c r="B507" s="242">
        <f>'Prior Year'!N71</f>
        <v>5896713</v>
      </c>
      <c r="C507" s="242">
        <f>N71</f>
        <v>0</v>
      </c>
      <c r="D507" s="242">
        <f>'Prior Year'!N59</f>
        <v>0</v>
      </c>
      <c r="E507" s="180">
        <f>N59</f>
        <v>0</v>
      </c>
      <c r="F507" s="265" t="str">
        <f t="shared" si="15"/>
        <v/>
      </c>
      <c r="G507" s="265" t="str">
        <f t="shared" si="15"/>
        <v/>
      </c>
      <c r="H507" s="267" t="str">
        <f t="shared" si="16"/>
        <v/>
      </c>
      <c r="I507" s="269"/>
      <c r="K507" s="263"/>
      <c r="L507" s="263"/>
    </row>
    <row r="508" spans="1:12" ht="12.6" customHeight="1" x14ac:dyDescent="0.25">
      <c r="A508" s="180" t="s">
        <v>524</v>
      </c>
      <c r="B508" s="242">
        <f>'Prior Year'!O71</f>
        <v>5685324</v>
      </c>
      <c r="C508" s="242">
        <f>O71</f>
        <v>6516777.4400000004</v>
      </c>
      <c r="D508" s="242">
        <f>'Prior Year'!O59</f>
        <v>0</v>
      </c>
      <c r="E508" s="180">
        <f>O59</f>
        <v>1599</v>
      </c>
      <c r="F508" s="265" t="str">
        <f t="shared" si="15"/>
        <v/>
      </c>
      <c r="G508" s="265">
        <f t="shared" si="15"/>
        <v>4075.5331081926206</v>
      </c>
      <c r="H508" s="267" t="str">
        <f t="shared" si="16"/>
        <v/>
      </c>
      <c r="I508" s="269"/>
      <c r="K508" s="263"/>
      <c r="L508" s="263"/>
    </row>
    <row r="509" spans="1:12" ht="12.6" customHeight="1" x14ac:dyDescent="0.25">
      <c r="A509" s="180" t="s">
        <v>525</v>
      </c>
      <c r="B509" s="242">
        <f>'Prior Year'!P71</f>
        <v>18285365</v>
      </c>
      <c r="C509" s="242">
        <f>P71</f>
        <v>15847192.83</v>
      </c>
      <c r="D509" s="242">
        <f>'Prior Year'!P59</f>
        <v>533945</v>
      </c>
      <c r="E509" s="180">
        <f>P59</f>
        <v>612870</v>
      </c>
      <c r="F509" s="265">
        <f t="shared" si="15"/>
        <v>34.245783741771156</v>
      </c>
      <c r="G509" s="265">
        <f t="shared" si="15"/>
        <v>25.857347936756572</v>
      </c>
      <c r="H509" s="267" t="str">
        <f t="shared" si="16"/>
        <v/>
      </c>
      <c r="I509" s="269"/>
      <c r="K509" s="263"/>
      <c r="L509" s="263"/>
    </row>
    <row r="510" spans="1:12" ht="12.6" customHeight="1" x14ac:dyDescent="0.25">
      <c r="A510" s="180" t="s">
        <v>526</v>
      </c>
      <c r="B510" s="242">
        <f>'Prior Year'!Q71</f>
        <v>2537072</v>
      </c>
      <c r="C510" s="242">
        <f>Q71</f>
        <v>3303242.8999999994</v>
      </c>
      <c r="D510" s="242">
        <f>'Prior Year'!Q59</f>
        <v>632419</v>
      </c>
      <c r="E510" s="180">
        <f>Q59</f>
        <v>0</v>
      </c>
      <c r="F510" s="265">
        <f t="shared" si="15"/>
        <v>4.0116947783036245</v>
      </c>
      <c r="G510" s="265" t="str">
        <f t="shared" si="15"/>
        <v/>
      </c>
      <c r="H510" s="267" t="str">
        <f t="shared" si="16"/>
        <v/>
      </c>
      <c r="I510" s="269"/>
      <c r="K510" s="263"/>
      <c r="L510" s="263"/>
    </row>
    <row r="511" spans="1:12" ht="12.6" customHeight="1" x14ac:dyDescent="0.25">
      <c r="A511" s="180" t="s">
        <v>527</v>
      </c>
      <c r="B511" s="242">
        <f>'Prior Year'!R71</f>
        <v>459401</v>
      </c>
      <c r="C511" s="242">
        <f>R71</f>
        <v>635751.75</v>
      </c>
      <c r="D511" s="242">
        <f>'Prior Year'!R59</f>
        <v>0</v>
      </c>
      <c r="E511" s="180">
        <f>R59</f>
        <v>642274</v>
      </c>
      <c r="F511" s="265" t="str">
        <f t="shared" si="15"/>
        <v/>
      </c>
      <c r="G511" s="265">
        <f t="shared" si="15"/>
        <v>0.98984506612442669</v>
      </c>
      <c r="H511" s="267" t="str">
        <f t="shared" si="16"/>
        <v/>
      </c>
      <c r="I511" s="269"/>
      <c r="K511" s="263"/>
      <c r="L511" s="263"/>
    </row>
    <row r="512" spans="1:12" ht="12.6" customHeight="1" x14ac:dyDescent="0.25">
      <c r="A512" s="180" t="s">
        <v>528</v>
      </c>
      <c r="B512" s="242">
        <f>'Prior Year'!S71</f>
        <v>992931</v>
      </c>
      <c r="C512" s="242">
        <f>S71</f>
        <v>11829779.68</v>
      </c>
      <c r="D512" s="181" t="s">
        <v>529</v>
      </c>
      <c r="E512" s="181" t="s">
        <v>529</v>
      </c>
      <c r="F512" s="265" t="str">
        <f t="shared" ref="F512:G527" si="17">IF(B512=0,"",IF(D512=0,"",B512/D512))</f>
        <v/>
      </c>
      <c r="G512" s="265" t="str">
        <f t="shared" si="17"/>
        <v/>
      </c>
      <c r="H512" s="267" t="str">
        <f t="shared" si="16"/>
        <v/>
      </c>
      <c r="I512" s="269"/>
      <c r="K512" s="263"/>
      <c r="L512" s="263"/>
    </row>
    <row r="513" spans="1:12" ht="12.6" customHeight="1" x14ac:dyDescent="0.25">
      <c r="A513" s="180" t="s">
        <v>1247</v>
      </c>
      <c r="B513" s="242">
        <f>'Prior Year'!T71</f>
        <v>455679</v>
      </c>
      <c r="C513" s="242">
        <f>T71</f>
        <v>529029.78999999992</v>
      </c>
      <c r="D513" s="181" t="s">
        <v>529</v>
      </c>
      <c r="E513" s="181" t="s">
        <v>529</v>
      </c>
      <c r="F513" s="265" t="str">
        <f t="shared" si="17"/>
        <v/>
      </c>
      <c r="G513" s="265" t="str">
        <f t="shared" si="17"/>
        <v/>
      </c>
      <c r="H513" s="267" t="str">
        <f t="shared" si="16"/>
        <v/>
      </c>
      <c r="I513" s="269"/>
      <c r="K513" s="263"/>
      <c r="L513" s="263"/>
    </row>
    <row r="514" spans="1:12" ht="12.6" customHeight="1" x14ac:dyDescent="0.25">
      <c r="A514" s="180" t="s">
        <v>530</v>
      </c>
      <c r="B514" s="242">
        <f>'Prior Year'!U71</f>
        <v>5603424</v>
      </c>
      <c r="C514" s="242">
        <f>U71</f>
        <v>6038111.8999999994</v>
      </c>
      <c r="D514" s="242">
        <f>'Prior Year'!U59</f>
        <v>0</v>
      </c>
      <c r="E514" s="180">
        <f>U59</f>
        <v>0</v>
      </c>
      <c r="F514" s="265" t="str">
        <f t="shared" si="17"/>
        <v/>
      </c>
      <c r="G514" s="265" t="str">
        <f t="shared" si="17"/>
        <v/>
      </c>
      <c r="H514" s="267" t="str">
        <f t="shared" si="16"/>
        <v/>
      </c>
      <c r="I514" s="269"/>
      <c r="K514" s="263"/>
      <c r="L514" s="263"/>
    </row>
    <row r="515" spans="1:12" ht="12.6" customHeight="1" x14ac:dyDescent="0.25">
      <c r="A515" s="180" t="s">
        <v>531</v>
      </c>
      <c r="B515" s="242">
        <f>'Prior Year'!V71</f>
        <v>339321</v>
      </c>
      <c r="C515" s="242">
        <f>V71</f>
        <v>4832033.54</v>
      </c>
      <c r="D515" s="242">
        <f>'Prior Year'!V59</f>
        <v>0</v>
      </c>
      <c r="E515" s="180">
        <f>V59</f>
        <v>0</v>
      </c>
      <c r="F515" s="265" t="str">
        <f t="shared" si="17"/>
        <v/>
      </c>
      <c r="G515" s="265" t="str">
        <f t="shared" si="17"/>
        <v/>
      </c>
      <c r="H515" s="267" t="str">
        <f t="shared" si="16"/>
        <v/>
      </c>
      <c r="I515" s="269"/>
      <c r="K515" s="263"/>
      <c r="L515" s="263"/>
    </row>
    <row r="516" spans="1:12" ht="12.6" customHeight="1" x14ac:dyDescent="0.25">
      <c r="A516" s="180" t="s">
        <v>532</v>
      </c>
      <c r="B516" s="242">
        <f>'Prior Year'!W71</f>
        <v>1144456</v>
      </c>
      <c r="C516" s="242">
        <f>W71</f>
        <v>1338375.9900000002</v>
      </c>
      <c r="D516" s="242">
        <f>'Prior Year'!W59</f>
        <v>0</v>
      </c>
      <c r="E516" s="180">
        <f>W59</f>
        <v>0</v>
      </c>
      <c r="F516" s="265" t="str">
        <f t="shared" si="17"/>
        <v/>
      </c>
      <c r="G516" s="265" t="str">
        <f t="shared" si="17"/>
        <v/>
      </c>
      <c r="H516" s="267" t="str">
        <f t="shared" si="16"/>
        <v/>
      </c>
      <c r="I516" s="269"/>
      <c r="K516" s="263"/>
      <c r="L516" s="263"/>
    </row>
    <row r="517" spans="1:12" ht="12.6" customHeight="1" x14ac:dyDescent="0.25">
      <c r="A517" s="180" t="s">
        <v>533</v>
      </c>
      <c r="B517" s="242">
        <f>'Prior Year'!X71</f>
        <v>2137554</v>
      </c>
      <c r="C517" s="242">
        <f>X71</f>
        <v>2726758.61</v>
      </c>
      <c r="D517" s="242">
        <f>'Prior Year'!X59</f>
        <v>0</v>
      </c>
      <c r="E517" s="180">
        <f>X59</f>
        <v>0</v>
      </c>
      <c r="F517" s="265" t="str">
        <f t="shared" si="17"/>
        <v/>
      </c>
      <c r="G517" s="265" t="str">
        <f t="shared" si="17"/>
        <v/>
      </c>
      <c r="H517" s="267" t="str">
        <f t="shared" si="16"/>
        <v/>
      </c>
      <c r="I517" s="269"/>
      <c r="K517" s="263"/>
      <c r="L517" s="263"/>
    </row>
    <row r="518" spans="1:12" ht="12.6" customHeight="1" x14ac:dyDescent="0.25">
      <c r="A518" s="180" t="s">
        <v>534</v>
      </c>
      <c r="B518" s="242">
        <f>'Prior Year'!Y71</f>
        <v>3987506</v>
      </c>
      <c r="C518" s="242">
        <f>Y71</f>
        <v>4247592.92</v>
      </c>
      <c r="D518" s="242">
        <f>'Prior Year'!Y59</f>
        <v>0</v>
      </c>
      <c r="E518" s="180">
        <f>Y59</f>
        <v>0</v>
      </c>
      <c r="F518" s="265" t="str">
        <f t="shared" si="17"/>
        <v/>
      </c>
      <c r="G518" s="265" t="str">
        <f t="shared" si="17"/>
        <v/>
      </c>
      <c r="H518" s="267" t="str">
        <f t="shared" si="16"/>
        <v/>
      </c>
      <c r="I518" s="269"/>
      <c r="K518" s="263"/>
      <c r="L518" s="263"/>
    </row>
    <row r="519" spans="1:12" ht="12.6" customHeight="1" x14ac:dyDescent="0.25">
      <c r="A519" s="180" t="s">
        <v>535</v>
      </c>
      <c r="B519" s="242">
        <f>'Prior Year'!Z71</f>
        <v>0</v>
      </c>
      <c r="C519" s="242">
        <f>Z71</f>
        <v>0</v>
      </c>
      <c r="D519" s="242">
        <f>'Prior Year'!Z59</f>
        <v>0</v>
      </c>
      <c r="E519" s="180">
        <f>Z59</f>
        <v>0</v>
      </c>
      <c r="F519" s="265" t="str">
        <f t="shared" si="17"/>
        <v/>
      </c>
      <c r="G519" s="265" t="str">
        <f t="shared" si="17"/>
        <v/>
      </c>
      <c r="H519" s="267" t="str">
        <f t="shared" si="16"/>
        <v/>
      </c>
      <c r="I519" s="269"/>
      <c r="K519" s="263"/>
      <c r="L519" s="263"/>
    </row>
    <row r="520" spans="1:12" ht="12.6" customHeight="1" x14ac:dyDescent="0.25">
      <c r="A520" s="180" t="s">
        <v>536</v>
      </c>
      <c r="B520" s="242">
        <f>'Prior Year'!AA71</f>
        <v>194056</v>
      </c>
      <c r="C520" s="242">
        <f>AA71</f>
        <v>211598.72999999998</v>
      </c>
      <c r="D520" s="242">
        <f>'Prior Year'!AA59</f>
        <v>0</v>
      </c>
      <c r="E520" s="180">
        <f>AA59</f>
        <v>0</v>
      </c>
      <c r="F520" s="265" t="str">
        <f t="shared" si="17"/>
        <v/>
      </c>
      <c r="G520" s="265" t="str">
        <f t="shared" si="17"/>
        <v/>
      </c>
      <c r="H520" s="267" t="str">
        <f t="shared" si="16"/>
        <v/>
      </c>
      <c r="I520" s="269"/>
      <c r="K520" s="263"/>
      <c r="L520" s="263"/>
    </row>
    <row r="521" spans="1:12" ht="12.6" customHeight="1" x14ac:dyDescent="0.25">
      <c r="A521" s="180" t="s">
        <v>537</v>
      </c>
      <c r="B521" s="242">
        <f>'Prior Year'!AB71</f>
        <v>8132511</v>
      </c>
      <c r="C521" s="242">
        <f>AB71</f>
        <v>10149148.4</v>
      </c>
      <c r="D521" s="181" t="s">
        <v>529</v>
      </c>
      <c r="E521" s="181" t="s">
        <v>529</v>
      </c>
      <c r="F521" s="265" t="str">
        <f t="shared" si="17"/>
        <v/>
      </c>
      <c r="G521" s="265" t="str">
        <f t="shared" si="17"/>
        <v/>
      </c>
      <c r="H521" s="267" t="str">
        <f t="shared" si="16"/>
        <v/>
      </c>
      <c r="I521" s="269"/>
      <c r="K521" s="263"/>
      <c r="L521" s="263"/>
    </row>
    <row r="522" spans="1:12" ht="12.6" customHeight="1" x14ac:dyDescent="0.25">
      <c r="A522" s="180" t="s">
        <v>538</v>
      </c>
      <c r="B522" s="242">
        <f>'Prior Year'!AC71</f>
        <v>1404149</v>
      </c>
      <c r="C522" s="242">
        <f>AC71</f>
        <v>1842591.74</v>
      </c>
      <c r="D522" s="242">
        <f>'Prior Year'!AC59</f>
        <v>0</v>
      </c>
      <c r="E522" s="180">
        <f>AC59</f>
        <v>0</v>
      </c>
      <c r="F522" s="265" t="str">
        <f t="shared" si="17"/>
        <v/>
      </c>
      <c r="G522" s="265" t="str">
        <f t="shared" si="17"/>
        <v/>
      </c>
      <c r="H522" s="267" t="str">
        <f t="shared" si="16"/>
        <v/>
      </c>
      <c r="I522" s="269"/>
      <c r="K522" s="263"/>
      <c r="L522" s="263"/>
    </row>
    <row r="523" spans="1:12" ht="12.6" customHeight="1" x14ac:dyDescent="0.25">
      <c r="A523" s="180" t="s">
        <v>539</v>
      </c>
      <c r="B523" s="242">
        <f>'Prior Year'!AD71</f>
        <v>63739</v>
      </c>
      <c r="C523" s="242">
        <f>AD71</f>
        <v>75041.48</v>
      </c>
      <c r="D523" s="242">
        <f>'Prior Year'!AD59</f>
        <v>0</v>
      </c>
      <c r="E523" s="180">
        <f>AD59</f>
        <v>0</v>
      </c>
      <c r="F523" s="265" t="str">
        <f t="shared" si="17"/>
        <v/>
      </c>
      <c r="G523" s="265" t="str">
        <f t="shared" si="17"/>
        <v/>
      </c>
      <c r="H523" s="267" t="str">
        <f t="shared" si="16"/>
        <v/>
      </c>
      <c r="I523" s="269"/>
      <c r="K523" s="263"/>
      <c r="L523" s="263"/>
    </row>
    <row r="524" spans="1:12" ht="12.6" customHeight="1" x14ac:dyDescent="0.25">
      <c r="A524" s="180" t="s">
        <v>540</v>
      </c>
      <c r="B524" s="242">
        <f>'Prior Year'!AE71</f>
        <v>5706</v>
      </c>
      <c r="C524" s="242">
        <f>AE71</f>
        <v>1764084.6900000002</v>
      </c>
      <c r="D524" s="242">
        <f>'Prior Year'!AE59</f>
        <v>0</v>
      </c>
      <c r="E524" s="180">
        <f>AE59</f>
        <v>0</v>
      </c>
      <c r="F524" s="265" t="str">
        <f t="shared" si="17"/>
        <v/>
      </c>
      <c r="G524" s="265" t="str">
        <f t="shared" si="17"/>
        <v/>
      </c>
      <c r="H524" s="267" t="str">
        <f t="shared" si="16"/>
        <v/>
      </c>
      <c r="I524" s="269"/>
      <c r="K524" s="263"/>
      <c r="L524" s="263"/>
    </row>
    <row r="525" spans="1:12" ht="12.6" customHeight="1" x14ac:dyDescent="0.25">
      <c r="A525" s="180" t="s">
        <v>541</v>
      </c>
      <c r="B525" s="242">
        <f>'Prior Year'!AF71</f>
        <v>0</v>
      </c>
      <c r="C525" s="242">
        <f>AF71</f>
        <v>0</v>
      </c>
      <c r="D525" s="242">
        <f>'Prior Year'!AF59</f>
        <v>0</v>
      </c>
      <c r="E525" s="180">
        <f>AF59</f>
        <v>0</v>
      </c>
      <c r="F525" s="265" t="str">
        <f t="shared" si="17"/>
        <v/>
      </c>
      <c r="G525" s="265" t="str">
        <f t="shared" si="17"/>
        <v/>
      </c>
      <c r="H525" s="267" t="str">
        <f t="shared" si="16"/>
        <v/>
      </c>
      <c r="I525" s="269"/>
      <c r="K525" s="263"/>
      <c r="L525" s="263"/>
    </row>
    <row r="526" spans="1:12" ht="12.6" customHeight="1" x14ac:dyDescent="0.25">
      <c r="A526" s="180" t="s">
        <v>542</v>
      </c>
      <c r="B526" s="242">
        <f>'Prior Year'!AG71</f>
        <v>4922609</v>
      </c>
      <c r="C526" s="242">
        <f>AG71</f>
        <v>7034592.6400000006</v>
      </c>
      <c r="D526" s="242">
        <f>'Prior Year'!AG59</f>
        <v>27826</v>
      </c>
      <c r="E526" s="180">
        <f>AG59</f>
        <v>28743</v>
      </c>
      <c r="F526" s="265">
        <f t="shared" si="17"/>
        <v>176.90681377129303</v>
      </c>
      <c r="G526" s="265">
        <f t="shared" si="17"/>
        <v>244.74107226107228</v>
      </c>
      <c r="H526" s="267">
        <f t="shared" si="16"/>
        <v>0.38344627345714377</v>
      </c>
      <c r="I526" s="269"/>
      <c r="K526" s="263"/>
      <c r="L526" s="263"/>
    </row>
    <row r="527" spans="1:12" ht="12.6" customHeight="1" x14ac:dyDescent="0.25">
      <c r="A527" s="180" t="s">
        <v>543</v>
      </c>
      <c r="B527" s="242">
        <f>'Prior Year'!AH71</f>
        <v>0</v>
      </c>
      <c r="C527" s="242">
        <f>AH71</f>
        <v>0</v>
      </c>
      <c r="D527" s="242">
        <f>'Prior Year'!AH59</f>
        <v>0</v>
      </c>
      <c r="E527" s="180">
        <f>AH59</f>
        <v>0</v>
      </c>
      <c r="F527" s="265" t="str">
        <f t="shared" si="17"/>
        <v/>
      </c>
      <c r="G527" s="265" t="str">
        <f t="shared" si="17"/>
        <v/>
      </c>
      <c r="H527" s="267" t="str">
        <f t="shared" si="16"/>
        <v/>
      </c>
      <c r="I527" s="269"/>
      <c r="K527" s="263"/>
      <c r="L527" s="263"/>
    </row>
    <row r="528" spans="1:12" ht="12.6" customHeight="1" x14ac:dyDescent="0.25">
      <c r="A528" s="180" t="s">
        <v>544</v>
      </c>
      <c r="B528" s="242">
        <f>'Prior Year'!AI71</f>
        <v>0</v>
      </c>
      <c r="C528" s="242">
        <f>AI71</f>
        <v>0</v>
      </c>
      <c r="D528" s="242">
        <f>'Prior Year'!AI59</f>
        <v>0</v>
      </c>
      <c r="E528" s="180">
        <f>AI59</f>
        <v>0</v>
      </c>
      <c r="F528" s="265" t="str">
        <f t="shared" ref="F528:G540" si="18">IF(B528=0,"",IF(D528=0,"",B528/D528))</f>
        <v/>
      </c>
      <c r="G528" s="265" t="str">
        <f t="shared" si="18"/>
        <v/>
      </c>
      <c r="H528" s="267" t="str">
        <f t="shared" si="16"/>
        <v/>
      </c>
      <c r="I528" s="269"/>
      <c r="K528" s="263"/>
      <c r="L528" s="263"/>
    </row>
    <row r="529" spans="1:12" ht="12.6" customHeight="1" x14ac:dyDescent="0.25">
      <c r="A529" s="180" t="s">
        <v>545</v>
      </c>
      <c r="B529" s="242">
        <f>'Prior Year'!AJ71</f>
        <v>846400</v>
      </c>
      <c r="C529" s="242">
        <f>AJ71</f>
        <v>807277.35</v>
      </c>
      <c r="D529" s="242">
        <f>'Prior Year'!AJ59</f>
        <v>0</v>
      </c>
      <c r="E529" s="180">
        <f>AJ59</f>
        <v>0</v>
      </c>
      <c r="F529" s="265" t="str">
        <f t="shared" si="18"/>
        <v/>
      </c>
      <c r="G529" s="265" t="str">
        <f t="shared" si="18"/>
        <v/>
      </c>
      <c r="H529" s="267" t="str">
        <f t="shared" si="16"/>
        <v/>
      </c>
      <c r="I529" s="269"/>
      <c r="K529" s="263"/>
      <c r="L529" s="263"/>
    </row>
    <row r="530" spans="1:12" ht="12.6" customHeight="1" x14ac:dyDescent="0.25">
      <c r="A530" s="180" t="s">
        <v>546</v>
      </c>
      <c r="B530" s="242">
        <f>'Prior Year'!AK71</f>
        <v>0</v>
      </c>
      <c r="C530" s="242">
        <f>AK71</f>
        <v>0</v>
      </c>
      <c r="D530" s="242">
        <f>'Prior Year'!AK59</f>
        <v>0</v>
      </c>
      <c r="E530" s="180">
        <f>AK59</f>
        <v>0</v>
      </c>
      <c r="F530" s="265" t="str">
        <f t="shared" si="18"/>
        <v/>
      </c>
      <c r="G530" s="265" t="str">
        <f t="shared" si="18"/>
        <v/>
      </c>
      <c r="H530" s="267" t="str">
        <f t="shared" si="16"/>
        <v/>
      </c>
      <c r="I530" s="269"/>
      <c r="K530" s="263"/>
      <c r="L530" s="263"/>
    </row>
    <row r="531" spans="1:12" ht="12.6" customHeight="1" x14ac:dyDescent="0.25">
      <c r="A531" s="180" t="s">
        <v>547</v>
      </c>
      <c r="B531" s="242">
        <f>'Prior Year'!AL71</f>
        <v>0</v>
      </c>
      <c r="C531" s="242">
        <f>AL71</f>
        <v>0</v>
      </c>
      <c r="D531" s="242">
        <f>'Prior Year'!AL59</f>
        <v>0</v>
      </c>
      <c r="E531" s="180">
        <f>AL59</f>
        <v>0</v>
      </c>
      <c r="F531" s="265" t="str">
        <f t="shared" si="18"/>
        <v/>
      </c>
      <c r="G531" s="265" t="str">
        <f t="shared" si="18"/>
        <v/>
      </c>
      <c r="H531" s="267" t="str">
        <f t="shared" si="16"/>
        <v/>
      </c>
      <c r="I531" s="269"/>
      <c r="K531" s="263"/>
      <c r="L531" s="263"/>
    </row>
    <row r="532" spans="1:12" ht="12.6" customHeight="1" x14ac:dyDescent="0.25">
      <c r="A532" s="180" t="s">
        <v>548</v>
      </c>
      <c r="B532" s="242">
        <f>'Prior Year'!AM71</f>
        <v>0</v>
      </c>
      <c r="C532" s="242">
        <f>AM71</f>
        <v>0</v>
      </c>
      <c r="D532" s="242">
        <f>'Prior Year'!AM59</f>
        <v>0</v>
      </c>
      <c r="E532" s="180">
        <f>AM59</f>
        <v>0</v>
      </c>
      <c r="F532" s="265" t="str">
        <f t="shared" si="18"/>
        <v/>
      </c>
      <c r="G532" s="265" t="str">
        <f t="shared" si="18"/>
        <v/>
      </c>
      <c r="H532" s="267" t="str">
        <f t="shared" si="16"/>
        <v/>
      </c>
      <c r="I532" s="269"/>
      <c r="K532" s="263"/>
      <c r="L532" s="263"/>
    </row>
    <row r="533" spans="1:12" ht="12.6" customHeight="1" x14ac:dyDescent="0.25">
      <c r="A533" s="180" t="s">
        <v>1248</v>
      </c>
      <c r="B533" s="242">
        <f>'Prior Year'!AN71</f>
        <v>0</v>
      </c>
      <c r="C533" s="242">
        <f>AN71</f>
        <v>0</v>
      </c>
      <c r="D533" s="242">
        <f>'Prior Year'!AN59</f>
        <v>0</v>
      </c>
      <c r="E533" s="180">
        <f>AN59</f>
        <v>0</v>
      </c>
      <c r="F533" s="265" t="str">
        <f t="shared" si="18"/>
        <v/>
      </c>
      <c r="G533" s="265" t="str">
        <f t="shared" si="18"/>
        <v/>
      </c>
      <c r="H533" s="267" t="str">
        <f t="shared" si="16"/>
        <v/>
      </c>
      <c r="I533" s="269"/>
      <c r="K533" s="263"/>
      <c r="L533" s="263"/>
    </row>
    <row r="534" spans="1:12" ht="12.6" customHeight="1" x14ac:dyDescent="0.25">
      <c r="A534" s="180" t="s">
        <v>549</v>
      </c>
      <c r="B534" s="242">
        <f>'Prior Year'!AO71</f>
        <v>0</v>
      </c>
      <c r="C534" s="242">
        <f>AO71</f>
        <v>0</v>
      </c>
      <c r="D534" s="242">
        <f>'Prior Year'!AO59</f>
        <v>0</v>
      </c>
      <c r="E534" s="180">
        <f>AO59</f>
        <v>0</v>
      </c>
      <c r="F534" s="265" t="str">
        <f t="shared" si="18"/>
        <v/>
      </c>
      <c r="G534" s="265" t="str">
        <f t="shared" si="18"/>
        <v/>
      </c>
      <c r="H534" s="267" t="str">
        <f t="shared" si="16"/>
        <v/>
      </c>
      <c r="I534" s="269"/>
      <c r="K534" s="263"/>
      <c r="L534" s="263"/>
    </row>
    <row r="535" spans="1:12" ht="12.6" customHeight="1" x14ac:dyDescent="0.25">
      <c r="A535" s="180" t="s">
        <v>550</v>
      </c>
      <c r="B535" s="242">
        <f>'Prior Year'!AP71</f>
        <v>0</v>
      </c>
      <c r="C535" s="242">
        <f>AP71</f>
        <v>0</v>
      </c>
      <c r="D535" s="242">
        <f>'Prior Year'!AP59</f>
        <v>0</v>
      </c>
      <c r="E535" s="180">
        <f>AP59</f>
        <v>0</v>
      </c>
      <c r="F535" s="265" t="str">
        <f t="shared" si="18"/>
        <v/>
      </c>
      <c r="G535" s="265" t="str">
        <f t="shared" si="18"/>
        <v/>
      </c>
      <c r="H535" s="267" t="str">
        <f t="shared" si="16"/>
        <v/>
      </c>
      <c r="I535" s="269"/>
      <c r="K535" s="263"/>
      <c r="L535" s="263"/>
    </row>
    <row r="536" spans="1:12" ht="12.6" customHeight="1" x14ac:dyDescent="0.25">
      <c r="A536" s="180" t="s">
        <v>551</v>
      </c>
      <c r="B536" s="242">
        <f>'Prior Year'!AQ71</f>
        <v>0</v>
      </c>
      <c r="C536" s="242">
        <f>AQ71</f>
        <v>0</v>
      </c>
      <c r="D536" s="242">
        <f>'Prior Year'!AQ59</f>
        <v>0</v>
      </c>
      <c r="E536" s="180">
        <f>AQ59</f>
        <v>0</v>
      </c>
      <c r="F536" s="265" t="str">
        <f t="shared" si="18"/>
        <v/>
      </c>
      <c r="G536" s="265" t="str">
        <f t="shared" si="18"/>
        <v/>
      </c>
      <c r="H536" s="267" t="str">
        <f t="shared" si="16"/>
        <v/>
      </c>
      <c r="I536" s="269"/>
      <c r="K536" s="263"/>
      <c r="L536" s="263"/>
    </row>
    <row r="537" spans="1:12" ht="12.6" customHeight="1" x14ac:dyDescent="0.25">
      <c r="A537" s="180" t="s">
        <v>552</v>
      </c>
      <c r="B537" s="242">
        <f>'Prior Year'!AR71</f>
        <v>0</v>
      </c>
      <c r="C537" s="242">
        <f>AR71</f>
        <v>0</v>
      </c>
      <c r="D537" s="242">
        <f>'Prior Year'!AR59</f>
        <v>0</v>
      </c>
      <c r="E537" s="180">
        <f>AR59</f>
        <v>0</v>
      </c>
      <c r="F537" s="265" t="str">
        <f t="shared" si="18"/>
        <v/>
      </c>
      <c r="G537" s="265" t="str">
        <f t="shared" si="18"/>
        <v/>
      </c>
      <c r="H537" s="267" t="str">
        <f t="shared" si="16"/>
        <v/>
      </c>
      <c r="I537" s="269"/>
      <c r="K537" s="263"/>
      <c r="L537" s="263"/>
    </row>
    <row r="538" spans="1:12" ht="12.6" customHeight="1" x14ac:dyDescent="0.25">
      <c r="A538" s="180" t="s">
        <v>553</v>
      </c>
      <c r="B538" s="242">
        <f>'Prior Year'!AS71</f>
        <v>0</v>
      </c>
      <c r="C538" s="242">
        <f>AS71</f>
        <v>0</v>
      </c>
      <c r="D538" s="242">
        <f>'Prior Year'!AS59</f>
        <v>0</v>
      </c>
      <c r="E538" s="180">
        <f>AS59</f>
        <v>0</v>
      </c>
      <c r="F538" s="265" t="str">
        <f t="shared" si="18"/>
        <v/>
      </c>
      <c r="G538" s="265" t="str">
        <f t="shared" si="18"/>
        <v/>
      </c>
      <c r="H538" s="267" t="str">
        <f t="shared" si="16"/>
        <v/>
      </c>
      <c r="I538" s="269"/>
      <c r="K538" s="263"/>
      <c r="L538" s="263"/>
    </row>
    <row r="539" spans="1:12" ht="12.6" customHeight="1" x14ac:dyDescent="0.25">
      <c r="A539" s="180" t="s">
        <v>554</v>
      </c>
      <c r="B539" s="242">
        <f>'Prior Year'!AT71</f>
        <v>-9895</v>
      </c>
      <c r="C539" s="242">
        <f>AT71</f>
        <v>0</v>
      </c>
      <c r="D539" s="242">
        <f>'Prior Year'!AT59</f>
        <v>0</v>
      </c>
      <c r="E539" s="180">
        <f>AT59</f>
        <v>0</v>
      </c>
      <c r="F539" s="265" t="str">
        <f t="shared" si="18"/>
        <v/>
      </c>
      <c r="G539" s="265" t="str">
        <f t="shared" si="18"/>
        <v/>
      </c>
      <c r="H539" s="267" t="str">
        <f t="shared" si="16"/>
        <v/>
      </c>
      <c r="I539" s="269"/>
      <c r="K539" s="263"/>
      <c r="L539" s="263"/>
    </row>
    <row r="540" spans="1:12" ht="12.6" customHeight="1" x14ac:dyDescent="0.25">
      <c r="A540" s="180" t="s">
        <v>555</v>
      </c>
      <c r="B540" s="242">
        <f>'Prior Year'!AU71</f>
        <v>0</v>
      </c>
      <c r="C540" s="242">
        <f>AU71</f>
        <v>0</v>
      </c>
      <c r="D540" s="242">
        <f>'Prior Year'!AU59</f>
        <v>0</v>
      </c>
      <c r="E540" s="180">
        <f>AU59</f>
        <v>0</v>
      </c>
      <c r="F540" s="265" t="str">
        <f t="shared" si="18"/>
        <v/>
      </c>
      <c r="G540" s="265" t="str">
        <f t="shared" si="18"/>
        <v/>
      </c>
      <c r="H540" s="267" t="str">
        <f t="shared" si="16"/>
        <v/>
      </c>
      <c r="I540" s="269"/>
      <c r="K540" s="263"/>
      <c r="L540" s="263"/>
    </row>
    <row r="541" spans="1:12" ht="12.6" customHeight="1" x14ac:dyDescent="0.25">
      <c r="A541" s="180" t="s">
        <v>556</v>
      </c>
      <c r="B541" s="242">
        <f>'Prior Year'!AV71</f>
        <v>890794</v>
      </c>
      <c r="C541" s="242">
        <f>AV71</f>
        <v>0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1249</v>
      </c>
      <c r="B542" s="242">
        <f>'Prior Year'!AW71</f>
        <v>26683</v>
      </c>
      <c r="C542" s="242">
        <f>AW71</f>
        <v>0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557</v>
      </c>
      <c r="B543" s="242">
        <f>'Prior Year'!AX71</f>
        <v>0</v>
      </c>
      <c r="C543" s="242">
        <f>AX71</f>
        <v>0</v>
      </c>
      <c r="D543" s="181" t="s">
        <v>529</v>
      </c>
      <c r="E543" s="181" t="s">
        <v>529</v>
      </c>
      <c r="F543" s="265"/>
      <c r="G543" s="265"/>
      <c r="H543" s="267"/>
      <c r="I543" s="269"/>
      <c r="K543" s="263"/>
      <c r="L543" s="263"/>
    </row>
    <row r="544" spans="1:12" ht="12.6" customHeight="1" x14ac:dyDescent="0.25">
      <c r="A544" s="180" t="s">
        <v>558</v>
      </c>
      <c r="B544" s="242">
        <f>'Prior Year'!AY71</f>
        <v>1242846</v>
      </c>
      <c r="C544" s="242">
        <f>AY71</f>
        <v>1609482.1700000002</v>
      </c>
      <c r="D544" s="242">
        <f>'Prior Year'!AY59</f>
        <v>115540</v>
      </c>
      <c r="E544" s="180">
        <f>AY59</f>
        <v>118376</v>
      </c>
      <c r="F544" s="265">
        <f t="shared" ref="F544:G550" si="19">IF(B544=0,"",IF(D544=0,"",B544/D544))</f>
        <v>10.756846113899948</v>
      </c>
      <c r="G544" s="265">
        <f t="shared" si="19"/>
        <v>13.596355426775698</v>
      </c>
      <c r="H544" s="267">
        <f t="shared" si="16"/>
        <v>0.26397229102371833</v>
      </c>
      <c r="I544" s="269"/>
      <c r="K544" s="263"/>
      <c r="L544" s="263"/>
    </row>
    <row r="545" spans="1:13" ht="12.6" customHeight="1" x14ac:dyDescent="0.25">
      <c r="A545" s="180" t="s">
        <v>559</v>
      </c>
      <c r="B545" s="242">
        <f>'Prior Year'!AZ71</f>
        <v>776723</v>
      </c>
      <c r="C545" s="242">
        <f>AZ71</f>
        <v>355424.08000000007</v>
      </c>
      <c r="D545" s="242">
        <f>'Prior Year'!AZ59</f>
        <v>133594</v>
      </c>
      <c r="E545" s="180">
        <f>AZ59</f>
        <v>0</v>
      </c>
      <c r="F545" s="265">
        <f t="shared" si="19"/>
        <v>5.8140560204799616</v>
      </c>
      <c r="G545" s="265" t="str">
        <f t="shared" si="19"/>
        <v/>
      </c>
      <c r="H545" s="267" t="str">
        <f t="shared" si="16"/>
        <v/>
      </c>
      <c r="I545" s="269"/>
      <c r="K545" s="263"/>
      <c r="L545" s="263"/>
    </row>
    <row r="546" spans="1:13" ht="12.6" customHeight="1" x14ac:dyDescent="0.25">
      <c r="A546" s="180" t="s">
        <v>560</v>
      </c>
      <c r="B546" s="242">
        <f>'Prior Year'!BA71</f>
        <v>601697</v>
      </c>
      <c r="C546" s="242">
        <f>BA71</f>
        <v>788363.03999999992</v>
      </c>
      <c r="D546" s="242">
        <f>'Prior Year'!BA59</f>
        <v>0</v>
      </c>
      <c r="E546" s="180">
        <f>BA59</f>
        <v>0</v>
      </c>
      <c r="F546" s="265" t="str">
        <f t="shared" si="19"/>
        <v/>
      </c>
      <c r="G546" s="265" t="str">
        <f t="shared" si="19"/>
        <v/>
      </c>
      <c r="H546" s="267" t="str">
        <f t="shared" si="16"/>
        <v/>
      </c>
      <c r="I546" s="269"/>
      <c r="K546" s="263"/>
      <c r="L546" s="263"/>
    </row>
    <row r="547" spans="1:13" ht="12.6" customHeight="1" x14ac:dyDescent="0.25">
      <c r="A547" s="180" t="s">
        <v>561</v>
      </c>
      <c r="B547" s="242">
        <f>'Prior Year'!BB71</f>
        <v>1062380</v>
      </c>
      <c r="C547" s="242">
        <f>BB71</f>
        <v>1233629.5399999998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562</v>
      </c>
      <c r="B548" s="242">
        <f>'Prior Year'!BC71</f>
        <v>103266</v>
      </c>
      <c r="C548" s="242">
        <f>BC71</f>
        <v>0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563</v>
      </c>
      <c r="B549" s="242">
        <f>'Prior Year'!BD71</f>
        <v>111193</v>
      </c>
      <c r="C549" s="242">
        <f>BD71</f>
        <v>-443745.68999999994</v>
      </c>
      <c r="D549" s="181" t="s">
        <v>529</v>
      </c>
      <c r="E549" s="181" t="s">
        <v>529</v>
      </c>
      <c r="F549" s="265"/>
      <c r="G549" s="265"/>
      <c r="H549" s="267"/>
      <c r="I549" s="269"/>
      <c r="K549" s="263"/>
      <c r="L549" s="263"/>
    </row>
    <row r="550" spans="1:13" ht="12.6" customHeight="1" x14ac:dyDescent="0.25">
      <c r="A550" s="180" t="s">
        <v>564</v>
      </c>
      <c r="B550" s="242">
        <f>'Prior Year'!BE71</f>
        <v>4499172</v>
      </c>
      <c r="C550" s="242">
        <f>BE71</f>
        <v>17414957.060000002</v>
      </c>
      <c r="D550" s="242">
        <f>'Prior Year'!BE59</f>
        <v>383056</v>
      </c>
      <c r="E550" s="180">
        <f>BE59</f>
        <v>1146016.9638239993</v>
      </c>
      <c r="F550" s="265">
        <f t="shared" si="19"/>
        <v>11.745468025562841</v>
      </c>
      <c r="G550" s="265">
        <f t="shared" si="19"/>
        <v>15.196072667101046</v>
      </c>
      <c r="H550" s="267">
        <f t="shared" si="16"/>
        <v>0.29378179175391783</v>
      </c>
      <c r="I550" s="269"/>
      <c r="K550" s="263"/>
      <c r="L550" s="263"/>
    </row>
    <row r="551" spans="1:13" ht="12.6" customHeight="1" x14ac:dyDescent="0.25">
      <c r="A551" s="180" t="s">
        <v>565</v>
      </c>
      <c r="B551" s="242">
        <f>'Prior Year'!BF71</f>
        <v>1757592</v>
      </c>
      <c r="C551" s="242">
        <f>BF71</f>
        <v>2313163.3799999994</v>
      </c>
      <c r="D551" s="181" t="s">
        <v>529</v>
      </c>
      <c r="E551" s="181" t="s">
        <v>529</v>
      </c>
      <c r="F551" s="265"/>
      <c r="G551" s="265"/>
      <c r="H551" s="267"/>
      <c r="I551" s="269"/>
      <c r="J551" s="199"/>
      <c r="M551" s="267"/>
    </row>
    <row r="552" spans="1:13" ht="12.6" customHeight="1" x14ac:dyDescent="0.25">
      <c r="A552" s="180" t="s">
        <v>566</v>
      </c>
      <c r="B552" s="242">
        <f>'Prior Year'!BG71</f>
        <v>0</v>
      </c>
      <c r="C552" s="242">
        <f>BG71</f>
        <v>0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567</v>
      </c>
      <c r="B553" s="242">
        <f>'Prior Year'!BH71</f>
        <v>0</v>
      </c>
      <c r="C553" s="242">
        <f>BH71</f>
        <v>0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568</v>
      </c>
      <c r="B554" s="242">
        <f>'Prior Year'!BI71</f>
        <v>17876</v>
      </c>
      <c r="C554" s="242">
        <f>BI71</f>
        <v>0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569</v>
      </c>
      <c r="B555" s="242">
        <f>'Prior Year'!BJ71</f>
        <v>22827441</v>
      </c>
      <c r="C555" s="242">
        <f>BJ71</f>
        <v>0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570</v>
      </c>
      <c r="B556" s="242">
        <f>'Prior Year'!BK71</f>
        <v>-1344226</v>
      </c>
      <c r="C556" s="242">
        <f>BK71</f>
        <v>0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571</v>
      </c>
      <c r="B557" s="242">
        <f>'Prior Year'!BL71</f>
        <v>1518963</v>
      </c>
      <c r="C557" s="242">
        <f>BL71</f>
        <v>1216301.1400000001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572</v>
      </c>
      <c r="B558" s="242">
        <f>'Prior Year'!BM71</f>
        <v>0</v>
      </c>
      <c r="C558" s="242">
        <f>BM71</f>
        <v>0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573</v>
      </c>
      <c r="B559" s="242">
        <f>'Prior Year'!BN71</f>
        <v>1458046</v>
      </c>
      <c r="C559" s="242">
        <f>BN71</f>
        <v>5427930.9800000004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574</v>
      </c>
      <c r="B560" s="242">
        <f>'Prior Year'!BO71</f>
        <v>0</v>
      </c>
      <c r="C560" s="242">
        <f>BO71</f>
        <v>0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575</v>
      </c>
      <c r="B561" s="242">
        <f>'Prior Year'!BP71</f>
        <v>0</v>
      </c>
      <c r="C561" s="242">
        <f>BP71</f>
        <v>0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576</v>
      </c>
      <c r="B562" s="242">
        <f>'Prior Year'!BQ71</f>
        <v>0</v>
      </c>
      <c r="C562" s="242">
        <f>BQ71</f>
        <v>0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577</v>
      </c>
      <c r="B563" s="242">
        <f>'Prior Year'!BR71</f>
        <v>0</v>
      </c>
      <c r="C563" s="242">
        <f>BR71</f>
        <v>0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1250</v>
      </c>
      <c r="B564" s="242">
        <f>'Prior Year'!BS71</f>
        <v>399757</v>
      </c>
      <c r="C564" s="242">
        <f>BS71</f>
        <v>102755.40999999999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578</v>
      </c>
      <c r="B565" s="242">
        <f>'Prior Year'!BT71</f>
        <v>0</v>
      </c>
      <c r="C565" s="242">
        <f>BT71</f>
        <v>0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579</v>
      </c>
      <c r="B566" s="242">
        <f>'Prior Year'!BU71</f>
        <v>0</v>
      </c>
      <c r="C566" s="242">
        <f>BU71</f>
        <v>0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580</v>
      </c>
      <c r="B567" s="242">
        <f>'Prior Year'!BV71</f>
        <v>0</v>
      </c>
      <c r="C567" s="242">
        <f>BV71</f>
        <v>0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581</v>
      </c>
      <c r="B568" s="242">
        <f>'Prior Year'!BW71</f>
        <v>0</v>
      </c>
      <c r="C568" s="242">
        <f>BW71</f>
        <v>559042.80000000016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582</v>
      </c>
      <c r="B569" s="242">
        <f>'Prior Year'!BX71</f>
        <v>0</v>
      </c>
      <c r="C569" s="242">
        <f>BX71</f>
        <v>0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583</v>
      </c>
      <c r="B570" s="242">
        <f>'Prior Year'!BY71</f>
        <v>702101</v>
      </c>
      <c r="C570" s="242">
        <f>BY71</f>
        <v>904044.56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584</v>
      </c>
      <c r="B571" s="242">
        <f>'Prior Year'!BZ71</f>
        <v>834045</v>
      </c>
      <c r="C571" s="242">
        <f>BZ71</f>
        <v>0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585</v>
      </c>
      <c r="B572" s="242">
        <f>'Prior Year'!CA71</f>
        <v>2727</v>
      </c>
      <c r="C572" s="242">
        <f>CA71</f>
        <v>37368.509999999995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586</v>
      </c>
      <c r="B573" s="242">
        <f>'Prior Year'!CB71</f>
        <v>0</v>
      </c>
      <c r="C573" s="242">
        <f>CB71</f>
        <v>0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587</v>
      </c>
      <c r="B574" s="242">
        <f>'Prior Year'!CC71</f>
        <v>55531864</v>
      </c>
      <c r="C574" s="242">
        <f>CC71</f>
        <v>68389256.231280312</v>
      </c>
      <c r="D574" s="181" t="s">
        <v>529</v>
      </c>
      <c r="E574" s="181" t="s">
        <v>529</v>
      </c>
      <c r="F574" s="265"/>
      <c r="G574" s="265"/>
      <c r="H574" s="267"/>
      <c r="J574" s="199"/>
      <c r="M574" s="267"/>
    </row>
    <row r="575" spans="1:13" ht="12.6" customHeight="1" x14ac:dyDescent="0.25">
      <c r="A575" s="180" t="s">
        <v>588</v>
      </c>
      <c r="B575" s="242">
        <f>'Prior Year'!CD71</f>
        <v>17550552</v>
      </c>
      <c r="C575" s="242">
        <f>CD71</f>
        <v>19805053.510000002</v>
      </c>
      <c r="D575" s="181" t="s">
        <v>529</v>
      </c>
      <c r="E575" s="181" t="s">
        <v>529</v>
      </c>
      <c r="F575" s="265"/>
      <c r="G575" s="265"/>
      <c r="H575" s="267"/>
    </row>
    <row r="576" spans="1:13" ht="12.6" customHeight="1" x14ac:dyDescent="0.25">
      <c r="M576" s="267"/>
    </row>
    <row r="577" spans="13:13" ht="12.6" customHeight="1" x14ac:dyDescent="0.25">
      <c r="M577" s="267"/>
    </row>
    <row r="578" spans="13:13" ht="12.6" customHeight="1" x14ac:dyDescent="0.25">
      <c r="M578" s="267"/>
    </row>
    <row r="612" spans="1:14" ht="12.6" customHeight="1" x14ac:dyDescent="0.25">
      <c r="A612" s="196"/>
      <c r="C612" s="181" t="s">
        <v>589</v>
      </c>
      <c r="D612" s="180">
        <f>CE76-(BE76+CD76)</f>
        <v>464002.68419799989</v>
      </c>
      <c r="E612" s="180">
        <f>SUM(C624:D647)+SUM(C668:D713)</f>
        <v>131044482.19276589</v>
      </c>
      <c r="F612" s="180">
        <f>CE64-(AX64+BD64+BE64+BG64+BJ64+BN64+BP64+BQ64+CB64+CC64+CD64)</f>
        <v>33929175.140000008</v>
      </c>
      <c r="G612" s="180">
        <f>CE77-(AX77+AY77+BD77+BE77+BG77+BJ77+BN77+BP77+BQ77+CB77+CC77+CD77)</f>
        <v>118376</v>
      </c>
      <c r="H612" s="197">
        <f>CE60-(AX60+AY60+AZ60+BD60+BE60+BG60+BJ60+BN60+BO60+BP60+BQ60+BR60+CB60+CC60+CD60)</f>
        <v>616.85006249999981</v>
      </c>
      <c r="I612" s="180">
        <f>CE78-(AX78+AY78+AZ78+BD78+BE78+BF78+BG78+BJ78+BN78+BO78+BP78+BQ78+BR78+CB78+CC78+CD78)</f>
        <v>10000.380595639394</v>
      </c>
      <c r="J612" s="180">
        <f>CE79-(AX79+AY79+AZ79+BA79+BD79+BE79+BF79+BG79+BJ79+BN79+BO79+BP79+BQ79+BR79+CB79+CC79+CD79)</f>
        <v>10590.8</v>
      </c>
      <c r="K612" s="180">
        <f>CE75-(AW75+AX75+AY75+AZ75+BA75+BB75+BC75+BD75+BE75+BF75+BG75+BH75+BI75+BJ75+BK75+BL75+BM75+BN75+BO75+BP75+BQ75+BR75+BS75+BT75+BU75+BV75+BW75+BX75+CB75+CC75+CD75)</f>
        <v>636917206.50999999</v>
      </c>
      <c r="L612" s="197">
        <f>CE80-(AW80+AX80+AY80+AZ80+BA80+BB80+BC80+BD80+BE80+BF80+BG80+BH80+BI80+BJ80+BK80+BL80+BM80+BN80+BO80+BP80+BQ80+BR80+BS80+BT80+BU80+BV80+BW80+BX80+BY80+BZ80+CA80+CB80+CC80+CD80)</f>
        <v>221.33472115384615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17414957.060000002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19805053.510000002</v>
      </c>
      <c r="D615" s="268">
        <f>SUM(C614:C615)</f>
        <v>37220010.570000008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5427930.9800000004</v>
      </c>
      <c r="D619" s="180">
        <f>(D615/D612)*BN76</f>
        <v>1641169.1973966474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68389256.231280312</v>
      </c>
      <c r="D620" s="180">
        <f>(D615/D612)*CC76</f>
        <v>17935538.589837499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93393894.998514444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-443745.68999999994</v>
      </c>
      <c r="D624" s="180">
        <f>(D615/D612)*BD76</f>
        <v>918410.97892138455</v>
      </c>
      <c r="E624" s="180">
        <f>(E623/E612)*SUM(C624:D624)</f>
        <v>338288.49113809183</v>
      </c>
      <c r="F624" s="180">
        <f>SUM(C624:E624)</f>
        <v>812953.78005947638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1609482.1700000002</v>
      </c>
      <c r="D625" s="180">
        <f>(D615/D612)*AY76</f>
        <v>942017.09718354046</v>
      </c>
      <c r="E625" s="180">
        <f>(E623/E612)*SUM(C625:D625)</f>
        <v>1818424.1767432524</v>
      </c>
      <c r="F625" s="180">
        <f>(F624/F612)*AY64</f>
        <v>6552.6805758722194</v>
      </c>
      <c r="G625" s="180">
        <f>SUM(C625:F625)</f>
        <v>4376476.1245026644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355424.08000000007</v>
      </c>
      <c r="D628" s="180">
        <f>(D615/D612)*AZ76</f>
        <v>0</v>
      </c>
      <c r="E628" s="180">
        <f>(E623/E612)*SUM(C628:D628)</f>
        <v>253306.65322203128</v>
      </c>
      <c r="F628" s="180">
        <f>(F624/F612)*AZ64</f>
        <v>13779.161915253244</v>
      </c>
      <c r="G628" s="180">
        <f>(G625/G612)*AZ77</f>
        <v>0</v>
      </c>
      <c r="H628" s="180">
        <f>SUM(C626:G628)</f>
        <v>622509.89513728465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2313163.3799999994</v>
      </c>
      <c r="D629" s="180">
        <f>(D615/D612)*BF76</f>
        <v>335597.15250724129</v>
      </c>
      <c r="E629" s="180">
        <f>(E623/E612)*SUM(C629:D629)</f>
        <v>1887741.161701859</v>
      </c>
      <c r="F629" s="180">
        <f>(F624/F612)*BF64</f>
        <v>4054.8319412021006</v>
      </c>
      <c r="G629" s="180">
        <f>(G625/G612)*BF77</f>
        <v>0</v>
      </c>
      <c r="H629" s="180">
        <f>(H628/H612)*BF60</f>
        <v>33137.142017364858</v>
      </c>
      <c r="I629" s="180">
        <f>SUM(C629:H629)</f>
        <v>4573693.6681676665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788363.03999999992</v>
      </c>
      <c r="D630" s="180">
        <f>(D615/D612)*BA76</f>
        <v>0</v>
      </c>
      <c r="E630" s="180">
        <f>(E623/E612)*SUM(C630:D630)</f>
        <v>561857.26973351475</v>
      </c>
      <c r="F630" s="180">
        <f>(F624/F612)*BA64</f>
        <v>0</v>
      </c>
      <c r="G630" s="180">
        <f>(G625/G612)*BA77</f>
        <v>0</v>
      </c>
      <c r="H630" s="180">
        <f>(H628/H612)*BA60</f>
        <v>1158.9069231751032</v>
      </c>
      <c r="I630" s="180">
        <f>(I629/I612)*BA78</f>
        <v>0</v>
      </c>
      <c r="J630" s="180">
        <f>SUM(C630:I630)</f>
        <v>1351379.2166566898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1233629.5399999998</v>
      </c>
      <c r="D632" s="180">
        <f>(D615/D612)*BB76</f>
        <v>7226.8914407010561</v>
      </c>
      <c r="E632" s="180">
        <f>(E623/E612)*SUM(C632:D632)</f>
        <v>884344.10458986566</v>
      </c>
      <c r="F632" s="180">
        <f>(F624/F612)*BB64</f>
        <v>0</v>
      </c>
      <c r="G632" s="180">
        <f>(G625/G612)*BB77</f>
        <v>0</v>
      </c>
      <c r="H632" s="180">
        <f>(H628/H612)*BB60</f>
        <v>13626.963057563504</v>
      </c>
      <c r="I632" s="180">
        <f>(I629/I612)*BB78</f>
        <v>2139.7678333281178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1216301.1400000001</v>
      </c>
      <c r="D637" s="180">
        <f>(D615/D612)*BL76</f>
        <v>0</v>
      </c>
      <c r="E637" s="180">
        <f>(E623/E612)*SUM(C637:D637)</f>
        <v>866843.83085001248</v>
      </c>
      <c r="F637" s="180">
        <f>(F624/F612)*BL64</f>
        <v>557.30977720578323</v>
      </c>
      <c r="G637" s="180">
        <f>(G625/G612)*BL77</f>
        <v>0</v>
      </c>
      <c r="H637" s="180">
        <f>(H628/H612)*BL60</f>
        <v>22478.251079673068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102755.40999999999</v>
      </c>
      <c r="D639" s="180">
        <f>(D615/D612)*BS76</f>
        <v>120292.77364777046</v>
      </c>
      <c r="E639" s="180">
        <f>(E623/E612)*SUM(C639:D639)</f>
        <v>158963.87466788891</v>
      </c>
      <c r="F639" s="180">
        <f>(F624/F612)*BS64</f>
        <v>807.2031809072239</v>
      </c>
      <c r="G639" s="180">
        <f>(G625/G612)*BS77</f>
        <v>0</v>
      </c>
      <c r="H639" s="180">
        <f>(H628/H612)*BS60</f>
        <v>410.73923074606034</v>
      </c>
      <c r="I639" s="180">
        <f>(I629/I612)*BS78</f>
        <v>35616.780706526035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559042.80000000016</v>
      </c>
      <c r="D643" s="180">
        <f>(D615/D612)*BW76</f>
        <v>0</v>
      </c>
      <c r="E643" s="180">
        <f>(E623/E612)*SUM(C643:D643)</f>
        <v>398423.37265351688</v>
      </c>
      <c r="F643" s="180">
        <f>(F624/F612)*BW64</f>
        <v>212.04712513862077</v>
      </c>
      <c r="G643" s="180">
        <f>(G625/G612)*BW77</f>
        <v>0</v>
      </c>
      <c r="H643" s="180">
        <f>(H628/H612)*BW60</f>
        <v>5511.1649621939114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5629183.9648030372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904044.56</v>
      </c>
      <c r="D645" s="180">
        <f>(D615/D612)*BY76</f>
        <v>18779.556605103044</v>
      </c>
      <c r="E645" s="180">
        <f>(E623/E612)*SUM(C645:D645)</f>
        <v>657686.13226716709</v>
      </c>
      <c r="F645" s="180">
        <f>(F624/F612)*BY64</f>
        <v>90.067788703535612</v>
      </c>
      <c r="G645" s="180">
        <f>(G625/G612)*BY77</f>
        <v>0</v>
      </c>
      <c r="H645" s="180">
        <f>(H628/H612)*BY60</f>
        <v>7185.5179134115861</v>
      </c>
      <c r="I645" s="180">
        <f>(I629/I612)*BY78</f>
        <v>5560.3285973624616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37368.509999999995</v>
      </c>
      <c r="D647" s="180">
        <f>(D615/D612)*CA76</f>
        <v>0</v>
      </c>
      <c r="E647" s="180">
        <f>(E623/E612)*SUM(C647:D647)</f>
        <v>26632.107211177154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1657346.7803829252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119713026.72128034</v>
      </c>
      <c r="L648" s="268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6399994.3200000003</v>
      </c>
      <c r="D668" s="180">
        <f>(D615/D612)*C76</f>
        <v>894744.41940162587</v>
      </c>
      <c r="E668" s="180">
        <f>(E623/E612)*SUM(C668:D668)</f>
        <v>5198876.3850972764</v>
      </c>
      <c r="F668" s="180">
        <f>(F624/F612)*C64</f>
        <v>5631.006502958815</v>
      </c>
      <c r="G668" s="180">
        <f>(G625/G612)*C77</f>
        <v>1016882.533362627</v>
      </c>
      <c r="H668" s="180">
        <f>(H628/H612)*C60</f>
        <v>52862.547033793504</v>
      </c>
      <c r="I668" s="180">
        <f>(I629/I612)*C78</f>
        <v>264919.61909140262</v>
      </c>
      <c r="J668" s="180">
        <f>(J630/J612)*C79</f>
        <v>313995.52568646037</v>
      </c>
      <c r="K668" s="180">
        <f>(K644/K612)*C75</f>
        <v>225278.08091230807</v>
      </c>
      <c r="L668" s="180">
        <f>(L647/L612)*C80</f>
        <v>217639.98845526268</v>
      </c>
      <c r="M668" s="180">
        <f t="shared" ref="M668:M713" si="20">ROUND(SUM(D668:L668),0)</f>
        <v>8190830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16868751.600000001</v>
      </c>
      <c r="D670" s="180">
        <f>(D615/D612)*E76</f>
        <v>6817333.0559541285</v>
      </c>
      <c r="E670" s="180">
        <f>(E623/E612)*SUM(C670:D670)</f>
        <v>16880800.063218698</v>
      </c>
      <c r="F670" s="180">
        <f>(F624/F612)*E64</f>
        <v>18727.310415406038</v>
      </c>
      <c r="G670" s="180">
        <f>(G625/G612)*E77</f>
        <v>3359593.5911400379</v>
      </c>
      <c r="H670" s="180">
        <f>(H628/H612)*E60</f>
        <v>143592.66804154983</v>
      </c>
      <c r="I670" s="180">
        <f>(I629/I612)*E78</f>
        <v>2018504.0970810596</v>
      </c>
      <c r="J670" s="180">
        <f>(J630/J612)*E79</f>
        <v>1037383.6909702295</v>
      </c>
      <c r="K670" s="180">
        <f>(K644/K612)*E75</f>
        <v>470869.77267786657</v>
      </c>
      <c r="L670" s="180">
        <f>(L647/L612)*E80</f>
        <v>597059.41791384539</v>
      </c>
      <c r="M670" s="180">
        <f t="shared" si="20"/>
        <v>31343864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1727622.17</v>
      </c>
      <c r="D675" s="180">
        <f>(D615/D612)*J76</f>
        <v>0</v>
      </c>
      <c r="E675" s="180">
        <f>(E623/E612)*SUM(C675:D675)</f>
        <v>1231256.4469882937</v>
      </c>
      <c r="F675" s="180">
        <f>(F624/F612)*J64</f>
        <v>2378.0599899864292</v>
      </c>
      <c r="G675" s="180">
        <f>(G625/G612)*J77</f>
        <v>0</v>
      </c>
      <c r="H675" s="180">
        <f>(H628/H612)*J60</f>
        <v>9097.8906997514641</v>
      </c>
      <c r="I675" s="180">
        <f>(I629/I612)*J78</f>
        <v>0</v>
      </c>
      <c r="J675" s="180">
        <f>(J630/J612)*J79</f>
        <v>0</v>
      </c>
      <c r="K675" s="180">
        <f>(K644/K612)*J75</f>
        <v>72355.994852475924</v>
      </c>
      <c r="L675" s="180">
        <f>(L647/L612)*J80</f>
        <v>48568.636941150391</v>
      </c>
      <c r="M675" s="180">
        <f t="shared" si="20"/>
        <v>1363657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6516777.4400000004</v>
      </c>
      <c r="D680" s="180">
        <f>(D615/D612)*O76</f>
        <v>0</v>
      </c>
      <c r="E680" s="180">
        <f>(E623/E612)*SUM(C680:D680)</f>
        <v>4644432.3162325872</v>
      </c>
      <c r="F680" s="180">
        <f>(F624/F612)*O64</f>
        <v>11463.155311742075</v>
      </c>
      <c r="G680" s="180">
        <f>(G625/G612)*O77</f>
        <v>0</v>
      </c>
      <c r="H680" s="180">
        <f>(H628/H612)*O60</f>
        <v>37906.043933453337</v>
      </c>
      <c r="I680" s="180">
        <f>(I629/I612)*O78</f>
        <v>0</v>
      </c>
      <c r="J680" s="180">
        <f>(J630/J612)*O79</f>
        <v>0</v>
      </c>
      <c r="K680" s="180">
        <f>(K644/K612)*O75</f>
        <v>151245.93624240768</v>
      </c>
      <c r="L680" s="180">
        <f>(L647/L612)*O80</f>
        <v>184401.88110632426</v>
      </c>
      <c r="M680" s="180">
        <f t="shared" si="20"/>
        <v>5029449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15847192.83</v>
      </c>
      <c r="D681" s="180">
        <f>(D615/D612)*P76</f>
        <v>785443.08357224823</v>
      </c>
      <c r="E681" s="180">
        <f>(E623/E612)*SUM(C681:D681)</f>
        <v>11853888.2833362</v>
      </c>
      <c r="F681" s="180">
        <f>(F624/F612)*P64</f>
        <v>202649.9153044718</v>
      </c>
      <c r="G681" s="180">
        <f>(G625/G612)*P77</f>
        <v>0</v>
      </c>
      <c r="H681" s="180">
        <f>(H628/H612)*P60</f>
        <v>60149.54044256937</v>
      </c>
      <c r="I681" s="180">
        <f>(I629/I612)*P78</f>
        <v>232557.22864088154</v>
      </c>
      <c r="J681" s="180">
        <f>(J630/J612)*P79</f>
        <v>0</v>
      </c>
      <c r="K681" s="180">
        <f>(K644/K612)*P75</f>
        <v>1246181.3345501393</v>
      </c>
      <c r="L681" s="180">
        <f>(L647/L612)*P80</f>
        <v>246450.29613954431</v>
      </c>
      <c r="M681" s="180">
        <f t="shared" si="20"/>
        <v>14627320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3303242.8999999994</v>
      </c>
      <c r="D682" s="180">
        <f>(D615/D612)*Q76</f>
        <v>536300.96604615368</v>
      </c>
      <c r="E682" s="180">
        <f>(E623/E612)*SUM(C682:D682)</f>
        <v>2736398.7454292066</v>
      </c>
      <c r="F682" s="180">
        <f>(F624/F612)*Q64</f>
        <v>2138.8682221139629</v>
      </c>
      <c r="G682" s="180">
        <f>(G625/G612)*Q77</f>
        <v>0</v>
      </c>
      <c r="H682" s="180">
        <f>(H628/H612)*Q60</f>
        <v>24212.674224919203</v>
      </c>
      <c r="I682" s="180">
        <f>(I629/I612)*Q78</f>
        <v>158790.20261262343</v>
      </c>
      <c r="J682" s="180">
        <f>(J630/J612)*Q79</f>
        <v>0</v>
      </c>
      <c r="K682" s="180">
        <f>(K644/K612)*Q75</f>
        <v>116808.43600706583</v>
      </c>
      <c r="L682" s="180">
        <f>(L647/L612)*Q80</f>
        <v>106979.91667846724</v>
      </c>
      <c r="M682" s="180">
        <f t="shared" si="20"/>
        <v>3681630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635751.75</v>
      </c>
      <c r="D683" s="180">
        <f>(D615/D612)*R76</f>
        <v>0</v>
      </c>
      <c r="E683" s="180">
        <f>(E623/E612)*SUM(C683:D683)</f>
        <v>453092.9589029238</v>
      </c>
      <c r="F683" s="180">
        <f>(F624/F612)*R64</f>
        <v>6705.0643561215102</v>
      </c>
      <c r="G683" s="180">
        <f>(G625/G612)*R77</f>
        <v>0</v>
      </c>
      <c r="H683" s="180">
        <f>(H628/H612)*R60</f>
        <v>3748.2859823643957</v>
      </c>
      <c r="I683" s="180">
        <f>(I629/I612)*R78</f>
        <v>0</v>
      </c>
      <c r="J683" s="180">
        <f>(J630/J612)*R79</f>
        <v>0</v>
      </c>
      <c r="K683" s="180">
        <f>(K644/K612)*R75</f>
        <v>326867.17002845794</v>
      </c>
      <c r="L683" s="180">
        <f>(L647/L612)*R80</f>
        <v>0</v>
      </c>
      <c r="M683" s="180">
        <f t="shared" si="20"/>
        <v>790413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11829779.68</v>
      </c>
      <c r="D684" s="180">
        <f>(D615/D612)*S76</f>
        <v>747011.90823293698</v>
      </c>
      <c r="E684" s="180">
        <f>(E623/E612)*SUM(C684:D684)</f>
        <v>8963334.6887647007</v>
      </c>
      <c r="F684" s="180">
        <f>(F624/F612)*S64</f>
        <v>242668.1440986057</v>
      </c>
      <c r="G684" s="180">
        <f>(G625/G612)*S77</f>
        <v>0</v>
      </c>
      <c r="H684" s="180">
        <f>(H628/H612)*S60</f>
        <v>14921.623476329931</v>
      </c>
      <c r="I684" s="180">
        <f>(I629/I612)*S78</f>
        <v>221178.36769315519</v>
      </c>
      <c r="J684" s="180">
        <f>(J630/J612)*S79</f>
        <v>0</v>
      </c>
      <c r="K684" s="180">
        <f>(K644/K612)*S75</f>
        <v>439580.08752890449</v>
      </c>
      <c r="L684" s="180">
        <f>(L647/L612)*S80</f>
        <v>0</v>
      </c>
      <c r="M684" s="180">
        <f t="shared" si="20"/>
        <v>10628695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529029.78999999992</v>
      </c>
      <c r="D685" s="180">
        <f>(D615/D612)*T76</f>
        <v>0</v>
      </c>
      <c r="E685" s="180">
        <f>(E623/E612)*SUM(C685:D685)</f>
        <v>377033.44567890273</v>
      </c>
      <c r="F685" s="180">
        <f>(F624/F612)*T64</f>
        <v>2212.5358928794321</v>
      </c>
      <c r="G685" s="180">
        <f>(G625/G612)*T77</f>
        <v>0</v>
      </c>
      <c r="H685" s="180">
        <f>(H628/H612)*T60</f>
        <v>3733.5170888483135</v>
      </c>
      <c r="I685" s="180">
        <f>(I629/I612)*T78</f>
        <v>0</v>
      </c>
      <c r="J685" s="180">
        <f>(J630/J612)*T79</f>
        <v>0</v>
      </c>
      <c r="K685" s="180">
        <f>(K644/K612)*T75</f>
        <v>25513.993512157678</v>
      </c>
      <c r="L685" s="180">
        <f>(L647/L612)*T80</f>
        <v>26149.77590317831</v>
      </c>
      <c r="M685" s="180">
        <f t="shared" si="20"/>
        <v>434643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6038111.8999999994</v>
      </c>
      <c r="D686" s="180">
        <f>(D615/D612)*U76</f>
        <v>423934.45999540586</v>
      </c>
      <c r="E686" s="180">
        <f>(E623/E612)*SUM(C686:D686)</f>
        <v>4605426.1051081438</v>
      </c>
      <c r="F686" s="180">
        <f>(F624/F612)*U64</f>
        <v>19663.7648888519</v>
      </c>
      <c r="G686" s="180">
        <f>(G625/G612)*U77</f>
        <v>0</v>
      </c>
      <c r="H686" s="180">
        <f>(H628/H612)*U60</f>
        <v>2589.0442846647816</v>
      </c>
      <c r="I686" s="180">
        <f>(I629/I612)*U78</f>
        <v>125520.2639171647</v>
      </c>
      <c r="J686" s="180">
        <f>(J630/J612)*U79</f>
        <v>0</v>
      </c>
      <c r="K686" s="180">
        <f>(K644/K612)*U75</f>
        <v>258049.90862987249</v>
      </c>
      <c r="L686" s="180">
        <f>(L647/L612)*U80</f>
        <v>0</v>
      </c>
      <c r="M686" s="180">
        <f t="shared" si="20"/>
        <v>5435184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4832033.54</v>
      </c>
      <c r="D687" s="180">
        <f>(D615/D612)*V76</f>
        <v>0</v>
      </c>
      <c r="E687" s="180">
        <f>(E623/E612)*SUM(C687:D687)</f>
        <v>3443734.7190263644</v>
      </c>
      <c r="F687" s="180">
        <f>(F624/F612)*V64</f>
        <v>38381.429120377426</v>
      </c>
      <c r="G687" s="180">
        <f>(G625/G612)*V77</f>
        <v>0</v>
      </c>
      <c r="H687" s="180">
        <f>(H628/H612)*V60</f>
        <v>23568.781519168097</v>
      </c>
      <c r="I687" s="180">
        <f>(I629/I612)*V78</f>
        <v>0</v>
      </c>
      <c r="J687" s="180">
        <f>(J630/J612)*V79</f>
        <v>0</v>
      </c>
      <c r="K687" s="180">
        <f>(K644/K612)*V75</f>
        <v>334792.06042162306</v>
      </c>
      <c r="L687" s="180">
        <f>(L647/L612)*V80</f>
        <v>20631.217247997985</v>
      </c>
      <c r="M687" s="180">
        <f t="shared" si="20"/>
        <v>3861108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1338375.9900000002</v>
      </c>
      <c r="D688" s="180">
        <f>(D615/D612)*W76</f>
        <v>0</v>
      </c>
      <c r="E688" s="180">
        <f>(E623/E612)*SUM(C688:D688)</f>
        <v>953845.1721662269</v>
      </c>
      <c r="F688" s="180">
        <f>(F624/F612)*W64</f>
        <v>5413.5869956207207</v>
      </c>
      <c r="G688" s="180">
        <f>(G625/G612)*W77</f>
        <v>0</v>
      </c>
      <c r="H688" s="180">
        <f>(H628/H612)*W60</f>
        <v>6784.0504814530541</v>
      </c>
      <c r="I688" s="180">
        <f>(I629/I612)*W78</f>
        <v>0</v>
      </c>
      <c r="J688" s="180">
        <f>(J630/J612)*W79</f>
        <v>0</v>
      </c>
      <c r="K688" s="180">
        <f>(K644/K612)*W75</f>
        <v>128939.56776086245</v>
      </c>
      <c r="L688" s="180">
        <f>(L647/L612)*W80</f>
        <v>0</v>
      </c>
      <c r="M688" s="180">
        <f t="shared" si="20"/>
        <v>1094982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2726758.61</v>
      </c>
      <c r="D689" s="180">
        <f>(D615/D612)*X76</f>
        <v>0</v>
      </c>
      <c r="E689" s="180">
        <f>(E623/E612)*SUM(C689:D689)</f>
        <v>1943329.4942859749</v>
      </c>
      <c r="F689" s="180">
        <f>(F624/F612)*X64</f>
        <v>10917.138271377044</v>
      </c>
      <c r="G689" s="180">
        <f>(G625/G612)*X77</f>
        <v>0</v>
      </c>
      <c r="H689" s="180">
        <f>(H628/H612)*X60</f>
        <v>17288.712251244309</v>
      </c>
      <c r="I689" s="180">
        <f>(I629/I612)*X78</f>
        <v>0</v>
      </c>
      <c r="J689" s="180">
        <f>(J630/J612)*X79</f>
        <v>0</v>
      </c>
      <c r="K689" s="180">
        <f>(K644/K612)*X75</f>
        <v>192762.82780915106</v>
      </c>
      <c r="L689" s="180">
        <f>(L647/L612)*X80</f>
        <v>10.799950399585748</v>
      </c>
      <c r="M689" s="180">
        <f t="shared" si="20"/>
        <v>2164309</v>
      </c>
      <c r="N689" s="198" t="s">
        <v>699</v>
      </c>
    </row>
    <row r="690" spans="1:14" ht="12.6" customHeight="1" x14ac:dyDescent="0.25">
      <c r="A690" s="196">
        <v>7140</v>
      </c>
      <c r="B690" s="198" t="s">
        <v>1251</v>
      </c>
      <c r="C690" s="180">
        <f>Y71</f>
        <v>4247592.92</v>
      </c>
      <c r="D690" s="180">
        <f>(D615/D612)*Y76</f>
        <v>1235565.3116963762</v>
      </c>
      <c r="E690" s="180">
        <f>(E623/E612)*SUM(C690:D690)</f>
        <v>3907783.7966348259</v>
      </c>
      <c r="F690" s="180">
        <f>(F624/F612)*Y64</f>
        <v>13497.326773821274</v>
      </c>
      <c r="G690" s="180">
        <f>(G625/G612)*Y77</f>
        <v>0</v>
      </c>
      <c r="H690" s="180">
        <f>(H628/H612)*Y60</f>
        <v>31991.863813600623</v>
      </c>
      <c r="I690" s="180">
        <f>(I629/I612)*Y78</f>
        <v>365831.27498694888</v>
      </c>
      <c r="J690" s="180">
        <f>(J630/J612)*Y79</f>
        <v>0</v>
      </c>
      <c r="K690" s="180">
        <f>(K644/K612)*Y75</f>
        <v>238788.62146971512</v>
      </c>
      <c r="L690" s="180">
        <f>(L647/L612)*Y80</f>
        <v>8.09996279968931</v>
      </c>
      <c r="M690" s="180">
        <f t="shared" si="20"/>
        <v>5793466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211598.72999999998</v>
      </c>
      <c r="D692" s="180">
        <f>(D615/D612)*AA76</f>
        <v>0</v>
      </c>
      <c r="E692" s="180">
        <f>(E623/E612)*SUM(C692:D692)</f>
        <v>150803.98076104527</v>
      </c>
      <c r="F692" s="180">
        <f>(F624/F612)*AA64</f>
        <v>2421.6816632747909</v>
      </c>
      <c r="G692" s="180">
        <f>(G625/G612)*AA77</f>
        <v>0</v>
      </c>
      <c r="H692" s="180">
        <f>(H628/H612)*AA60</f>
        <v>815.43796463682406</v>
      </c>
      <c r="I692" s="180">
        <f>(I629/I612)*AA78</f>
        <v>0</v>
      </c>
      <c r="J692" s="180">
        <f>(J630/J612)*AA79</f>
        <v>0</v>
      </c>
      <c r="K692" s="180">
        <f>(K644/K612)*AA75</f>
        <v>23731.455787434443</v>
      </c>
      <c r="L692" s="180">
        <f>(L647/L612)*AA80</f>
        <v>0</v>
      </c>
      <c r="M692" s="180">
        <f t="shared" si="20"/>
        <v>177773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10149148.4</v>
      </c>
      <c r="D693" s="180">
        <f>(D615/D612)*AB76</f>
        <v>367673.49853495689</v>
      </c>
      <c r="E693" s="180">
        <f>(E623/E612)*SUM(C693:D693)</f>
        <v>7495217.9876221623</v>
      </c>
      <c r="F693" s="180">
        <f>(F624/F612)*AB64</f>
        <v>175289.55472497657</v>
      </c>
      <c r="G693" s="180">
        <f>(G625/G612)*AB77</f>
        <v>0</v>
      </c>
      <c r="H693" s="180">
        <f>(H628/H612)*AB60</f>
        <v>17261.420849789654</v>
      </c>
      <c r="I693" s="180">
        <f>(I629/I612)*AB78</f>
        <v>108862.28633538116</v>
      </c>
      <c r="J693" s="180">
        <f>(J630/J612)*AB79</f>
        <v>0</v>
      </c>
      <c r="K693" s="180">
        <f>(K644/K612)*AB75</f>
        <v>462728.1231058815</v>
      </c>
      <c r="L693" s="180">
        <f>(L647/L612)*AB80</f>
        <v>0</v>
      </c>
      <c r="M693" s="180">
        <f t="shared" si="20"/>
        <v>8627033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1842591.74</v>
      </c>
      <c r="D694" s="180">
        <f>(D615/D612)*AC76</f>
        <v>136689.26941142839</v>
      </c>
      <c r="E694" s="180">
        <f>(E623/E612)*SUM(C694:D694)</f>
        <v>1410610.8068984314</v>
      </c>
      <c r="F694" s="180">
        <f>(F624/F612)*AC64</f>
        <v>5108.7233542523672</v>
      </c>
      <c r="G694" s="180">
        <f>(G625/G612)*AC77</f>
        <v>0</v>
      </c>
      <c r="H694" s="180">
        <f>(H628/H612)*AC60</f>
        <v>15645.274999594465</v>
      </c>
      <c r="I694" s="180">
        <f>(I629/I612)*AC78</f>
        <v>40471.522818298028</v>
      </c>
      <c r="J694" s="180">
        <f>(J630/J612)*AC79</f>
        <v>0</v>
      </c>
      <c r="K694" s="180">
        <f>(K644/K612)*AC75</f>
        <v>142125.88748260707</v>
      </c>
      <c r="L694" s="180">
        <f>(L647/L612)*AC80</f>
        <v>0</v>
      </c>
      <c r="M694" s="180">
        <f t="shared" si="20"/>
        <v>1750651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75041.48</v>
      </c>
      <c r="D695" s="180">
        <f>(D615/D612)*AD76</f>
        <v>177451.69996880143</v>
      </c>
      <c r="E695" s="180">
        <f>(E623/E612)*SUM(C695:D695)</f>
        <v>179948.984827604</v>
      </c>
      <c r="F695" s="180">
        <f>(F624/F612)*AD64</f>
        <v>89.360240552833474</v>
      </c>
      <c r="G695" s="180">
        <f>(G625/G612)*AD77</f>
        <v>0</v>
      </c>
      <c r="H695" s="180">
        <f>(H628/H612)*AD60</f>
        <v>231.42138072605442</v>
      </c>
      <c r="I695" s="180">
        <f>(I629/I612)*AD78</f>
        <v>52540.631428912056</v>
      </c>
      <c r="J695" s="180">
        <f>(J630/J612)*AD79</f>
        <v>0</v>
      </c>
      <c r="K695" s="180">
        <f>(K644/K612)*AD75</f>
        <v>5862.9871476972348</v>
      </c>
      <c r="L695" s="180">
        <f>(L647/L612)*AD80</f>
        <v>1653.220407333921</v>
      </c>
      <c r="M695" s="180">
        <f t="shared" si="20"/>
        <v>417778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1764084.6900000002</v>
      </c>
      <c r="D696" s="180">
        <f>(D615/D612)*AE76</f>
        <v>0</v>
      </c>
      <c r="E696" s="180">
        <f>(E623/E612)*SUM(C696:D696)</f>
        <v>1257242.8655484584</v>
      </c>
      <c r="F696" s="180">
        <f>(F624/F612)*AE64</f>
        <v>443.6398785852428</v>
      </c>
      <c r="G696" s="180">
        <f>(G625/G612)*AE77</f>
        <v>0</v>
      </c>
      <c r="H696" s="180">
        <f>(H628/H612)*AE60</f>
        <v>18525.267456887017</v>
      </c>
      <c r="I696" s="180">
        <f>(I629/I612)*AE78</f>
        <v>0</v>
      </c>
      <c r="J696" s="180">
        <f>(J630/J612)*AE79</f>
        <v>0</v>
      </c>
      <c r="K696" s="180">
        <f>(K644/K612)*AE75</f>
        <v>80688.030408976876</v>
      </c>
      <c r="L696" s="180">
        <f>(L647/L612)*AE80</f>
        <v>0</v>
      </c>
      <c r="M696" s="180">
        <f t="shared" si="20"/>
        <v>1356900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7034592.6400000006</v>
      </c>
      <c r="D698" s="180">
        <f>(D615/D612)*AG76</f>
        <v>3178830.6596460617</v>
      </c>
      <c r="E698" s="180">
        <f>(E623/E612)*SUM(C698:D698)</f>
        <v>7278989.296316837</v>
      </c>
      <c r="F698" s="180">
        <f>(F624/F612)*AG64</f>
        <v>20374.661493806016</v>
      </c>
      <c r="G698" s="180">
        <f>(G625/G612)*AG77</f>
        <v>0</v>
      </c>
      <c r="H698" s="180">
        <f>(H628/H612)*AG60</f>
        <v>47816.689549840841</v>
      </c>
      <c r="I698" s="180">
        <f>(I629/I612)*AG78</f>
        <v>941201.29642462288</v>
      </c>
      <c r="J698" s="180">
        <f>(J630/J612)*AG79</f>
        <v>0</v>
      </c>
      <c r="K698" s="180">
        <f>(K644/K612)*AG75</f>
        <v>658168.03566857777</v>
      </c>
      <c r="L698" s="180">
        <f>(L647/L612)*AG80</f>
        <v>191513.97244296342</v>
      </c>
      <c r="M698" s="180">
        <f t="shared" si="20"/>
        <v>12316895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807277.35</v>
      </c>
      <c r="D701" s="180">
        <f>(D615/D612)*AJ76</f>
        <v>0</v>
      </c>
      <c r="E701" s="180">
        <f>(E623/E612)*SUM(C701:D701)</f>
        <v>575337.28089118307</v>
      </c>
      <c r="F701" s="180">
        <f>(F624/F612)*AJ64</f>
        <v>725.55025541149712</v>
      </c>
      <c r="G701" s="180">
        <f>(G625/G612)*AJ77</f>
        <v>0</v>
      </c>
      <c r="H701" s="180">
        <f>(H628/H612)*AJ60</f>
        <v>6258.4544779717025</v>
      </c>
      <c r="I701" s="180">
        <f>(I629/I612)*AJ78</f>
        <v>0</v>
      </c>
      <c r="J701" s="180">
        <f>(J630/J612)*AJ79</f>
        <v>0</v>
      </c>
      <c r="K701" s="180">
        <f>(K644/K612)*AJ75</f>
        <v>27805.958269462768</v>
      </c>
      <c r="L701" s="180">
        <f>(L647/L612)*AJ80</f>
        <v>16279.557233658235</v>
      </c>
      <c r="M701" s="180">
        <f t="shared" si="20"/>
        <v>626407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39.694529391496971</v>
      </c>
      <c r="L713" s="180">
        <f>(L647/L612)*AV80</f>
        <v>0</v>
      </c>
      <c r="M713" s="180">
        <f t="shared" si="20"/>
        <v>40</v>
      </c>
      <c r="N713" s="199" t="s">
        <v>741</v>
      </c>
    </row>
    <row r="715" spans="1:15" ht="12.6" customHeight="1" x14ac:dyDescent="0.25">
      <c r="C715" s="180">
        <f>SUM(C614:C647)+SUM(C668:C713)</f>
        <v>224438377.19128036</v>
      </c>
      <c r="D715" s="180">
        <f>SUM(D616:D647)+SUM(D668:D713)</f>
        <v>37220010.570000015</v>
      </c>
      <c r="E715" s="180">
        <f>SUM(E624:E647)+SUM(E668:E713)</f>
        <v>93393894.998514429</v>
      </c>
      <c r="F715" s="180">
        <f>SUM(F625:F648)+SUM(F668:F713)</f>
        <v>812953.78005947627</v>
      </c>
      <c r="G715" s="180">
        <f>SUM(G626:G647)+SUM(G668:G713)</f>
        <v>4376476.1245026644</v>
      </c>
      <c r="H715" s="180">
        <f>SUM(H629:H647)+SUM(H668:H713)</f>
        <v>622509.89513728488</v>
      </c>
      <c r="I715" s="180">
        <f>SUM(I630:I647)+SUM(I668:I713)</f>
        <v>4573693.6681676675</v>
      </c>
      <c r="J715" s="180">
        <f>SUM(J631:J647)+SUM(J668:J713)</f>
        <v>1351379.2166566898</v>
      </c>
      <c r="K715" s="180">
        <f>SUM(K668:K713)</f>
        <v>5629183.9648030363</v>
      </c>
      <c r="L715" s="180">
        <f>SUM(L668:L713)</f>
        <v>1657346.7803829252</v>
      </c>
      <c r="M715" s="180">
        <f>SUM(M668:M713)</f>
        <v>119713027</v>
      </c>
      <c r="N715" s="198" t="s">
        <v>742</v>
      </c>
    </row>
    <row r="716" spans="1:15" ht="12.6" customHeight="1" x14ac:dyDescent="0.25">
      <c r="C716" s="180">
        <f>CE71</f>
        <v>224438377.19128036</v>
      </c>
      <c r="D716" s="180">
        <f>D615</f>
        <v>37220010.570000008</v>
      </c>
      <c r="E716" s="180">
        <f>E623</f>
        <v>93393894.998514444</v>
      </c>
      <c r="F716" s="180">
        <f>F624</f>
        <v>812953.78005947638</v>
      </c>
      <c r="G716" s="180">
        <f>G625</f>
        <v>4376476.1245026644</v>
      </c>
      <c r="H716" s="180">
        <f>H628</f>
        <v>622509.89513728465</v>
      </c>
      <c r="I716" s="180">
        <f>I629</f>
        <v>4573693.6681676665</v>
      </c>
      <c r="J716" s="180">
        <f>J630</f>
        <v>1351379.2166566898</v>
      </c>
      <c r="K716" s="180">
        <f>K644</f>
        <v>5629183.9648030372</v>
      </c>
      <c r="L716" s="180">
        <f>L647</f>
        <v>1657346.7803829252</v>
      </c>
      <c r="M716" s="180">
        <f>C648</f>
        <v>119713026.72128034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B9" sqref="B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1233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1234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1262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1229</v>
      </c>
      <c r="C10" s="235"/>
    </row>
    <row r="11" spans="1:6" ht="12.75" customHeight="1" x14ac:dyDescent="0.25">
      <c r="A11" s="198" t="s">
        <v>1232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1255</v>
      </c>
      <c r="C16" s="235"/>
      <c r="E16" s="236" t="s">
        <v>1263</v>
      </c>
    </row>
    <row r="17" spans="1:6" ht="12.75" customHeight="1" x14ac:dyDescent="0.25">
      <c r="A17" s="180" t="s">
        <v>1231</v>
      </c>
      <c r="C17" s="236" t="s">
        <v>1263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37" t="s">
        <v>1235</v>
      </c>
      <c r="B20" s="237"/>
      <c r="C20" s="238"/>
      <c r="D20" s="237"/>
      <c r="E20" s="237"/>
      <c r="F20" s="237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1236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1237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1238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1239</v>
      </c>
      <c r="C36" s="235"/>
    </row>
    <row r="37" spans="1:83" ht="12.6" customHeight="1" x14ac:dyDescent="0.25">
      <c r="A37" s="199" t="s">
        <v>1230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1195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3624963</v>
      </c>
      <c r="C47" s="184">
        <v>91</v>
      </c>
      <c r="D47" s="184"/>
      <c r="E47" s="184">
        <v>-588</v>
      </c>
      <c r="F47" s="184"/>
      <c r="G47" s="184">
        <v>2865</v>
      </c>
      <c r="H47" s="184"/>
      <c r="I47" s="184"/>
      <c r="J47" s="184"/>
      <c r="K47" s="184"/>
      <c r="L47" s="184"/>
      <c r="M47" s="184"/>
      <c r="N47" s="184">
        <v>-614</v>
      </c>
      <c r="O47" s="184">
        <v>-690</v>
      </c>
      <c r="P47" s="184">
        <v>34028</v>
      </c>
      <c r="Q47" s="184">
        <v>-414</v>
      </c>
      <c r="R47" s="184"/>
      <c r="S47" s="184">
        <v>-385</v>
      </c>
      <c r="T47" s="184"/>
      <c r="U47" s="184"/>
      <c r="V47" s="184"/>
      <c r="W47" s="184"/>
      <c r="X47" s="184"/>
      <c r="Y47" s="184">
        <v>-747</v>
      </c>
      <c r="Z47" s="184"/>
      <c r="AA47" s="184"/>
      <c r="AB47" s="184">
        <v>2358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-658</v>
      </c>
      <c r="AW47" s="184"/>
      <c r="AX47" s="184"/>
      <c r="AY47" s="184"/>
      <c r="AZ47" s="184">
        <v>-498</v>
      </c>
      <c r="BA47" s="184"/>
      <c r="BB47" s="184"/>
      <c r="BC47" s="184"/>
      <c r="BD47" s="184"/>
      <c r="BE47" s="184">
        <v>-746</v>
      </c>
      <c r="BF47" s="184">
        <v>-455</v>
      </c>
      <c r="BG47" s="184"/>
      <c r="BH47" s="184"/>
      <c r="BI47" s="184"/>
      <c r="BJ47" s="184"/>
      <c r="BK47" s="184"/>
      <c r="BL47" s="184">
        <v>1893</v>
      </c>
      <c r="BM47" s="184"/>
      <c r="BN47" s="184">
        <v>-27377</v>
      </c>
      <c r="BO47" s="184"/>
      <c r="BP47" s="184"/>
      <c r="BQ47" s="184"/>
      <c r="BR47" s="184"/>
      <c r="BS47" s="184">
        <v>-525</v>
      </c>
      <c r="BT47" s="184"/>
      <c r="BU47" s="184"/>
      <c r="BV47" s="184"/>
      <c r="BW47" s="184"/>
      <c r="BX47" s="184"/>
      <c r="BY47" s="184"/>
      <c r="BZ47" s="184"/>
      <c r="CA47" s="184"/>
      <c r="CB47" s="184"/>
      <c r="CC47" s="184">
        <f>3617427-2</f>
        <v>3617425</v>
      </c>
      <c r="CD47" s="195"/>
      <c r="CE47" s="195">
        <f>SUM(C47:CC47)</f>
        <v>3624963</v>
      </c>
    </row>
    <row r="48" spans="1:83" ht="12.6" customHeight="1" x14ac:dyDescent="0.25">
      <c r="A48" s="175" t="s">
        <v>205</v>
      </c>
      <c r="B48" s="183"/>
      <c r="C48" s="247">
        <f>ROUND(((B48/CE61)*C61),0)</f>
        <v>0</v>
      </c>
      <c r="D48" s="247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3624963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24114017</v>
      </c>
      <c r="C51" s="184">
        <v>279254</v>
      </c>
      <c r="D51" s="184"/>
      <c r="E51" s="184"/>
      <c r="F51" s="184"/>
      <c r="G51" s="184">
        <v>6514</v>
      </c>
      <c r="H51" s="184"/>
      <c r="I51" s="184"/>
      <c r="J51" s="184"/>
      <c r="K51" s="184"/>
      <c r="L51" s="184"/>
      <c r="M51" s="184"/>
      <c r="N51" s="184">
        <v>115751</v>
      </c>
      <c r="O51" s="184"/>
      <c r="P51" s="184">
        <v>618499</v>
      </c>
      <c r="Q51" s="184">
        <v>1678</v>
      </c>
      <c r="R51" s="184"/>
      <c r="S51" s="184">
        <v>2340</v>
      </c>
      <c r="T51" s="184">
        <v>458</v>
      </c>
      <c r="U51" s="184">
        <v>34367</v>
      </c>
      <c r="V51" s="184"/>
      <c r="W51" s="184">
        <v>3392</v>
      </c>
      <c r="X51" s="184">
        <v>3564</v>
      </c>
      <c r="Y51" s="184">
        <v>167824</v>
      </c>
      <c r="Z51" s="184"/>
      <c r="AA51" s="184"/>
      <c r="AB51" s="184"/>
      <c r="AC51" s="184">
        <v>1239</v>
      </c>
      <c r="AD51" s="184"/>
      <c r="AE51" s="184"/>
      <c r="AF51" s="184"/>
      <c r="AG51" s="184">
        <v>12879</v>
      </c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1137</v>
      </c>
      <c r="AW51" s="184"/>
      <c r="AX51" s="184"/>
      <c r="AY51" s="184">
        <v>4796</v>
      </c>
      <c r="AZ51" s="184"/>
      <c r="BA51" s="184"/>
      <c r="BB51" s="184"/>
      <c r="BC51" s="184">
        <v>2875</v>
      </c>
      <c r="BD51" s="184"/>
      <c r="BE51" s="184">
        <v>33030</v>
      </c>
      <c r="BF51" s="184">
        <v>737</v>
      </c>
      <c r="BG51" s="184"/>
      <c r="BH51" s="184"/>
      <c r="BI51" s="184"/>
      <c r="BJ51" s="184">
        <v>22827441</v>
      </c>
      <c r="BK51" s="184"/>
      <c r="BL51" s="184"/>
      <c r="BM51" s="184"/>
      <c r="BN51" s="184">
        <v>-5886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>
        <v>2128</v>
      </c>
      <c r="CD51" s="195"/>
      <c r="CE51" s="195">
        <f>SUM(C51:CD51)</f>
        <v>24114017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24114017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1195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1213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184">
        <v>5610</v>
      </c>
      <c r="D59" s="184"/>
      <c r="E59" s="184">
        <f>8796+12+525</f>
        <v>9333</v>
      </c>
      <c r="F59" s="184"/>
      <c r="G59" s="184"/>
      <c r="H59" s="184">
        <v>1931</v>
      </c>
      <c r="I59" s="184"/>
      <c r="J59" s="184">
        <v>2048</v>
      </c>
      <c r="K59" s="184"/>
      <c r="L59" s="184"/>
      <c r="M59" s="184"/>
      <c r="N59" s="184"/>
      <c r="O59" s="184"/>
      <c r="P59" s="185">
        <v>533945</v>
      </c>
      <c r="Q59" s="185">
        <v>632419</v>
      </c>
      <c r="R59" s="185"/>
      <c r="S59" s="250"/>
      <c r="T59" s="250"/>
      <c r="U59" s="224"/>
      <c r="V59" s="185"/>
      <c r="W59" s="185"/>
      <c r="X59" s="185"/>
      <c r="Y59" s="185"/>
      <c r="Z59" s="185"/>
      <c r="AA59" s="185"/>
      <c r="AB59" s="250"/>
      <c r="AC59" s="185"/>
      <c r="AD59" s="185"/>
      <c r="AE59" s="185"/>
      <c r="AF59" s="185"/>
      <c r="AG59" s="185">
        <v>27826</v>
      </c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0"/>
      <c r="AW59" s="250"/>
      <c r="AX59" s="250"/>
      <c r="AY59" s="185">
        <f>115540</f>
        <v>115540</v>
      </c>
      <c r="AZ59" s="185">
        <f>109410+24184</f>
        <v>133594</v>
      </c>
      <c r="BA59" s="250"/>
      <c r="BB59" s="250"/>
      <c r="BC59" s="250"/>
      <c r="BD59" s="250"/>
      <c r="BE59" s="185">
        <v>383056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6">
        <f>51.33-1.78</f>
        <v>49.55</v>
      </c>
      <c r="D60" s="187"/>
      <c r="E60" s="187">
        <f>67.18-2</f>
        <v>65.180000000000007</v>
      </c>
      <c r="F60" s="223"/>
      <c r="G60" s="187">
        <v>15.16</v>
      </c>
      <c r="H60" s="187">
        <v>16.989999999999998</v>
      </c>
      <c r="I60" s="187"/>
      <c r="J60" s="223"/>
      <c r="K60" s="187"/>
      <c r="L60" s="187"/>
      <c r="M60" s="187"/>
      <c r="N60" s="187">
        <v>33.58</v>
      </c>
      <c r="O60" s="187">
        <v>34.729999999999997</v>
      </c>
      <c r="P60" s="221">
        <v>33.369999999999997</v>
      </c>
      <c r="Q60" s="221">
        <v>22.26</v>
      </c>
      <c r="R60" s="221">
        <v>3.25</v>
      </c>
      <c r="S60" s="221">
        <v>13.08</v>
      </c>
      <c r="T60" s="221">
        <v>3.67</v>
      </c>
      <c r="U60" s="221">
        <v>2.46</v>
      </c>
      <c r="V60" s="221">
        <v>3.03</v>
      </c>
      <c r="W60" s="221">
        <v>5.97</v>
      </c>
      <c r="X60" s="221">
        <v>15.95</v>
      </c>
      <c r="Y60" s="221">
        <v>28.6</v>
      </c>
      <c r="Z60" s="221"/>
      <c r="AA60" s="221">
        <v>0.8</v>
      </c>
      <c r="AB60" s="221">
        <v>20.2</v>
      </c>
      <c r="AC60" s="221">
        <v>12.6</v>
      </c>
      <c r="AD60" s="221">
        <v>0.5</v>
      </c>
      <c r="AE60" s="221">
        <v>0.06</v>
      </c>
      <c r="AF60" s="221"/>
      <c r="AG60" s="221">
        <v>42.3</v>
      </c>
      <c r="AH60" s="221"/>
      <c r="AI60" s="221"/>
      <c r="AJ60" s="221">
        <v>6.83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8.9499999999999993</v>
      </c>
      <c r="AW60" s="221"/>
      <c r="AX60" s="221"/>
      <c r="AY60" s="221">
        <v>22.93</v>
      </c>
      <c r="AZ60" s="221">
        <v>13.12</v>
      </c>
      <c r="BA60" s="221">
        <v>1.19</v>
      </c>
      <c r="BB60" s="221">
        <v>16.84</v>
      </c>
      <c r="BC60" s="221">
        <v>0.74</v>
      </c>
      <c r="BD60" s="221"/>
      <c r="BE60" s="221">
        <v>26.57</v>
      </c>
      <c r="BF60" s="221">
        <v>29.55</v>
      </c>
      <c r="BG60" s="221"/>
      <c r="BH60" s="221"/>
      <c r="BI60" s="221"/>
      <c r="BJ60" s="221"/>
      <c r="BK60" s="221"/>
      <c r="BL60" s="221">
        <v>26.22</v>
      </c>
      <c r="BM60" s="221"/>
      <c r="BN60" s="221">
        <v>8</v>
      </c>
      <c r="BO60" s="221"/>
      <c r="BP60" s="221"/>
      <c r="BQ60" s="221"/>
      <c r="BR60" s="221"/>
      <c r="BS60" s="221">
        <v>23.18</v>
      </c>
      <c r="BT60" s="221"/>
      <c r="BU60" s="221"/>
      <c r="BV60" s="221"/>
      <c r="BW60" s="221"/>
      <c r="BX60" s="221"/>
      <c r="BY60" s="221">
        <v>5.73</v>
      </c>
      <c r="BZ60" s="221">
        <v>6.99</v>
      </c>
      <c r="CA60" s="221">
        <v>0.02</v>
      </c>
      <c r="CB60" s="221"/>
      <c r="CC60" s="221">
        <f>0.84+0.01</f>
        <v>0.85</v>
      </c>
      <c r="CD60" s="251" t="s">
        <v>221</v>
      </c>
      <c r="CE60" s="253">
        <f t="shared" ref="CE60:CE70" si="0">SUM(C60:CD60)</f>
        <v>621</v>
      </c>
    </row>
    <row r="61" spans="1:84" ht="12.6" customHeight="1" x14ac:dyDescent="0.25">
      <c r="A61" s="171" t="s">
        <v>235</v>
      </c>
      <c r="B61" s="175"/>
      <c r="C61" s="184">
        <v>5167530</v>
      </c>
      <c r="D61" s="184"/>
      <c r="E61" s="184">
        <v>5823263</v>
      </c>
      <c r="F61" s="185"/>
      <c r="G61" s="184">
        <v>1354337</v>
      </c>
      <c r="H61" s="184">
        <v>1583753</v>
      </c>
      <c r="I61" s="185"/>
      <c r="J61" s="185"/>
      <c r="K61" s="185"/>
      <c r="L61" s="185"/>
      <c r="M61" s="184"/>
      <c r="N61" s="184">
        <v>3443365</v>
      </c>
      <c r="O61" s="184">
        <v>3616718</v>
      </c>
      <c r="P61" s="185">
        <v>2948119</v>
      </c>
      <c r="Q61" s="185">
        <v>2416088</v>
      </c>
      <c r="R61" s="185">
        <v>257787</v>
      </c>
      <c r="S61" s="185">
        <v>723991</v>
      </c>
      <c r="T61" s="185">
        <v>366054</v>
      </c>
      <c r="U61" s="185">
        <v>235156</v>
      </c>
      <c r="V61" s="185">
        <v>194469</v>
      </c>
      <c r="W61" s="185">
        <v>666046</v>
      </c>
      <c r="X61" s="185">
        <v>1605095</v>
      </c>
      <c r="Y61" s="185">
        <v>2156111</v>
      </c>
      <c r="Z61" s="185"/>
      <c r="AA61" s="185">
        <v>89313</v>
      </c>
      <c r="AB61" s="185">
        <v>2159165</v>
      </c>
      <c r="AC61" s="185">
        <v>1104446</v>
      </c>
      <c r="AD61" s="185">
        <v>52769</v>
      </c>
      <c r="AE61" s="185">
        <v>5706</v>
      </c>
      <c r="AF61" s="185"/>
      <c r="AG61" s="185">
        <v>3794725</v>
      </c>
      <c r="AH61" s="185"/>
      <c r="AI61" s="185"/>
      <c r="AJ61" s="185">
        <v>798382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788480</v>
      </c>
      <c r="AW61" s="185"/>
      <c r="AX61" s="185"/>
      <c r="AY61" s="185">
        <v>1094337</v>
      </c>
      <c r="AZ61" s="185">
        <v>599553</v>
      </c>
      <c r="BA61" s="185">
        <v>54256</v>
      </c>
      <c r="BB61" s="185">
        <v>1515109</v>
      </c>
      <c r="BC61" s="185">
        <v>27998</v>
      </c>
      <c r="BD61" s="185"/>
      <c r="BE61" s="185">
        <v>1722714</v>
      </c>
      <c r="BF61" s="185">
        <v>1326892</v>
      </c>
      <c r="BG61" s="185"/>
      <c r="BH61" s="185"/>
      <c r="BI61" s="185"/>
      <c r="BJ61" s="185"/>
      <c r="BK61" s="185"/>
      <c r="BL61" s="185">
        <v>1479853</v>
      </c>
      <c r="BM61" s="185"/>
      <c r="BN61" s="185">
        <v>976248</v>
      </c>
      <c r="BO61" s="185"/>
      <c r="BP61" s="185"/>
      <c r="BQ61" s="185"/>
      <c r="BR61" s="185"/>
      <c r="BS61" s="185">
        <v>999837</v>
      </c>
      <c r="BT61" s="185"/>
      <c r="BU61" s="185"/>
      <c r="BV61" s="185"/>
      <c r="BW61" s="185"/>
      <c r="BX61" s="185"/>
      <c r="BY61" s="185">
        <v>690886</v>
      </c>
      <c r="BZ61" s="185">
        <v>821153</v>
      </c>
      <c r="CA61" s="185">
        <v>2727</v>
      </c>
      <c r="CB61" s="185"/>
      <c r="CC61" s="185">
        <v>69003</v>
      </c>
      <c r="CD61" s="251" t="s">
        <v>221</v>
      </c>
      <c r="CE61" s="195">
        <f t="shared" si="0"/>
        <v>52731434</v>
      </c>
      <c r="CF61" s="254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91</v>
      </c>
      <c r="D62" s="195">
        <f t="shared" si="1"/>
        <v>0</v>
      </c>
      <c r="E62" s="195">
        <f t="shared" si="1"/>
        <v>-588</v>
      </c>
      <c r="F62" s="195">
        <f t="shared" si="1"/>
        <v>0</v>
      </c>
      <c r="G62" s="195">
        <f t="shared" si="1"/>
        <v>2865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-614</v>
      </c>
      <c r="O62" s="195">
        <f t="shared" si="1"/>
        <v>-690</v>
      </c>
      <c r="P62" s="195">
        <f t="shared" si="1"/>
        <v>34028</v>
      </c>
      <c r="Q62" s="195">
        <f t="shared" si="1"/>
        <v>-414</v>
      </c>
      <c r="R62" s="195">
        <f t="shared" si="1"/>
        <v>0</v>
      </c>
      <c r="S62" s="195">
        <f t="shared" si="1"/>
        <v>-385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-747</v>
      </c>
      <c r="Z62" s="195">
        <f t="shared" si="1"/>
        <v>0</v>
      </c>
      <c r="AA62" s="195">
        <f t="shared" si="1"/>
        <v>0</v>
      </c>
      <c r="AB62" s="195">
        <f t="shared" si="1"/>
        <v>2358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-658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-498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-746</v>
      </c>
      <c r="BF62" s="195">
        <f t="shared" si="1"/>
        <v>-455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1893</v>
      </c>
      <c r="BM62" s="195">
        <f t="shared" si="1"/>
        <v>0</v>
      </c>
      <c r="BN62" s="195">
        <f t="shared" si="1"/>
        <v>-27377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-525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3617425</v>
      </c>
      <c r="CD62" s="251" t="s">
        <v>221</v>
      </c>
      <c r="CE62" s="195">
        <f t="shared" si="0"/>
        <v>3624963</v>
      </c>
      <c r="CF62" s="254"/>
    </row>
    <row r="63" spans="1:84" ht="12.6" customHeight="1" x14ac:dyDescent="0.25">
      <c r="A63" s="171" t="s">
        <v>236</v>
      </c>
      <c r="B63" s="175"/>
      <c r="C63" s="184">
        <v>572136</v>
      </c>
      <c r="D63" s="184"/>
      <c r="E63" s="184">
        <v>426796</v>
      </c>
      <c r="F63" s="185"/>
      <c r="G63" s="184"/>
      <c r="H63" s="184"/>
      <c r="I63" s="185"/>
      <c r="J63" s="185"/>
      <c r="K63" s="185"/>
      <c r="L63" s="185"/>
      <c r="M63" s="184"/>
      <c r="N63" s="184">
        <v>156427</v>
      </c>
      <c r="O63" s="184">
        <v>1650846</v>
      </c>
      <c r="P63" s="185">
        <v>45792</v>
      </c>
      <c r="Q63" s="185"/>
      <c r="R63" s="185"/>
      <c r="S63" s="185"/>
      <c r="T63" s="185"/>
      <c r="U63" s="185">
        <v>517061</v>
      </c>
      <c r="V63" s="185">
        <v>84824</v>
      </c>
      <c r="W63" s="185"/>
      <c r="X63" s="185"/>
      <c r="Y63" s="185">
        <v>29484</v>
      </c>
      <c r="Z63" s="185"/>
      <c r="AA63" s="185"/>
      <c r="AB63" s="185">
        <v>47615</v>
      </c>
      <c r="AC63" s="185">
        <v>51892</v>
      </c>
      <c r="AD63" s="185"/>
      <c r="AE63" s="185"/>
      <c r="AF63" s="185"/>
      <c r="AG63" s="185">
        <v>357074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18586</v>
      </c>
      <c r="AW63" s="185">
        <v>26683</v>
      </c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>
        <v>975918</v>
      </c>
      <c r="BO63" s="185"/>
      <c r="BP63" s="185"/>
      <c r="BQ63" s="185"/>
      <c r="BR63" s="185"/>
      <c r="BS63" s="185">
        <v>394</v>
      </c>
      <c r="BT63" s="185"/>
      <c r="BU63" s="185"/>
      <c r="BV63" s="185"/>
      <c r="BW63" s="185"/>
      <c r="BX63" s="185"/>
      <c r="BY63" s="185">
        <v>210</v>
      </c>
      <c r="BZ63" s="185"/>
      <c r="CA63" s="185"/>
      <c r="CB63" s="185"/>
      <c r="CC63" s="185"/>
      <c r="CD63" s="251" t="s">
        <v>221</v>
      </c>
      <c r="CE63" s="195">
        <f t="shared" si="0"/>
        <v>4961738</v>
      </c>
      <c r="CF63" s="254"/>
    </row>
    <row r="64" spans="1:84" ht="12.6" customHeight="1" x14ac:dyDescent="0.25">
      <c r="A64" s="171" t="s">
        <v>237</v>
      </c>
      <c r="B64" s="175"/>
      <c r="C64" s="184">
        <v>373593</v>
      </c>
      <c r="D64" s="184"/>
      <c r="E64" s="185">
        <v>410279</v>
      </c>
      <c r="F64" s="185"/>
      <c r="G64" s="184">
        <v>18747</v>
      </c>
      <c r="H64" s="184">
        <v>90395</v>
      </c>
      <c r="I64" s="185"/>
      <c r="J64" s="185"/>
      <c r="K64" s="185"/>
      <c r="L64" s="185"/>
      <c r="M64" s="184"/>
      <c r="N64" s="184">
        <v>1727127</v>
      </c>
      <c r="O64" s="184">
        <v>387507</v>
      </c>
      <c r="P64" s="185">
        <v>13920086</v>
      </c>
      <c r="Q64" s="185">
        <v>81482</v>
      </c>
      <c r="R64" s="185">
        <v>200133</v>
      </c>
      <c r="S64" s="185">
        <v>33381</v>
      </c>
      <c r="T64" s="185">
        <v>80387</v>
      </c>
      <c r="U64" s="185">
        <v>821834</v>
      </c>
      <c r="V64" s="185">
        <v>5528</v>
      </c>
      <c r="W64" s="185">
        <v>189604</v>
      </c>
      <c r="X64" s="185">
        <v>255492</v>
      </c>
      <c r="Y64" s="185">
        <v>519231</v>
      </c>
      <c r="Z64" s="185"/>
      <c r="AA64" s="185">
        <v>80159</v>
      </c>
      <c r="AB64" s="185">
        <v>7478794</v>
      </c>
      <c r="AC64" s="185">
        <v>204230</v>
      </c>
      <c r="AD64" s="185">
        <v>6380</v>
      </c>
      <c r="AE64" s="185"/>
      <c r="AF64" s="185"/>
      <c r="AG64" s="185">
        <v>707823</v>
      </c>
      <c r="AH64" s="185"/>
      <c r="AI64" s="185"/>
      <c r="AJ64" s="185">
        <v>20713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53292</v>
      </c>
      <c r="AW64" s="185"/>
      <c r="AX64" s="185"/>
      <c r="AY64" s="185">
        <v>245072</v>
      </c>
      <c r="AZ64" s="185">
        <v>540359</v>
      </c>
      <c r="BA64" s="185">
        <v>587</v>
      </c>
      <c r="BB64" s="185">
        <v>135</v>
      </c>
      <c r="BC64" s="185">
        <v>47</v>
      </c>
      <c r="BD64" s="185">
        <v>-11559</v>
      </c>
      <c r="BE64" s="185">
        <v>121394</v>
      </c>
      <c r="BF64" s="185">
        <v>137478</v>
      </c>
      <c r="BG64" s="185"/>
      <c r="BH64" s="185"/>
      <c r="BI64" s="185">
        <v>170</v>
      </c>
      <c r="BJ64" s="185"/>
      <c r="BK64" s="185"/>
      <c r="BL64" s="185">
        <v>28104</v>
      </c>
      <c r="BM64" s="185"/>
      <c r="BN64" s="185">
        <v>-910867</v>
      </c>
      <c r="BO64" s="185"/>
      <c r="BP64" s="185"/>
      <c r="BQ64" s="185"/>
      <c r="BR64" s="185"/>
      <c r="BS64" s="185">
        <v>61852</v>
      </c>
      <c r="BT64" s="185"/>
      <c r="BU64" s="185"/>
      <c r="BV64" s="185"/>
      <c r="BW64" s="185"/>
      <c r="BX64" s="185"/>
      <c r="BY64" s="185">
        <v>106</v>
      </c>
      <c r="BZ64" s="185">
        <v>918</v>
      </c>
      <c r="CA64" s="185"/>
      <c r="CB64" s="185"/>
      <c r="CC64" s="185">
        <v>25664</v>
      </c>
      <c r="CD64" s="251" t="s">
        <v>221</v>
      </c>
      <c r="CE64" s="195">
        <f t="shared" si="0"/>
        <v>27905657</v>
      </c>
      <c r="CF64" s="254"/>
    </row>
    <row r="65" spans="1:84" ht="12.6" customHeight="1" x14ac:dyDescent="0.25">
      <c r="A65" s="171" t="s">
        <v>238</v>
      </c>
      <c r="B65" s="175"/>
      <c r="C65" s="184">
        <v>670</v>
      </c>
      <c r="D65" s="184"/>
      <c r="E65" s="184">
        <v>624</v>
      </c>
      <c r="F65" s="184"/>
      <c r="G65" s="184"/>
      <c r="H65" s="184"/>
      <c r="I65" s="185"/>
      <c r="J65" s="184"/>
      <c r="K65" s="185"/>
      <c r="L65" s="185"/>
      <c r="M65" s="184"/>
      <c r="N65" s="184">
        <v>1186</v>
      </c>
      <c r="O65" s="184">
        <v>536</v>
      </c>
      <c r="P65" s="185">
        <v>300</v>
      </c>
      <c r="Q65" s="185">
        <v>286</v>
      </c>
      <c r="R65" s="185"/>
      <c r="S65" s="185">
        <v>536</v>
      </c>
      <c r="T65" s="185"/>
      <c r="U65" s="185"/>
      <c r="V65" s="185"/>
      <c r="W65" s="185"/>
      <c r="X65" s="185"/>
      <c r="Y65" s="185"/>
      <c r="Z65" s="185"/>
      <c r="AA65" s="185"/>
      <c r="AB65" s="185">
        <v>600</v>
      </c>
      <c r="AC65" s="185">
        <v>1217</v>
      </c>
      <c r="AD65" s="185"/>
      <c r="AE65" s="185"/>
      <c r="AF65" s="185"/>
      <c r="AG65" s="185">
        <v>1143</v>
      </c>
      <c r="AH65" s="185"/>
      <c r="AI65" s="185"/>
      <c r="AJ65" s="185">
        <v>2794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4775</v>
      </c>
      <c r="AW65" s="185"/>
      <c r="AX65" s="185"/>
      <c r="AY65" s="185">
        <v>2172</v>
      </c>
      <c r="AZ65" s="185">
        <v>660</v>
      </c>
      <c r="BA65" s="185"/>
      <c r="BB65" s="185"/>
      <c r="BC65" s="185"/>
      <c r="BD65" s="185"/>
      <c r="BE65" s="185">
        <v>1370262</v>
      </c>
      <c r="BF65" s="185">
        <v>242491</v>
      </c>
      <c r="BG65" s="185"/>
      <c r="BH65" s="185"/>
      <c r="BI65" s="185">
        <v>98</v>
      </c>
      <c r="BJ65" s="185"/>
      <c r="BK65" s="185"/>
      <c r="BL65" s="185">
        <v>536</v>
      </c>
      <c r="BM65" s="185"/>
      <c r="BN65" s="185">
        <v>5037</v>
      </c>
      <c r="BO65" s="185"/>
      <c r="BP65" s="185"/>
      <c r="BQ65" s="185"/>
      <c r="BR65" s="185"/>
      <c r="BS65" s="185">
        <v>1409</v>
      </c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1" t="s">
        <v>221</v>
      </c>
      <c r="CE65" s="195">
        <f t="shared" si="0"/>
        <v>1637332</v>
      </c>
      <c r="CF65" s="254"/>
    </row>
    <row r="66" spans="1:84" ht="12.6" customHeight="1" x14ac:dyDescent="0.25">
      <c r="A66" s="171" t="s">
        <v>239</v>
      </c>
      <c r="B66" s="175"/>
      <c r="C66" s="184">
        <v>30336</v>
      </c>
      <c r="D66" s="184"/>
      <c r="E66" s="184">
        <v>72149</v>
      </c>
      <c r="F66" s="184"/>
      <c r="G66" s="184"/>
      <c r="H66" s="184">
        <v>64</v>
      </c>
      <c r="I66" s="184"/>
      <c r="J66" s="184"/>
      <c r="K66" s="185"/>
      <c r="L66" s="185"/>
      <c r="M66" s="184"/>
      <c r="N66" s="184">
        <v>403601</v>
      </c>
      <c r="O66" s="185">
        <v>7414</v>
      </c>
      <c r="P66" s="185">
        <v>611596</v>
      </c>
      <c r="Q66" s="185">
        <v>167</v>
      </c>
      <c r="R66" s="185"/>
      <c r="S66" s="184">
        <v>218290</v>
      </c>
      <c r="T66" s="184"/>
      <c r="U66" s="185">
        <v>3993324</v>
      </c>
      <c r="V66" s="185">
        <v>54367</v>
      </c>
      <c r="W66" s="185">
        <v>276623</v>
      </c>
      <c r="X66" s="185">
        <v>269687</v>
      </c>
      <c r="Y66" s="185">
        <v>1069625</v>
      </c>
      <c r="Z66" s="185"/>
      <c r="AA66" s="185">
        <v>24584</v>
      </c>
      <c r="AB66" s="185">
        <v>286319</v>
      </c>
      <c r="AC66" s="185">
        <v>34300</v>
      </c>
      <c r="AD66" s="185">
        <v>4590</v>
      </c>
      <c r="AE66" s="185"/>
      <c r="AF66" s="185"/>
      <c r="AG66" s="185">
        <v>383</v>
      </c>
      <c r="AH66" s="185"/>
      <c r="AI66" s="185"/>
      <c r="AJ66" s="185">
        <v>1153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22206</v>
      </c>
      <c r="AW66" s="185"/>
      <c r="AX66" s="185"/>
      <c r="AY66" s="185">
        <v>23276</v>
      </c>
      <c r="AZ66" s="185">
        <v>697</v>
      </c>
      <c r="BA66" s="185">
        <v>546179</v>
      </c>
      <c r="BB66" s="185"/>
      <c r="BC66" s="185">
        <v>74026</v>
      </c>
      <c r="BD66" s="185">
        <v>122580</v>
      </c>
      <c r="BE66" s="185">
        <v>1341824</v>
      </c>
      <c r="BF66" s="185">
        <v>100097</v>
      </c>
      <c r="BG66" s="185"/>
      <c r="BH66" s="185"/>
      <c r="BI66" s="185">
        <v>15234</v>
      </c>
      <c r="BJ66" s="185"/>
      <c r="BK66" s="185">
        <v>56977</v>
      </c>
      <c r="BL66" s="185">
        <v>1807</v>
      </c>
      <c r="BM66" s="185"/>
      <c r="BN66" s="185">
        <v>183150</v>
      </c>
      <c r="BO66" s="185"/>
      <c r="BP66" s="185"/>
      <c r="BQ66" s="185"/>
      <c r="BR66" s="185"/>
      <c r="BS66" s="185">
        <v>193733</v>
      </c>
      <c r="BT66" s="185"/>
      <c r="BU66" s="185"/>
      <c r="BV66" s="185"/>
      <c r="BW66" s="185"/>
      <c r="BX66" s="185"/>
      <c r="BY66" s="185">
        <v>1835</v>
      </c>
      <c r="BZ66" s="185"/>
      <c r="CA66" s="185"/>
      <c r="CB66" s="185"/>
      <c r="CC66" s="185">
        <v>13020</v>
      </c>
      <c r="CD66" s="251" t="s">
        <v>221</v>
      </c>
      <c r="CE66" s="195">
        <f t="shared" si="0"/>
        <v>10055213</v>
      </c>
      <c r="CF66" s="254"/>
    </row>
    <row r="67" spans="1:84" ht="12.6" customHeight="1" x14ac:dyDescent="0.25">
      <c r="A67" s="171" t="s">
        <v>6</v>
      </c>
      <c r="B67" s="175"/>
      <c r="C67" s="195">
        <f>ROUND(C51+C52,0)</f>
        <v>279254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6514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115751</v>
      </c>
      <c r="O67" s="195">
        <f t="shared" si="3"/>
        <v>0</v>
      </c>
      <c r="P67" s="195">
        <f t="shared" si="3"/>
        <v>618499</v>
      </c>
      <c r="Q67" s="195">
        <f t="shared" si="3"/>
        <v>1678</v>
      </c>
      <c r="R67" s="195">
        <f t="shared" si="3"/>
        <v>0</v>
      </c>
      <c r="S67" s="195">
        <f t="shared" si="3"/>
        <v>2340</v>
      </c>
      <c r="T67" s="195">
        <f t="shared" si="3"/>
        <v>458</v>
      </c>
      <c r="U67" s="195">
        <f t="shared" si="3"/>
        <v>34367</v>
      </c>
      <c r="V67" s="195">
        <f t="shared" si="3"/>
        <v>0</v>
      </c>
      <c r="W67" s="195">
        <f t="shared" si="3"/>
        <v>3392</v>
      </c>
      <c r="X67" s="195">
        <f t="shared" si="3"/>
        <v>3564</v>
      </c>
      <c r="Y67" s="195">
        <f t="shared" si="3"/>
        <v>167824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1239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12879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1137</v>
      </c>
      <c r="AW67" s="195">
        <f t="shared" si="3"/>
        <v>0</v>
      </c>
      <c r="AX67" s="195">
        <f t="shared" si="3"/>
        <v>0</v>
      </c>
      <c r="AY67" s="195">
        <f t="shared" si="3"/>
        <v>4796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2875</v>
      </c>
      <c r="BD67" s="195">
        <f t="shared" si="3"/>
        <v>0</v>
      </c>
      <c r="BE67" s="195">
        <f t="shared" si="3"/>
        <v>33030</v>
      </c>
      <c r="BF67" s="195">
        <f t="shared" si="3"/>
        <v>737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22827441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-5886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2128</v>
      </c>
      <c r="CD67" s="251" t="s">
        <v>221</v>
      </c>
      <c r="CE67" s="195">
        <f t="shared" si="0"/>
        <v>24114017</v>
      </c>
      <c r="CF67" s="254"/>
    </row>
    <row r="68" spans="1:84" ht="12.6" customHeight="1" x14ac:dyDescent="0.25">
      <c r="A68" s="171" t="s">
        <v>240</v>
      </c>
      <c r="B68" s="175"/>
      <c r="C68" s="184">
        <v>23568</v>
      </c>
      <c r="D68" s="184"/>
      <c r="E68" s="184">
        <v>2924</v>
      </c>
      <c r="F68" s="184"/>
      <c r="G68" s="184"/>
      <c r="H68" s="184"/>
      <c r="I68" s="184"/>
      <c r="J68" s="184"/>
      <c r="K68" s="185"/>
      <c r="L68" s="185"/>
      <c r="M68" s="184"/>
      <c r="N68" s="184">
        <v>18595</v>
      </c>
      <c r="O68" s="184"/>
      <c r="P68" s="185">
        <v>38090</v>
      </c>
      <c r="Q68" s="185"/>
      <c r="R68" s="185"/>
      <c r="S68" s="185">
        <v>137</v>
      </c>
      <c r="T68" s="185"/>
      <c r="U68" s="185">
        <v>13</v>
      </c>
      <c r="V68" s="185"/>
      <c r="W68" s="185"/>
      <c r="X68" s="185"/>
      <c r="Y68" s="185">
        <v>18595</v>
      </c>
      <c r="Z68" s="185"/>
      <c r="AA68" s="185"/>
      <c r="AB68" s="185">
        <v>199699</v>
      </c>
      <c r="AC68" s="185">
        <v>2360</v>
      </c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6468</v>
      </c>
      <c r="AZ68" s="185">
        <v>349668</v>
      </c>
      <c r="BA68" s="185"/>
      <c r="BB68" s="185"/>
      <c r="BC68" s="185"/>
      <c r="BD68" s="185"/>
      <c r="BE68" s="185">
        <v>6002</v>
      </c>
      <c r="BF68" s="185"/>
      <c r="BG68" s="185"/>
      <c r="BH68" s="185"/>
      <c r="BI68" s="185"/>
      <c r="BJ68" s="185"/>
      <c r="BK68" s="185"/>
      <c r="BL68" s="185"/>
      <c r="BM68" s="185"/>
      <c r="BN68" s="185">
        <v>1617849</v>
      </c>
      <c r="BO68" s="185"/>
      <c r="BP68" s="185"/>
      <c r="BQ68" s="185"/>
      <c r="BR68" s="185"/>
      <c r="BS68" s="185">
        <v>193728</v>
      </c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1" t="s">
        <v>221</v>
      </c>
      <c r="CE68" s="195">
        <f t="shared" si="0"/>
        <v>2477696</v>
      </c>
      <c r="CF68" s="254"/>
    </row>
    <row r="69" spans="1:84" ht="12.6" customHeight="1" x14ac:dyDescent="0.25">
      <c r="A69" s="171" t="s">
        <v>241</v>
      </c>
      <c r="B69" s="175"/>
      <c r="C69" s="184">
        <v>77062</v>
      </c>
      <c r="D69" s="184"/>
      <c r="E69" s="185">
        <v>58919</v>
      </c>
      <c r="F69" s="185"/>
      <c r="G69" s="184">
        <v>20141</v>
      </c>
      <c r="H69" s="184">
        <v>14168</v>
      </c>
      <c r="I69" s="185"/>
      <c r="J69" s="185"/>
      <c r="K69" s="185"/>
      <c r="L69" s="185"/>
      <c r="M69" s="184"/>
      <c r="N69" s="184">
        <v>36109</v>
      </c>
      <c r="O69" s="184">
        <v>22993</v>
      </c>
      <c r="P69" s="185">
        <v>68855</v>
      </c>
      <c r="Q69" s="185">
        <v>37785</v>
      </c>
      <c r="R69" s="224">
        <v>1481</v>
      </c>
      <c r="S69" s="185">
        <v>14641</v>
      </c>
      <c r="T69" s="184">
        <v>8780</v>
      </c>
      <c r="U69" s="185">
        <v>2341</v>
      </c>
      <c r="V69" s="185">
        <v>133</v>
      </c>
      <c r="W69" s="184">
        <v>8791</v>
      </c>
      <c r="X69" s="185">
        <v>3716</v>
      </c>
      <c r="Y69" s="185">
        <v>33996</v>
      </c>
      <c r="Z69" s="185"/>
      <c r="AA69" s="185"/>
      <c r="AB69" s="185">
        <v>37502</v>
      </c>
      <c r="AC69" s="185">
        <v>4465</v>
      </c>
      <c r="AD69" s="185"/>
      <c r="AE69" s="185"/>
      <c r="AF69" s="185"/>
      <c r="AG69" s="185">
        <v>48655</v>
      </c>
      <c r="AH69" s="185"/>
      <c r="AI69" s="185"/>
      <c r="AJ69" s="185">
        <v>23358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2976</v>
      </c>
      <c r="AW69" s="185"/>
      <c r="AX69" s="185"/>
      <c r="AY69" s="185">
        <v>11241</v>
      </c>
      <c r="AZ69" s="185">
        <v>10005</v>
      </c>
      <c r="BA69" s="185">
        <v>675</v>
      </c>
      <c r="BB69" s="185">
        <v>17873</v>
      </c>
      <c r="BC69" s="185">
        <v>335</v>
      </c>
      <c r="BD69" s="185">
        <v>172</v>
      </c>
      <c r="BE69" s="185">
        <v>30656</v>
      </c>
      <c r="BF69" s="185">
        <v>9812</v>
      </c>
      <c r="BG69" s="185"/>
      <c r="BH69" s="224"/>
      <c r="BI69" s="185">
        <v>2374</v>
      </c>
      <c r="BJ69" s="185"/>
      <c r="BK69" s="185"/>
      <c r="BL69" s="185">
        <v>6770</v>
      </c>
      <c r="BM69" s="185"/>
      <c r="BN69" s="185">
        <v>650952</v>
      </c>
      <c r="BO69" s="185"/>
      <c r="BP69" s="185"/>
      <c r="BQ69" s="185"/>
      <c r="BR69" s="185"/>
      <c r="BS69" s="185">
        <v>35492</v>
      </c>
      <c r="BT69" s="185"/>
      <c r="BU69" s="185"/>
      <c r="BV69" s="185"/>
      <c r="BW69" s="185"/>
      <c r="BX69" s="185"/>
      <c r="BY69" s="185">
        <v>9064</v>
      </c>
      <c r="BZ69" s="185">
        <v>11974</v>
      </c>
      <c r="CA69" s="185"/>
      <c r="CB69" s="185"/>
      <c r="CC69" s="185">
        <f>56178044+1516</f>
        <v>56179560</v>
      </c>
      <c r="CD69" s="188">
        <f>3779442+13766836+4274</f>
        <v>17550552</v>
      </c>
      <c r="CE69" s="195">
        <f t="shared" si="0"/>
        <v>75054374</v>
      </c>
      <c r="CF69" s="254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>
        <v>4834</v>
      </c>
      <c r="O70" s="184"/>
      <c r="P70" s="184"/>
      <c r="Q70" s="184"/>
      <c r="R70" s="184"/>
      <c r="S70" s="184"/>
      <c r="T70" s="184"/>
      <c r="U70" s="185">
        <v>672</v>
      </c>
      <c r="V70" s="184"/>
      <c r="W70" s="184"/>
      <c r="X70" s="185"/>
      <c r="Y70" s="185">
        <v>6613</v>
      </c>
      <c r="Z70" s="185"/>
      <c r="AA70" s="185"/>
      <c r="AB70" s="185">
        <v>2079541</v>
      </c>
      <c r="AC70" s="185"/>
      <c r="AD70" s="185"/>
      <c r="AE70" s="185"/>
      <c r="AF70" s="185"/>
      <c r="AG70" s="185">
        <v>73</v>
      </c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>
        <v>9895</v>
      </c>
      <c r="AU70" s="185"/>
      <c r="AV70" s="185"/>
      <c r="AW70" s="185"/>
      <c r="AX70" s="185"/>
      <c r="AY70" s="185">
        <v>144516</v>
      </c>
      <c r="AZ70" s="185">
        <v>723721</v>
      </c>
      <c r="BA70" s="185"/>
      <c r="BB70" s="185">
        <v>470737</v>
      </c>
      <c r="BC70" s="185">
        <v>2015</v>
      </c>
      <c r="BD70" s="185"/>
      <c r="BE70" s="185">
        <v>125964</v>
      </c>
      <c r="BF70" s="185">
        <v>59460</v>
      </c>
      <c r="BG70" s="185"/>
      <c r="BH70" s="185"/>
      <c r="BI70" s="185"/>
      <c r="BJ70" s="185"/>
      <c r="BK70" s="185">
        <v>1401203</v>
      </c>
      <c r="BL70" s="185"/>
      <c r="BM70" s="185"/>
      <c r="BN70" s="185">
        <v>2006978</v>
      </c>
      <c r="BO70" s="185"/>
      <c r="BP70" s="185"/>
      <c r="BQ70" s="185"/>
      <c r="BR70" s="185"/>
      <c r="BS70" s="185">
        <v>1086163</v>
      </c>
      <c r="BT70" s="185"/>
      <c r="BU70" s="185"/>
      <c r="BV70" s="185"/>
      <c r="BW70" s="185"/>
      <c r="BX70" s="185"/>
      <c r="BY70" s="185"/>
      <c r="BZ70" s="185"/>
      <c r="CA70" s="185"/>
      <c r="CB70" s="185"/>
      <c r="CC70" s="185">
        <v>4374936</v>
      </c>
      <c r="CD70" s="188"/>
      <c r="CE70" s="195">
        <f t="shared" si="0"/>
        <v>12497321</v>
      </c>
      <c r="CF70" s="254"/>
    </row>
    <row r="71" spans="1:84" ht="12.6" customHeight="1" x14ac:dyDescent="0.25">
      <c r="A71" s="171" t="s">
        <v>243</v>
      </c>
      <c r="B71" s="175"/>
      <c r="C71" s="195">
        <f>SUM(C61:C68)+C69-C70</f>
        <v>6524240</v>
      </c>
      <c r="D71" s="195">
        <f t="shared" ref="D71:AI71" si="5">SUM(D61:D69)-D70</f>
        <v>0</v>
      </c>
      <c r="E71" s="195">
        <f t="shared" si="5"/>
        <v>6794366</v>
      </c>
      <c r="F71" s="195">
        <f t="shared" si="5"/>
        <v>0</v>
      </c>
      <c r="G71" s="195">
        <f t="shared" si="5"/>
        <v>1402604</v>
      </c>
      <c r="H71" s="195">
        <f t="shared" si="5"/>
        <v>1688380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5896713</v>
      </c>
      <c r="O71" s="195">
        <f t="shared" si="5"/>
        <v>5685324</v>
      </c>
      <c r="P71" s="195">
        <f t="shared" si="5"/>
        <v>18285365</v>
      </c>
      <c r="Q71" s="195">
        <f t="shared" si="5"/>
        <v>2537072</v>
      </c>
      <c r="R71" s="195">
        <f t="shared" si="5"/>
        <v>459401</v>
      </c>
      <c r="S71" s="195">
        <f t="shared" si="5"/>
        <v>992931</v>
      </c>
      <c r="T71" s="195">
        <f t="shared" si="5"/>
        <v>455679</v>
      </c>
      <c r="U71" s="195">
        <f t="shared" si="5"/>
        <v>5603424</v>
      </c>
      <c r="V71" s="195">
        <f t="shared" si="5"/>
        <v>339321</v>
      </c>
      <c r="W71" s="195">
        <f t="shared" si="5"/>
        <v>1144456</v>
      </c>
      <c r="X71" s="195">
        <f t="shared" si="5"/>
        <v>2137554</v>
      </c>
      <c r="Y71" s="195">
        <f t="shared" si="5"/>
        <v>3987506</v>
      </c>
      <c r="Z71" s="195">
        <f t="shared" si="5"/>
        <v>0</v>
      </c>
      <c r="AA71" s="195">
        <f t="shared" si="5"/>
        <v>194056</v>
      </c>
      <c r="AB71" s="195">
        <f t="shared" si="5"/>
        <v>8132511</v>
      </c>
      <c r="AC71" s="195">
        <f t="shared" si="5"/>
        <v>1404149</v>
      </c>
      <c r="AD71" s="195">
        <f t="shared" si="5"/>
        <v>63739</v>
      </c>
      <c r="AE71" s="195">
        <f t="shared" si="5"/>
        <v>5706</v>
      </c>
      <c r="AF71" s="195">
        <f t="shared" si="5"/>
        <v>0</v>
      </c>
      <c r="AG71" s="195">
        <f t="shared" si="5"/>
        <v>4922609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846400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-9895</v>
      </c>
      <c r="AU71" s="195">
        <f t="shared" si="6"/>
        <v>0</v>
      </c>
      <c r="AV71" s="195">
        <f t="shared" si="6"/>
        <v>890794</v>
      </c>
      <c r="AW71" s="195">
        <f t="shared" si="6"/>
        <v>26683</v>
      </c>
      <c r="AX71" s="195">
        <f t="shared" si="6"/>
        <v>0</v>
      </c>
      <c r="AY71" s="195">
        <f t="shared" si="6"/>
        <v>1242846</v>
      </c>
      <c r="AZ71" s="195">
        <f t="shared" si="6"/>
        <v>776723</v>
      </c>
      <c r="BA71" s="195">
        <f t="shared" si="6"/>
        <v>601697</v>
      </c>
      <c r="BB71" s="195">
        <f t="shared" si="6"/>
        <v>1062380</v>
      </c>
      <c r="BC71" s="195">
        <f t="shared" si="6"/>
        <v>103266</v>
      </c>
      <c r="BD71" s="195">
        <f t="shared" si="6"/>
        <v>111193</v>
      </c>
      <c r="BE71" s="195">
        <f t="shared" si="6"/>
        <v>4499172</v>
      </c>
      <c r="BF71" s="195">
        <f t="shared" si="6"/>
        <v>1757592</v>
      </c>
      <c r="BG71" s="195">
        <f t="shared" si="6"/>
        <v>0</v>
      </c>
      <c r="BH71" s="195">
        <f t="shared" si="6"/>
        <v>0</v>
      </c>
      <c r="BI71" s="195">
        <f t="shared" si="6"/>
        <v>17876</v>
      </c>
      <c r="BJ71" s="195">
        <f t="shared" si="6"/>
        <v>22827441</v>
      </c>
      <c r="BK71" s="195">
        <f t="shared" si="6"/>
        <v>-1344226</v>
      </c>
      <c r="BL71" s="195">
        <f t="shared" si="6"/>
        <v>1518963</v>
      </c>
      <c r="BM71" s="195">
        <f t="shared" si="6"/>
        <v>0</v>
      </c>
      <c r="BN71" s="195">
        <f t="shared" si="6"/>
        <v>1458046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399757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0</v>
      </c>
      <c r="BY71" s="195">
        <f t="shared" si="7"/>
        <v>702101</v>
      </c>
      <c r="BZ71" s="195">
        <f t="shared" si="7"/>
        <v>834045</v>
      </c>
      <c r="CA71" s="195">
        <f t="shared" si="7"/>
        <v>2727</v>
      </c>
      <c r="CB71" s="195">
        <f t="shared" si="7"/>
        <v>0</v>
      </c>
      <c r="CC71" s="195">
        <f t="shared" si="7"/>
        <v>55531864</v>
      </c>
      <c r="CD71" s="247">
        <f>CD69-CD70</f>
        <v>17550552</v>
      </c>
      <c r="CE71" s="195">
        <f>SUM(CE61:CE69)-CE70</f>
        <v>190065103</v>
      </c>
      <c r="CF71" s="254"/>
    </row>
    <row r="72" spans="1:84" ht="12.6" customHeight="1" x14ac:dyDescent="0.25">
      <c r="A72" s="171" t="s">
        <v>244</v>
      </c>
      <c r="B72" s="175"/>
      <c r="C72" s="251" t="s">
        <v>221</v>
      </c>
      <c r="D72" s="251" t="s">
        <v>221</v>
      </c>
      <c r="E72" s="251" t="s">
        <v>221</v>
      </c>
      <c r="F72" s="251" t="s">
        <v>221</v>
      </c>
      <c r="G72" s="251" t="s">
        <v>221</v>
      </c>
      <c r="H72" s="251" t="s">
        <v>221</v>
      </c>
      <c r="I72" s="251" t="s">
        <v>221</v>
      </c>
      <c r="J72" s="251" t="s">
        <v>221</v>
      </c>
      <c r="K72" s="255" t="s">
        <v>221</v>
      </c>
      <c r="L72" s="251" t="s">
        <v>221</v>
      </c>
      <c r="M72" s="251" t="s">
        <v>221</v>
      </c>
      <c r="N72" s="251" t="s">
        <v>221</v>
      </c>
      <c r="O72" s="251" t="s">
        <v>221</v>
      </c>
      <c r="P72" s="251" t="s">
        <v>221</v>
      </c>
      <c r="Q72" s="251" t="s">
        <v>221</v>
      </c>
      <c r="R72" s="251" t="s">
        <v>221</v>
      </c>
      <c r="S72" s="251" t="s">
        <v>221</v>
      </c>
      <c r="T72" s="251" t="s">
        <v>221</v>
      </c>
      <c r="U72" s="251" t="s">
        <v>221</v>
      </c>
      <c r="V72" s="251" t="s">
        <v>221</v>
      </c>
      <c r="W72" s="251" t="s">
        <v>221</v>
      </c>
      <c r="X72" s="251" t="s">
        <v>221</v>
      </c>
      <c r="Y72" s="251" t="s">
        <v>221</v>
      </c>
      <c r="Z72" s="251" t="s">
        <v>221</v>
      </c>
      <c r="AA72" s="251" t="s">
        <v>221</v>
      </c>
      <c r="AB72" s="251" t="s">
        <v>221</v>
      </c>
      <c r="AC72" s="251" t="s">
        <v>221</v>
      </c>
      <c r="AD72" s="251" t="s">
        <v>221</v>
      </c>
      <c r="AE72" s="251" t="s">
        <v>221</v>
      </c>
      <c r="AF72" s="251" t="s">
        <v>221</v>
      </c>
      <c r="AG72" s="251" t="s">
        <v>221</v>
      </c>
      <c r="AH72" s="251" t="s">
        <v>221</v>
      </c>
      <c r="AI72" s="251" t="s">
        <v>221</v>
      </c>
      <c r="AJ72" s="251" t="s">
        <v>221</v>
      </c>
      <c r="AK72" s="251" t="s">
        <v>221</v>
      </c>
      <c r="AL72" s="251" t="s">
        <v>221</v>
      </c>
      <c r="AM72" s="251" t="s">
        <v>221</v>
      </c>
      <c r="AN72" s="251" t="s">
        <v>221</v>
      </c>
      <c r="AO72" s="251" t="s">
        <v>221</v>
      </c>
      <c r="AP72" s="251" t="s">
        <v>221</v>
      </c>
      <c r="AQ72" s="251" t="s">
        <v>221</v>
      </c>
      <c r="AR72" s="251" t="s">
        <v>221</v>
      </c>
      <c r="AS72" s="251" t="s">
        <v>221</v>
      </c>
      <c r="AT72" s="251" t="s">
        <v>221</v>
      </c>
      <c r="AU72" s="251" t="s">
        <v>221</v>
      </c>
      <c r="AV72" s="251" t="s">
        <v>221</v>
      </c>
      <c r="AW72" s="251" t="s">
        <v>221</v>
      </c>
      <c r="AX72" s="251" t="s">
        <v>221</v>
      </c>
      <c r="AY72" s="251" t="s">
        <v>221</v>
      </c>
      <c r="AZ72" s="251" t="s">
        <v>221</v>
      </c>
      <c r="BA72" s="251" t="s">
        <v>221</v>
      </c>
      <c r="BB72" s="251" t="s">
        <v>221</v>
      </c>
      <c r="BC72" s="251" t="s">
        <v>221</v>
      </c>
      <c r="BD72" s="251" t="s">
        <v>221</v>
      </c>
      <c r="BE72" s="251" t="s">
        <v>221</v>
      </c>
      <c r="BF72" s="251" t="s">
        <v>221</v>
      </c>
      <c r="BG72" s="251" t="s">
        <v>221</v>
      </c>
      <c r="BH72" s="251" t="s">
        <v>221</v>
      </c>
      <c r="BI72" s="251" t="s">
        <v>221</v>
      </c>
      <c r="BJ72" s="251" t="s">
        <v>221</v>
      </c>
      <c r="BK72" s="251" t="s">
        <v>221</v>
      </c>
      <c r="BL72" s="251" t="s">
        <v>221</v>
      </c>
      <c r="BM72" s="251" t="s">
        <v>221</v>
      </c>
      <c r="BN72" s="251" t="s">
        <v>221</v>
      </c>
      <c r="BO72" s="251" t="s">
        <v>221</v>
      </c>
      <c r="BP72" s="251" t="s">
        <v>221</v>
      </c>
      <c r="BQ72" s="251" t="s">
        <v>221</v>
      </c>
      <c r="BR72" s="251" t="s">
        <v>221</v>
      </c>
      <c r="BS72" s="251" t="s">
        <v>221</v>
      </c>
      <c r="BT72" s="251" t="s">
        <v>221</v>
      </c>
      <c r="BU72" s="251" t="s">
        <v>221</v>
      </c>
      <c r="BV72" s="251" t="s">
        <v>221</v>
      </c>
      <c r="BW72" s="251" t="s">
        <v>221</v>
      </c>
      <c r="BX72" s="251" t="s">
        <v>221</v>
      </c>
      <c r="BY72" s="251" t="s">
        <v>221</v>
      </c>
      <c r="BZ72" s="251" t="s">
        <v>221</v>
      </c>
      <c r="CA72" s="251" t="s">
        <v>221</v>
      </c>
      <c r="CB72" s="251" t="s">
        <v>221</v>
      </c>
      <c r="CC72" s="251" t="s">
        <v>221</v>
      </c>
      <c r="CD72" s="251" t="s">
        <v>221</v>
      </c>
      <c r="CE72" s="188"/>
      <c r="CF72" s="254"/>
    </row>
    <row r="73" spans="1:84" ht="12.6" customHeight="1" x14ac:dyDescent="0.25">
      <c r="A73" s="171" t="s">
        <v>245</v>
      </c>
      <c r="B73" s="175"/>
      <c r="C73" s="184">
        <v>26886158</v>
      </c>
      <c r="D73" s="184"/>
      <c r="E73" s="185">
        <v>23284379</v>
      </c>
      <c r="F73" s="185"/>
      <c r="G73" s="184">
        <v>4600665</v>
      </c>
      <c r="H73" s="184">
        <v>9142444</v>
      </c>
      <c r="I73" s="185"/>
      <c r="J73" s="185"/>
      <c r="K73" s="185"/>
      <c r="L73" s="185"/>
      <c r="M73" s="184"/>
      <c r="N73" s="184">
        <v>15934553</v>
      </c>
      <c r="O73" s="184">
        <v>11964116</v>
      </c>
      <c r="P73" s="185">
        <v>82932687</v>
      </c>
      <c r="Q73" s="185">
        <v>4432333</v>
      </c>
      <c r="R73" s="185">
        <v>12219615</v>
      </c>
      <c r="S73" s="185"/>
      <c r="T73" s="185">
        <v>769609</v>
      </c>
      <c r="U73" s="185">
        <v>11544957</v>
      </c>
      <c r="V73" s="185">
        <v>1106430</v>
      </c>
      <c r="W73" s="185">
        <v>1153161</v>
      </c>
      <c r="X73" s="185">
        <v>3735580</v>
      </c>
      <c r="Y73" s="185">
        <v>3397073</v>
      </c>
      <c r="Z73" s="185"/>
      <c r="AA73" s="185">
        <v>207671</v>
      </c>
      <c r="AB73" s="185">
        <v>22780573</v>
      </c>
      <c r="AC73" s="185">
        <v>6088101</v>
      </c>
      <c r="AD73" s="185">
        <v>363726</v>
      </c>
      <c r="AE73" s="185">
        <v>19848</v>
      </c>
      <c r="AF73" s="185"/>
      <c r="AG73" s="185">
        <v>12363309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>
        <v>100</v>
      </c>
      <c r="AU73" s="185"/>
      <c r="AV73" s="185">
        <v>-208687</v>
      </c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95">
        <f t="shared" ref="CE73:CE80" si="8">SUM(C73:CD73)</f>
        <v>254718401</v>
      </c>
      <c r="CF73" s="254"/>
    </row>
    <row r="74" spans="1:84" ht="12.6" customHeight="1" x14ac:dyDescent="0.25">
      <c r="A74" s="171" t="s">
        <v>246</v>
      </c>
      <c r="B74" s="175"/>
      <c r="C74" s="184">
        <v>993603</v>
      </c>
      <c r="D74" s="184"/>
      <c r="E74" s="185">
        <v>1918174</v>
      </c>
      <c r="F74" s="185"/>
      <c r="G74" s="184">
        <v>2829402</v>
      </c>
      <c r="H74" s="184">
        <v>11626</v>
      </c>
      <c r="I74" s="184"/>
      <c r="J74" s="185"/>
      <c r="K74" s="185"/>
      <c r="L74" s="185"/>
      <c r="M74" s="184"/>
      <c r="N74" s="184">
        <v>22525669</v>
      </c>
      <c r="O74" s="184">
        <v>742113</v>
      </c>
      <c r="P74" s="185">
        <v>75991541</v>
      </c>
      <c r="Q74" s="185">
        <v>7391567</v>
      </c>
      <c r="R74" s="185">
        <v>13518427</v>
      </c>
      <c r="S74" s="185"/>
      <c r="T74" s="185">
        <v>1498184</v>
      </c>
      <c r="U74" s="185">
        <v>6597949</v>
      </c>
      <c r="V74" s="185">
        <v>2093102</v>
      </c>
      <c r="W74" s="185">
        <v>11952646</v>
      </c>
      <c r="X74" s="185">
        <v>14083049</v>
      </c>
      <c r="Y74" s="185">
        <v>19691933</v>
      </c>
      <c r="Z74" s="185"/>
      <c r="AA74" s="185">
        <v>1774377</v>
      </c>
      <c r="AB74" s="185">
        <v>22837910</v>
      </c>
      <c r="AC74" s="185">
        <v>857692</v>
      </c>
      <c r="AD74" s="185">
        <v>11066</v>
      </c>
      <c r="AE74" s="185"/>
      <c r="AF74" s="185"/>
      <c r="AG74" s="185">
        <v>47369972</v>
      </c>
      <c r="AH74" s="185"/>
      <c r="AI74" s="185"/>
      <c r="AJ74" s="185">
        <v>1023860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>
        <v>7467</v>
      </c>
      <c r="AU74" s="185"/>
      <c r="AV74" s="185">
        <v>3227821</v>
      </c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si="8"/>
        <v>258949150</v>
      </c>
      <c r="CF74" s="254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27879761</v>
      </c>
      <c r="D75" s="195">
        <f t="shared" si="9"/>
        <v>0</v>
      </c>
      <c r="E75" s="195">
        <f t="shared" si="9"/>
        <v>25202553</v>
      </c>
      <c r="F75" s="195">
        <f t="shared" si="9"/>
        <v>0</v>
      </c>
      <c r="G75" s="195">
        <f t="shared" si="9"/>
        <v>7430067</v>
      </c>
      <c r="H75" s="195">
        <f t="shared" si="9"/>
        <v>9154070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38460222</v>
      </c>
      <c r="O75" s="195">
        <f t="shared" si="9"/>
        <v>12706229</v>
      </c>
      <c r="P75" s="195">
        <f t="shared" si="9"/>
        <v>158924228</v>
      </c>
      <c r="Q75" s="195">
        <f t="shared" si="9"/>
        <v>11823900</v>
      </c>
      <c r="R75" s="195">
        <f t="shared" si="9"/>
        <v>25738042</v>
      </c>
      <c r="S75" s="195">
        <f t="shared" si="9"/>
        <v>0</v>
      </c>
      <c r="T75" s="195">
        <f t="shared" si="9"/>
        <v>2267793</v>
      </c>
      <c r="U75" s="195">
        <f t="shared" si="9"/>
        <v>18142906</v>
      </c>
      <c r="V75" s="195">
        <f t="shared" si="9"/>
        <v>3199532</v>
      </c>
      <c r="W75" s="195">
        <f t="shared" si="9"/>
        <v>13105807</v>
      </c>
      <c r="X75" s="195">
        <f t="shared" si="9"/>
        <v>17818629</v>
      </c>
      <c r="Y75" s="195">
        <f t="shared" si="9"/>
        <v>23089006</v>
      </c>
      <c r="Z75" s="195">
        <f t="shared" si="9"/>
        <v>0</v>
      </c>
      <c r="AA75" s="195">
        <f t="shared" si="9"/>
        <v>1982048</v>
      </c>
      <c r="AB75" s="195">
        <f t="shared" si="9"/>
        <v>45618483</v>
      </c>
      <c r="AC75" s="195">
        <f t="shared" si="9"/>
        <v>6945793</v>
      </c>
      <c r="AD75" s="195">
        <f t="shared" si="9"/>
        <v>374792</v>
      </c>
      <c r="AE75" s="195">
        <f t="shared" si="9"/>
        <v>19848</v>
      </c>
      <c r="AF75" s="195">
        <f t="shared" si="9"/>
        <v>0</v>
      </c>
      <c r="AG75" s="195">
        <f t="shared" si="9"/>
        <v>59733281</v>
      </c>
      <c r="AH75" s="195">
        <f t="shared" si="9"/>
        <v>0</v>
      </c>
      <c r="AI75" s="195">
        <f t="shared" si="9"/>
        <v>0</v>
      </c>
      <c r="AJ75" s="195">
        <f t="shared" si="9"/>
        <v>1023860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7567</v>
      </c>
      <c r="AU75" s="195">
        <f t="shared" si="9"/>
        <v>0</v>
      </c>
      <c r="AV75" s="195">
        <f t="shared" si="9"/>
        <v>3019134</v>
      </c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8"/>
        <v>513667551</v>
      </c>
      <c r="CF75" s="254"/>
    </row>
    <row r="76" spans="1:84" ht="12.6" customHeight="1" x14ac:dyDescent="0.25">
      <c r="A76" s="171" t="s">
        <v>248</v>
      </c>
      <c r="B76" s="175"/>
      <c r="C76" s="184">
        <v>10716</v>
      </c>
      <c r="D76" s="184"/>
      <c r="E76" s="185">
        <v>62424</v>
      </c>
      <c r="F76" s="185"/>
      <c r="G76" s="184"/>
      <c r="H76" s="184"/>
      <c r="I76" s="185"/>
      <c r="J76" s="185">
        <v>5705</v>
      </c>
      <c r="K76" s="185"/>
      <c r="L76" s="185"/>
      <c r="M76" s="185"/>
      <c r="N76" s="185">
        <v>31104</v>
      </c>
      <c r="O76" s="185">
        <v>14103</v>
      </c>
      <c r="P76" s="185">
        <v>32148</v>
      </c>
      <c r="Q76" s="185">
        <v>12730</v>
      </c>
      <c r="R76" s="185"/>
      <c r="S76" s="185"/>
      <c r="T76" s="185">
        <v>343</v>
      </c>
      <c r="U76" s="185">
        <v>5177</v>
      </c>
      <c r="V76" s="185"/>
      <c r="W76" s="185"/>
      <c r="X76" s="185"/>
      <c r="Y76" s="185">
        <v>15401</v>
      </c>
      <c r="Z76" s="185"/>
      <c r="AA76" s="185"/>
      <c r="AB76" s="185">
        <v>4583</v>
      </c>
      <c r="AC76" s="185">
        <v>1702</v>
      </c>
      <c r="AD76" s="185">
        <v>1106</v>
      </c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9168</v>
      </c>
      <c r="AW76" s="185"/>
      <c r="AX76" s="185"/>
      <c r="AY76" s="185">
        <v>3639</v>
      </c>
      <c r="AZ76" s="185">
        <v>2233</v>
      </c>
      <c r="BA76" s="185"/>
      <c r="BB76" s="185"/>
      <c r="BC76" s="185"/>
      <c r="BD76" s="185">
        <v>12168</v>
      </c>
      <c r="BE76" s="185">
        <v>126526</v>
      </c>
      <c r="BF76" s="185">
        <v>1798</v>
      </c>
      <c r="BG76" s="185"/>
      <c r="BH76" s="185"/>
      <c r="BI76" s="185"/>
      <c r="BJ76" s="185"/>
      <c r="BK76" s="185"/>
      <c r="BL76" s="185">
        <v>4927</v>
      </c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25355</v>
      </c>
      <c r="CD76" s="251" t="s">
        <v>221</v>
      </c>
      <c r="CE76" s="195">
        <f t="shared" si="8"/>
        <v>383056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115540</v>
      </c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1" t="s">
        <v>221</v>
      </c>
      <c r="AY77" s="251" t="s">
        <v>221</v>
      </c>
      <c r="AZ77" s="184"/>
      <c r="BA77" s="184"/>
      <c r="BB77" s="184"/>
      <c r="BC77" s="184"/>
      <c r="BD77" s="251" t="s">
        <v>221</v>
      </c>
      <c r="BE77" s="251" t="s">
        <v>221</v>
      </c>
      <c r="BF77" s="184"/>
      <c r="BG77" s="251" t="s">
        <v>221</v>
      </c>
      <c r="BH77" s="184"/>
      <c r="BI77" s="184"/>
      <c r="BJ77" s="251" t="s">
        <v>221</v>
      </c>
      <c r="BK77" s="184"/>
      <c r="BL77" s="184"/>
      <c r="BM77" s="184"/>
      <c r="BN77" s="251" t="s">
        <v>221</v>
      </c>
      <c r="BO77" s="251" t="s">
        <v>221</v>
      </c>
      <c r="BP77" s="251" t="s">
        <v>221</v>
      </c>
      <c r="BQ77" s="251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1" t="s">
        <v>221</v>
      </c>
      <c r="CD77" s="251" t="s">
        <v>221</v>
      </c>
      <c r="CE77" s="195">
        <f>SUM(C77:CD77)</f>
        <v>115540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21514</v>
      </c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1" t="s">
        <v>221</v>
      </c>
      <c r="AY78" s="251" t="s">
        <v>221</v>
      </c>
      <c r="AZ78" s="251" t="s">
        <v>221</v>
      </c>
      <c r="BA78" s="184"/>
      <c r="BB78" s="184"/>
      <c r="BC78" s="184"/>
      <c r="BD78" s="251" t="s">
        <v>221</v>
      </c>
      <c r="BE78" s="251" t="s">
        <v>221</v>
      </c>
      <c r="BF78" s="251" t="s">
        <v>221</v>
      </c>
      <c r="BG78" s="251" t="s">
        <v>221</v>
      </c>
      <c r="BH78" s="184"/>
      <c r="BI78" s="184"/>
      <c r="BJ78" s="251" t="s">
        <v>221</v>
      </c>
      <c r="BK78" s="184"/>
      <c r="BL78" s="184"/>
      <c r="BM78" s="184"/>
      <c r="BN78" s="251" t="s">
        <v>221</v>
      </c>
      <c r="BO78" s="251" t="s">
        <v>221</v>
      </c>
      <c r="BP78" s="251" t="s">
        <v>221</v>
      </c>
      <c r="BQ78" s="251" t="s">
        <v>221</v>
      </c>
      <c r="BR78" s="251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1" t="s">
        <v>221</v>
      </c>
      <c r="CD78" s="251" t="s">
        <v>221</v>
      </c>
      <c r="CE78" s="195">
        <f t="shared" si="8"/>
        <v>21514</v>
      </c>
      <c r="CF78" s="195"/>
    </row>
    <row r="79" spans="1:84" ht="12.6" customHeight="1" x14ac:dyDescent="0.25">
      <c r="A79" s="171" t="s">
        <v>251</v>
      </c>
      <c r="B79" s="175"/>
      <c r="C79" s="225">
        <v>950200</v>
      </c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1" t="s">
        <v>221</v>
      </c>
      <c r="AY79" s="251" t="s">
        <v>221</v>
      </c>
      <c r="AZ79" s="251" t="s">
        <v>221</v>
      </c>
      <c r="BA79" s="251" t="s">
        <v>221</v>
      </c>
      <c r="BB79" s="184"/>
      <c r="BC79" s="184"/>
      <c r="BD79" s="251" t="s">
        <v>221</v>
      </c>
      <c r="BE79" s="251" t="s">
        <v>221</v>
      </c>
      <c r="BF79" s="251" t="s">
        <v>221</v>
      </c>
      <c r="BG79" s="251" t="s">
        <v>221</v>
      </c>
      <c r="BH79" s="184"/>
      <c r="BI79" s="184"/>
      <c r="BJ79" s="251" t="s">
        <v>221</v>
      </c>
      <c r="BK79" s="184"/>
      <c r="BL79" s="184"/>
      <c r="BM79" s="184"/>
      <c r="BN79" s="251" t="s">
        <v>221</v>
      </c>
      <c r="BO79" s="251" t="s">
        <v>221</v>
      </c>
      <c r="BP79" s="251" t="s">
        <v>221</v>
      </c>
      <c r="BQ79" s="251" t="s">
        <v>221</v>
      </c>
      <c r="BR79" s="251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1" t="s">
        <v>221</v>
      </c>
      <c r="CD79" s="251" t="s">
        <v>221</v>
      </c>
      <c r="CE79" s="195">
        <f t="shared" si="8"/>
        <v>950200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28.13</v>
      </c>
      <c r="D80" s="187"/>
      <c r="E80" s="187">
        <v>38.19</v>
      </c>
      <c r="F80" s="187"/>
      <c r="G80" s="187"/>
      <c r="H80" s="187">
        <v>12.19</v>
      </c>
      <c r="I80" s="187"/>
      <c r="J80" s="187"/>
      <c r="K80" s="187"/>
      <c r="L80" s="187"/>
      <c r="M80" s="187"/>
      <c r="N80" s="187">
        <v>13.76</v>
      </c>
      <c r="O80" s="187">
        <v>21.66</v>
      </c>
      <c r="P80" s="187">
        <v>13.74</v>
      </c>
      <c r="Q80" s="187">
        <v>15.61</v>
      </c>
      <c r="R80" s="187"/>
      <c r="S80" s="187"/>
      <c r="T80" s="187">
        <v>3.28</v>
      </c>
      <c r="U80" s="187"/>
      <c r="V80" s="187"/>
      <c r="W80" s="187"/>
      <c r="X80" s="187">
        <v>0.01</v>
      </c>
      <c r="Y80" s="187"/>
      <c r="Z80" s="187"/>
      <c r="AA80" s="187"/>
      <c r="AB80" s="187"/>
      <c r="AC80" s="187"/>
      <c r="AD80" s="187">
        <v>0.48</v>
      </c>
      <c r="AE80" s="187"/>
      <c r="AF80" s="187"/>
      <c r="AG80" s="187">
        <v>20.09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10.72</v>
      </c>
      <c r="AW80" s="251" t="s">
        <v>221</v>
      </c>
      <c r="AX80" s="251" t="s">
        <v>221</v>
      </c>
      <c r="AY80" s="251" t="s">
        <v>221</v>
      </c>
      <c r="AZ80" s="251" t="s">
        <v>221</v>
      </c>
      <c r="BA80" s="251" t="s">
        <v>221</v>
      </c>
      <c r="BB80" s="251" t="s">
        <v>221</v>
      </c>
      <c r="BC80" s="251" t="s">
        <v>221</v>
      </c>
      <c r="BD80" s="251" t="s">
        <v>221</v>
      </c>
      <c r="BE80" s="251" t="s">
        <v>221</v>
      </c>
      <c r="BF80" s="251" t="s">
        <v>221</v>
      </c>
      <c r="BG80" s="251" t="s">
        <v>221</v>
      </c>
      <c r="BH80" s="251" t="s">
        <v>221</v>
      </c>
      <c r="BI80" s="251" t="s">
        <v>221</v>
      </c>
      <c r="BJ80" s="251" t="s">
        <v>221</v>
      </c>
      <c r="BK80" s="251" t="s">
        <v>221</v>
      </c>
      <c r="BL80" s="251" t="s">
        <v>221</v>
      </c>
      <c r="BM80" s="251" t="s">
        <v>221</v>
      </c>
      <c r="BN80" s="251" t="s">
        <v>221</v>
      </c>
      <c r="BO80" s="251" t="s">
        <v>221</v>
      </c>
      <c r="BP80" s="251" t="s">
        <v>221</v>
      </c>
      <c r="BQ80" s="251" t="s">
        <v>221</v>
      </c>
      <c r="BR80" s="251" t="s">
        <v>221</v>
      </c>
      <c r="BS80" s="251" t="s">
        <v>221</v>
      </c>
      <c r="BT80" s="251" t="s">
        <v>221</v>
      </c>
      <c r="BU80" s="256"/>
      <c r="BV80" s="256"/>
      <c r="BW80" s="256"/>
      <c r="BX80" s="256"/>
      <c r="BY80" s="256"/>
      <c r="BZ80" s="256"/>
      <c r="CA80" s="256"/>
      <c r="CB80" s="256"/>
      <c r="CC80" s="251" t="s">
        <v>221</v>
      </c>
      <c r="CD80" s="251" t="s">
        <v>221</v>
      </c>
      <c r="CE80" s="257">
        <f t="shared" si="8"/>
        <v>177.85999999999996</v>
      </c>
      <c r="CF80" s="257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8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8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1252</v>
      </c>
      <c r="B85" s="172"/>
      <c r="C85" s="294" t="s">
        <v>1268</v>
      </c>
      <c r="D85" s="205"/>
      <c r="E85" s="204"/>
    </row>
    <row r="86" spans="1:5" ht="12.6" customHeight="1" x14ac:dyDescent="0.25">
      <c r="A86" s="173" t="s">
        <v>1253</v>
      </c>
      <c r="B86" s="172" t="s">
        <v>256</v>
      </c>
      <c r="C86" s="295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8"/>
      <c r="E92" s="175"/>
    </row>
    <row r="93" spans="1:5" ht="12.6" customHeight="1" x14ac:dyDescent="0.25">
      <c r="A93" s="173" t="s">
        <v>264</v>
      </c>
      <c r="B93" s="172" t="s">
        <v>256</v>
      </c>
      <c r="C93" s="296"/>
      <c r="D93" s="258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9" t="s">
        <v>266</v>
      </c>
      <c r="B96" s="259"/>
      <c r="C96" s="259"/>
      <c r="D96" s="259"/>
      <c r="E96" s="259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9" t="s">
        <v>269</v>
      </c>
      <c r="B100" s="259"/>
      <c r="C100" s="259"/>
      <c r="D100" s="259"/>
      <c r="E100" s="259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9" t="s">
        <v>271</v>
      </c>
      <c r="B103" s="259"/>
      <c r="C103" s="259"/>
      <c r="D103" s="259"/>
      <c r="E103" s="259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6570</v>
      </c>
      <c r="D111" s="174">
        <v>16874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1203</v>
      </c>
      <c r="D114" s="174">
        <v>2048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36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1240</v>
      </c>
      <c r="B118" s="172" t="s">
        <v>256</v>
      </c>
      <c r="C118" s="189">
        <v>15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80</v>
      </c>
    </row>
    <row r="128" spans="1:5" ht="12.6" customHeight="1" x14ac:dyDescent="0.25">
      <c r="A128" s="173" t="s">
        <v>292</v>
      </c>
      <c r="B128" s="172" t="s">
        <v>256</v>
      </c>
      <c r="C128" s="189">
        <v>80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1241</v>
      </c>
      <c r="B136" s="207"/>
      <c r="C136" s="207"/>
      <c r="D136" s="207"/>
      <c r="E136" s="207"/>
    </row>
    <row r="137" spans="1:6" ht="12.6" customHeight="1" x14ac:dyDescent="0.25">
      <c r="A137" s="260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2791</v>
      </c>
      <c r="C138" s="189">
        <v>517</v>
      </c>
      <c r="D138" s="174">
        <v>3262</v>
      </c>
      <c r="E138" s="175">
        <f>SUM(B138:D138)</f>
        <v>6570</v>
      </c>
    </row>
    <row r="139" spans="1:6" ht="12.6" customHeight="1" x14ac:dyDescent="0.25">
      <c r="A139" s="173" t="s">
        <v>215</v>
      </c>
      <c r="B139" s="174">
        <v>7168</v>
      </c>
      <c r="C139" s="189">
        <v>1328</v>
      </c>
      <c r="D139" s="174">
        <v>8378</v>
      </c>
      <c r="E139" s="175">
        <f>SUM(B139:D139)</f>
        <v>16874</v>
      </c>
    </row>
    <row r="140" spans="1:6" ht="12.6" customHeight="1" x14ac:dyDescent="0.25">
      <c r="A140" s="173" t="s">
        <v>298</v>
      </c>
      <c r="B140" s="174">
        <v>28188</v>
      </c>
      <c r="C140" s="174">
        <v>11476</v>
      </c>
      <c r="D140" s="174">
        <v>72324</v>
      </c>
      <c r="E140" s="175">
        <f>SUM(B140:D140)</f>
        <v>111988</v>
      </c>
    </row>
    <row r="141" spans="1:6" ht="12.6" customHeight="1" x14ac:dyDescent="0.25">
      <c r="A141" s="173" t="s">
        <v>245</v>
      </c>
      <c r="B141" s="174">
        <v>108202553</v>
      </c>
      <c r="C141" s="189">
        <v>20044730</v>
      </c>
      <c r="D141" s="174">
        <v>126471117</v>
      </c>
      <c r="E141" s="175">
        <f>SUM(B141:D141)</f>
        <v>254718400</v>
      </c>
      <c r="F141" s="199"/>
    </row>
    <row r="142" spans="1:6" ht="12.6" customHeight="1" x14ac:dyDescent="0.25">
      <c r="A142" s="173" t="s">
        <v>246</v>
      </c>
      <c r="B142" s="174">
        <v>65178641</v>
      </c>
      <c r="C142" s="189">
        <v>26535914</v>
      </c>
      <c r="D142" s="174">
        <v>167234595</v>
      </c>
      <c r="E142" s="175">
        <f>SUM(B142:D142)</f>
        <v>258949150</v>
      </c>
      <c r="F142" s="199"/>
    </row>
    <row r="143" spans="1:6" ht="12.6" customHeight="1" x14ac:dyDescent="0.25">
      <c r="A143" s="260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60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0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9" t="s">
        <v>306</v>
      </c>
      <c r="B164" s="259"/>
      <c r="C164" s="259"/>
      <c r="D164" s="259"/>
      <c r="E164" s="259"/>
    </row>
    <row r="165" spans="1:5" ht="11.4" customHeight="1" x14ac:dyDescent="0.25">
      <c r="A165" s="173" t="s">
        <v>307</v>
      </c>
      <c r="B165" s="172" t="s">
        <v>256</v>
      </c>
      <c r="C165" s="189">
        <v>3449479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175484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3624963</v>
      </c>
      <c r="E173" s="175"/>
    </row>
    <row r="174" spans="1:5" ht="11.4" customHeight="1" x14ac:dyDescent="0.25">
      <c r="A174" s="259" t="s">
        <v>314</v>
      </c>
      <c r="B174" s="259"/>
      <c r="C174" s="259"/>
      <c r="D174" s="259"/>
      <c r="E174" s="259"/>
    </row>
    <row r="175" spans="1:5" ht="11.4" customHeight="1" x14ac:dyDescent="0.25">
      <c r="A175" s="173" t="s">
        <v>315</v>
      </c>
      <c r="B175" s="172" t="s">
        <v>256</v>
      </c>
      <c r="C175" s="189">
        <v>2354515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123181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2477696</v>
      </c>
      <c r="E177" s="175"/>
    </row>
    <row r="178" spans="1:5" ht="11.4" customHeight="1" x14ac:dyDescent="0.25">
      <c r="A178" s="259" t="s">
        <v>317</v>
      </c>
      <c r="B178" s="259"/>
      <c r="C178" s="259"/>
      <c r="D178" s="259"/>
      <c r="E178" s="259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4274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4274</v>
      </c>
      <c r="E181" s="175"/>
    </row>
    <row r="182" spans="1:5" ht="11.4" customHeight="1" x14ac:dyDescent="0.25">
      <c r="A182" s="259" t="s">
        <v>320</v>
      </c>
      <c r="B182" s="259"/>
      <c r="C182" s="259"/>
      <c r="D182" s="259"/>
      <c r="E182" s="259"/>
    </row>
    <row r="183" spans="1:5" ht="11.4" customHeight="1" x14ac:dyDescent="0.25">
      <c r="A183" s="173" t="s">
        <v>321</v>
      </c>
      <c r="B183" s="172" t="s">
        <v>256</v>
      </c>
      <c r="C183" s="189">
        <v>46374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3733068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3779442</v>
      </c>
      <c r="E186" s="175"/>
    </row>
    <row r="187" spans="1:5" ht="11.4" customHeight="1" x14ac:dyDescent="0.25">
      <c r="A187" s="259" t="s">
        <v>323</v>
      </c>
      <c r="B187" s="259"/>
      <c r="C187" s="259"/>
      <c r="D187" s="259"/>
      <c r="E187" s="259"/>
    </row>
    <row r="188" spans="1:5" ht="11.4" customHeight="1" x14ac:dyDescent="0.25">
      <c r="A188" s="173" t="s">
        <v>324</v>
      </c>
      <c r="B188" s="172" t="s">
        <v>256</v>
      </c>
      <c r="C188" s="189">
        <v>-469662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14236498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13766836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46315058</v>
      </c>
      <c r="C195" s="189"/>
      <c r="D195" s="174"/>
      <c r="E195" s="175">
        <f t="shared" ref="E195:E203" si="10">SUM(B195:C195)-D195</f>
        <v>46315058</v>
      </c>
    </row>
    <row r="196" spans="1:8" ht="12.6" customHeight="1" x14ac:dyDescent="0.25">
      <c r="A196" s="173" t="s">
        <v>333</v>
      </c>
      <c r="B196" s="174">
        <v>0</v>
      </c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286141443</v>
      </c>
      <c r="C197" s="189">
        <f>265668+142629-1</f>
        <v>408296</v>
      </c>
      <c r="D197" s="174"/>
      <c r="E197" s="175">
        <f t="shared" si="10"/>
        <v>286549739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493447</v>
      </c>
      <c r="C199" s="189">
        <f>77927+8641+38877</f>
        <v>125445</v>
      </c>
      <c r="D199" s="174"/>
      <c r="E199" s="175">
        <f t="shared" si="10"/>
        <v>618892</v>
      </c>
    </row>
    <row r="200" spans="1:8" ht="12.6" customHeight="1" x14ac:dyDescent="0.25">
      <c r="A200" s="173" t="s">
        <v>337</v>
      </c>
      <c r="B200" s="174">
        <v>89581250</v>
      </c>
      <c r="C200" s="189">
        <f>537430+43800+47952-2520</f>
        <v>626662</v>
      </c>
      <c r="D200" s="174">
        <v>190724</v>
      </c>
      <c r="E200" s="175">
        <f t="shared" si="10"/>
        <v>90017188</v>
      </c>
    </row>
    <row r="201" spans="1:8" ht="12.6" customHeight="1" x14ac:dyDescent="0.25">
      <c r="A201" s="173" t="s">
        <v>338</v>
      </c>
      <c r="B201" s="174">
        <v>0</v>
      </c>
      <c r="C201" s="189">
        <f>190724+3849+760</f>
        <v>195333</v>
      </c>
      <c r="D201" s="174"/>
      <c r="E201" s="175">
        <f t="shared" si="10"/>
        <v>195333</v>
      </c>
    </row>
    <row r="202" spans="1:8" ht="12.6" customHeight="1" x14ac:dyDescent="0.25">
      <c r="A202" s="173" t="s">
        <v>339</v>
      </c>
      <c r="B202" s="174">
        <v>47952</v>
      </c>
      <c r="C202" s="189"/>
      <c r="D202" s="174">
        <v>47952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404981</v>
      </c>
      <c r="C203" s="189">
        <f>381416+1228331-33243-216261+2119</f>
        <v>1362362</v>
      </c>
      <c r="D203" s="174">
        <f>334638+1245544</f>
        <v>1580182</v>
      </c>
      <c r="E203" s="175">
        <f t="shared" si="10"/>
        <v>187161</v>
      </c>
    </row>
    <row r="204" spans="1:8" ht="12.6" customHeight="1" x14ac:dyDescent="0.25">
      <c r="A204" s="173" t="s">
        <v>203</v>
      </c>
      <c r="B204" s="175">
        <f>SUM(B195:B203)</f>
        <v>422984131</v>
      </c>
      <c r="C204" s="191">
        <f>SUM(C195:C203)</f>
        <v>2718098</v>
      </c>
      <c r="D204" s="175">
        <f>SUM(D195:D203)</f>
        <v>1818858</v>
      </c>
      <c r="E204" s="175">
        <f>SUM(E195:E203)</f>
        <v>423883371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1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1"/>
    </row>
    <row r="209" spans="1:8" ht="12.6" customHeight="1" x14ac:dyDescent="0.25">
      <c r="A209" s="173" t="s">
        <v>333</v>
      </c>
      <c r="B209" s="174">
        <v>0</v>
      </c>
      <c r="C209" s="189"/>
      <c r="D209" s="174"/>
      <c r="E209" s="175">
        <f t="shared" ref="E209:E216" si="11">SUM(B209:C209)-D209</f>
        <v>0</v>
      </c>
      <c r="H209" s="261"/>
    </row>
    <row r="210" spans="1:8" ht="12.6" customHeight="1" x14ac:dyDescent="0.25">
      <c r="A210" s="173" t="s">
        <v>334</v>
      </c>
      <c r="B210" s="174">
        <v>29652414.16</v>
      </c>
      <c r="C210" s="189">
        <v>10316599</v>
      </c>
      <c r="D210" s="174"/>
      <c r="E210" s="175">
        <f t="shared" si="11"/>
        <v>39969013.159999996</v>
      </c>
      <c r="H210" s="261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61"/>
    </row>
    <row r="212" spans="1:8" ht="12.6" customHeight="1" x14ac:dyDescent="0.25">
      <c r="A212" s="173" t="s">
        <v>336</v>
      </c>
      <c r="B212" s="174">
        <v>89158</v>
      </c>
      <c r="C212" s="189">
        <f>57926+7616+35</f>
        <v>65577</v>
      </c>
      <c r="D212" s="174"/>
      <c r="E212" s="175">
        <f t="shared" si="11"/>
        <v>154735</v>
      </c>
      <c r="H212" s="261"/>
    </row>
    <row r="213" spans="1:8" ht="12.6" customHeight="1" x14ac:dyDescent="0.25">
      <c r="A213" s="173" t="s">
        <v>337</v>
      </c>
      <c r="B213" s="174">
        <v>45319202</v>
      </c>
      <c r="C213" s="189">
        <f>13683725</f>
        <v>13683725</v>
      </c>
      <c r="D213" s="174">
        <v>66836</v>
      </c>
      <c r="E213" s="175">
        <f t="shared" si="11"/>
        <v>58936091</v>
      </c>
      <c r="H213" s="261"/>
    </row>
    <row r="214" spans="1:8" ht="12.6" customHeight="1" x14ac:dyDescent="0.25">
      <c r="A214" s="173" t="s">
        <v>338</v>
      </c>
      <c r="B214" s="174">
        <v>0</v>
      </c>
      <c r="C214" s="189">
        <v>132790</v>
      </c>
      <c r="D214" s="174"/>
      <c r="E214" s="175">
        <f t="shared" si="11"/>
        <v>132790</v>
      </c>
      <c r="H214" s="261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61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61"/>
    </row>
    <row r="217" spans="1:8" ht="12.6" customHeight="1" x14ac:dyDescent="0.25">
      <c r="A217" s="173" t="s">
        <v>203</v>
      </c>
      <c r="B217" s="175">
        <f>SUM(B208:B216)</f>
        <v>75060774.159999996</v>
      </c>
      <c r="C217" s="191">
        <f>SUM(C208:C216)</f>
        <v>24198691</v>
      </c>
      <c r="D217" s="175">
        <f>SUM(D208:D216)</f>
        <v>66836</v>
      </c>
      <c r="E217" s="175">
        <f>SUM(E208:E216)</f>
        <v>99192629.159999996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7" t="s">
        <v>1259</v>
      </c>
      <c r="C220" s="297"/>
      <c r="D220" s="208"/>
      <c r="E220" s="208"/>
    </row>
    <row r="221" spans="1:8" ht="12.6" customHeight="1" x14ac:dyDescent="0.25">
      <c r="A221" s="272" t="s">
        <v>1259</v>
      </c>
      <c r="B221" s="208"/>
      <c r="C221" s="189">
        <v>2650239</v>
      </c>
      <c r="D221" s="172">
        <f>C221</f>
        <v>2650239</v>
      </c>
      <c r="E221" s="208"/>
    </row>
    <row r="222" spans="1:8" ht="12.6" customHeight="1" x14ac:dyDescent="0.25">
      <c r="A222" s="259" t="s">
        <v>343</v>
      </c>
      <c r="B222" s="259"/>
      <c r="C222" s="259"/>
      <c r="D222" s="259"/>
      <c r="E222" s="259"/>
    </row>
    <row r="223" spans="1:8" ht="12.6" customHeight="1" x14ac:dyDescent="0.25">
      <c r="A223" s="173" t="s">
        <v>344</v>
      </c>
      <c r="B223" s="172" t="s">
        <v>256</v>
      </c>
      <c r="C223" s="189">
        <v>131197242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36436830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1848252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148421842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13147602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331051768</v>
      </c>
      <c r="E229" s="175"/>
    </row>
    <row r="230" spans="1:5" ht="12.6" customHeight="1" x14ac:dyDescent="0.25">
      <c r="A230" s="259" t="s">
        <v>351</v>
      </c>
      <c r="B230" s="259"/>
      <c r="C230" s="259"/>
      <c r="D230" s="259"/>
      <c r="E230" s="259"/>
    </row>
    <row r="231" spans="1:5" ht="12.6" customHeight="1" x14ac:dyDescent="0.25">
      <c r="A231" s="171" t="s">
        <v>352</v>
      </c>
      <c r="B231" s="172" t="s">
        <v>256</v>
      </c>
      <c r="C231" s="189">
        <v>235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1968970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1865177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3834147</v>
      </c>
      <c r="E236" s="175"/>
    </row>
    <row r="237" spans="1:5" ht="12.6" customHeight="1" x14ac:dyDescent="0.25">
      <c r="A237" s="259" t="s">
        <v>356</v>
      </c>
      <c r="B237" s="259"/>
      <c r="C237" s="259"/>
      <c r="D237" s="259"/>
      <c r="E237" s="259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337536154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9" t="s">
        <v>361</v>
      </c>
      <c r="B249" s="259"/>
      <c r="C249" s="259"/>
      <c r="D249" s="259"/>
      <c r="E249" s="259"/>
    </row>
    <row r="250" spans="1:5" ht="12.45" customHeight="1" x14ac:dyDescent="0.25">
      <c r="A250" s="173" t="s">
        <v>362</v>
      </c>
      <c r="B250" s="172" t="s">
        <v>256</v>
      </c>
      <c r="C250" s="189">
        <v>13392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74104205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47748708</v>
      </c>
      <c r="D253" s="175"/>
      <c r="E253" s="175"/>
    </row>
    <row r="254" spans="1:5" ht="12.45" customHeight="1" x14ac:dyDescent="0.25">
      <c r="A254" s="173" t="s">
        <v>1242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21450293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7001453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897884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870559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56589078</v>
      </c>
      <c r="E260" s="175"/>
    </row>
    <row r="261" spans="1:5" ht="11.25" customHeight="1" x14ac:dyDescent="0.25">
      <c r="A261" s="259" t="s">
        <v>372</v>
      </c>
      <c r="B261" s="259"/>
      <c r="C261" s="259"/>
      <c r="D261" s="259"/>
      <c r="E261" s="259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9" t="s">
        <v>375</v>
      </c>
      <c r="B266" s="259"/>
      <c r="C266" s="259"/>
      <c r="D266" s="259"/>
      <c r="E266" s="259"/>
    </row>
    <row r="267" spans="1:5" ht="12.45" customHeight="1" x14ac:dyDescent="0.25">
      <c r="A267" s="173" t="s">
        <v>332</v>
      </c>
      <c r="B267" s="172" t="s">
        <v>256</v>
      </c>
      <c r="C267" s="189">
        <v>46315058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286549739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618892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90212521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187161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423883371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99192629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324690742</v>
      </c>
      <c r="E277" s="175"/>
    </row>
    <row r="278" spans="1:5" ht="12.6" customHeight="1" x14ac:dyDescent="0.25">
      <c r="A278" s="259" t="s">
        <v>382</v>
      </c>
      <c r="B278" s="259"/>
      <c r="C278" s="259"/>
      <c r="D278" s="259"/>
      <c r="E278" s="259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391062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391062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9" t="s">
        <v>387</v>
      </c>
      <c r="B285" s="259"/>
      <c r="C285" s="259"/>
      <c r="D285" s="259"/>
      <c r="E285" s="259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2385438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2385438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384056320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9" t="s">
        <v>395</v>
      </c>
      <c r="B303" s="259"/>
      <c r="C303" s="259"/>
      <c r="D303" s="259"/>
      <c r="E303" s="259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3883504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3377642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1243</v>
      </c>
      <c r="B309" s="172" t="s">
        <v>256</v>
      </c>
      <c r="C309" s="189">
        <v>3390695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37743204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48395045</v>
      </c>
      <c r="E314" s="175"/>
    </row>
    <row r="315" spans="1:5" ht="12.6" customHeight="1" x14ac:dyDescent="0.25">
      <c r="A315" s="259" t="s">
        <v>406</v>
      </c>
      <c r="B315" s="259"/>
      <c r="C315" s="259"/>
      <c r="D315" s="259"/>
      <c r="E315" s="259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882166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882166</v>
      </c>
      <c r="E319" s="175"/>
    </row>
    <row r="320" spans="1:5" ht="12.6" customHeight="1" x14ac:dyDescent="0.25">
      <c r="A320" s="259" t="s">
        <v>411</v>
      </c>
      <c r="B320" s="259"/>
      <c r="C320" s="259"/>
      <c r="D320" s="259"/>
      <c r="E320" s="259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316233983-1</f>
        <v>316233982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316233982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316233982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18545127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1144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1254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384056320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384056320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9" t="s">
        <v>427</v>
      </c>
      <c r="B358" s="259"/>
      <c r="C358" s="259"/>
      <c r="D358" s="259"/>
      <c r="E358" s="259"/>
    </row>
    <row r="359" spans="1:5" ht="12.6" customHeight="1" x14ac:dyDescent="0.25">
      <c r="A359" s="173" t="s">
        <v>428</v>
      </c>
      <c r="B359" s="172" t="s">
        <v>256</v>
      </c>
      <c r="C359" s="189">
        <v>254718400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258949150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513667550</v>
      </c>
      <c r="E361" s="175"/>
    </row>
    <row r="362" spans="1:5" ht="12.6" customHeight="1" x14ac:dyDescent="0.25">
      <c r="A362" s="259" t="s">
        <v>431</v>
      </c>
      <c r="B362" s="259"/>
      <c r="C362" s="259"/>
      <c r="D362" s="259"/>
      <c r="E362" s="259"/>
    </row>
    <row r="363" spans="1:5" ht="12.6" customHeight="1" x14ac:dyDescent="0.25">
      <c r="A363" s="173" t="s">
        <v>1259</v>
      </c>
      <c r="B363" s="259"/>
      <c r="C363" s="189">
        <v>2650239</v>
      </c>
      <c r="D363" s="175"/>
      <c r="E363" s="259"/>
    </row>
    <row r="364" spans="1:5" ht="12.6" customHeight="1" x14ac:dyDescent="0.25">
      <c r="A364" s="173" t="s">
        <v>432</v>
      </c>
      <c r="B364" s="172" t="s">
        <v>256</v>
      </c>
      <c r="C364" s="189">
        <v>331051768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3834147-1</f>
        <v>3834146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337536153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176131397</v>
      </c>
      <c r="E368" s="175"/>
    </row>
    <row r="369" spans="1:5" ht="12.6" customHeight="1" x14ac:dyDescent="0.25">
      <c r="A369" s="259" t="s">
        <v>436</v>
      </c>
      <c r="B369" s="259"/>
      <c r="C369" s="259"/>
      <c r="D369" s="259"/>
      <c r="E369" s="259"/>
    </row>
    <row r="370" spans="1:5" ht="12.6" customHeight="1" x14ac:dyDescent="0.25">
      <c r="A370" s="173" t="s">
        <v>437</v>
      </c>
      <c r="B370" s="172" t="s">
        <v>256</v>
      </c>
      <c r="C370" s="189">
        <v>12497320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12497320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188628717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9" t="s">
        <v>441</v>
      </c>
      <c r="B377" s="259"/>
      <c r="C377" s="259"/>
      <c r="D377" s="259"/>
      <c r="E377" s="259"/>
    </row>
    <row r="378" spans="1:5" ht="12.6" customHeight="1" x14ac:dyDescent="0.25">
      <c r="A378" s="173" t="s">
        <v>442</v>
      </c>
      <c r="B378" s="172" t="s">
        <v>256</v>
      </c>
      <c r="C378" s="189">
        <v>52731433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3624963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4961736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27905655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1637330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10055212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24114019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2477696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4274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3779442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13766836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57503822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202562418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-13933701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-13933701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-13933701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2"/>
    </row>
    <row r="412" spans="1:5" ht="12.6" customHeight="1" x14ac:dyDescent="0.25">
      <c r="A412" s="179" t="str">
        <f>C84&amp;"   "&amp;"H-"&amp;FIXED(C83,0,TRUE)&amp;"     FYE "&amp;C82</f>
        <v>Swedish Issaquah   H-0     FYE 12/31/2015</v>
      </c>
      <c r="B412" s="179"/>
      <c r="C412" s="179"/>
      <c r="D412" s="179"/>
      <c r="E412" s="262"/>
    </row>
    <row r="413" spans="1:5" ht="12.6" customHeight="1" x14ac:dyDescent="0.25">
      <c r="A413" s="179" t="s">
        <v>460</v>
      </c>
      <c r="B413" s="181" t="s">
        <v>461</v>
      </c>
      <c r="C413" s="181" t="s">
        <v>1244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6570</v>
      </c>
      <c r="C414" s="194">
        <f>E138</f>
        <v>6570</v>
      </c>
      <c r="D414" s="179"/>
    </row>
    <row r="415" spans="1:5" ht="12.6" customHeight="1" x14ac:dyDescent="0.25">
      <c r="A415" s="179" t="s">
        <v>464</v>
      </c>
      <c r="B415" s="179">
        <f>D111</f>
        <v>16874</v>
      </c>
      <c r="C415" s="179">
        <f>E139</f>
        <v>16874</v>
      </c>
      <c r="D415" s="194">
        <f>SUM(C59:H59)+N59</f>
        <v>16874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1203</v>
      </c>
    </row>
    <row r="424" spans="1:7" ht="12.6" customHeight="1" x14ac:dyDescent="0.25">
      <c r="A424" s="179" t="s">
        <v>1245</v>
      </c>
      <c r="B424" s="179">
        <f>D114</f>
        <v>2048</v>
      </c>
      <c r="D424" s="179">
        <f>J59</f>
        <v>2048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52731433</v>
      </c>
      <c r="C427" s="179">
        <f t="shared" ref="C427:C434" si="13">CE61</f>
        <v>52731434</v>
      </c>
      <c r="D427" s="179"/>
    </row>
    <row r="428" spans="1:7" ht="12.6" customHeight="1" x14ac:dyDescent="0.25">
      <c r="A428" s="179" t="s">
        <v>3</v>
      </c>
      <c r="B428" s="179">
        <f t="shared" si="12"/>
        <v>3624963</v>
      </c>
      <c r="C428" s="179">
        <f t="shared" si="13"/>
        <v>3624963</v>
      </c>
      <c r="D428" s="179">
        <f>D173</f>
        <v>3624963</v>
      </c>
    </row>
    <row r="429" spans="1:7" ht="12.6" customHeight="1" x14ac:dyDescent="0.25">
      <c r="A429" s="179" t="s">
        <v>236</v>
      </c>
      <c r="B429" s="179">
        <f t="shared" si="12"/>
        <v>4961736</v>
      </c>
      <c r="C429" s="179">
        <f t="shared" si="13"/>
        <v>4961738</v>
      </c>
      <c r="D429" s="179"/>
    </row>
    <row r="430" spans="1:7" ht="12.6" customHeight="1" x14ac:dyDescent="0.25">
      <c r="A430" s="179" t="s">
        <v>237</v>
      </c>
      <c r="B430" s="179">
        <f t="shared" si="12"/>
        <v>27905655</v>
      </c>
      <c r="C430" s="179">
        <f t="shared" si="13"/>
        <v>27905657</v>
      </c>
      <c r="D430" s="179"/>
    </row>
    <row r="431" spans="1:7" ht="12.6" customHeight="1" x14ac:dyDescent="0.25">
      <c r="A431" s="179" t="s">
        <v>444</v>
      </c>
      <c r="B431" s="179">
        <f t="shared" si="12"/>
        <v>1637330</v>
      </c>
      <c r="C431" s="179">
        <f t="shared" si="13"/>
        <v>1637332</v>
      </c>
      <c r="D431" s="179"/>
    </row>
    <row r="432" spans="1:7" ht="12.6" customHeight="1" x14ac:dyDescent="0.25">
      <c r="A432" s="179" t="s">
        <v>445</v>
      </c>
      <c r="B432" s="179">
        <f t="shared" si="12"/>
        <v>10055212</v>
      </c>
      <c r="C432" s="179">
        <f t="shared" si="13"/>
        <v>10055213</v>
      </c>
      <c r="D432" s="179"/>
    </row>
    <row r="433" spans="1:7" ht="12.6" customHeight="1" x14ac:dyDescent="0.25">
      <c r="A433" s="179" t="s">
        <v>6</v>
      </c>
      <c r="B433" s="179">
        <f t="shared" si="12"/>
        <v>24114019</v>
      </c>
      <c r="C433" s="179">
        <f t="shared" si="13"/>
        <v>24114017</v>
      </c>
      <c r="D433" s="179">
        <f>C217</f>
        <v>24198691</v>
      </c>
    </row>
    <row r="434" spans="1:7" ht="12.6" customHeight="1" x14ac:dyDescent="0.25">
      <c r="A434" s="179" t="s">
        <v>474</v>
      </c>
      <c r="B434" s="179">
        <f t="shared" si="12"/>
        <v>2477696</v>
      </c>
      <c r="C434" s="179">
        <f t="shared" si="13"/>
        <v>2477696</v>
      </c>
      <c r="D434" s="179">
        <f>D177</f>
        <v>2477696</v>
      </c>
    </row>
    <row r="435" spans="1:7" ht="12.6" customHeight="1" x14ac:dyDescent="0.25">
      <c r="A435" s="179" t="s">
        <v>447</v>
      </c>
      <c r="B435" s="179">
        <f t="shared" si="12"/>
        <v>4274</v>
      </c>
      <c r="C435" s="179"/>
      <c r="D435" s="179">
        <f>D181</f>
        <v>4274</v>
      </c>
    </row>
    <row r="436" spans="1:7" ht="12.6" customHeight="1" x14ac:dyDescent="0.25">
      <c r="A436" s="179" t="s">
        <v>475</v>
      </c>
      <c r="B436" s="179">
        <f t="shared" si="12"/>
        <v>3779442</v>
      </c>
      <c r="C436" s="179"/>
      <c r="D436" s="179">
        <f>D186</f>
        <v>3779442</v>
      </c>
    </row>
    <row r="437" spans="1:7" ht="12.6" customHeight="1" x14ac:dyDescent="0.25">
      <c r="A437" s="194" t="s">
        <v>449</v>
      </c>
      <c r="B437" s="194">
        <f t="shared" si="12"/>
        <v>13766836</v>
      </c>
      <c r="C437" s="194"/>
      <c r="D437" s="194">
        <f>D190</f>
        <v>13766836</v>
      </c>
    </row>
    <row r="438" spans="1:7" ht="12.6" customHeight="1" x14ac:dyDescent="0.25">
      <c r="A438" s="194" t="s">
        <v>476</v>
      </c>
      <c r="B438" s="194">
        <f>C386+C387+C388</f>
        <v>17550552</v>
      </c>
      <c r="C438" s="194">
        <f>CD69</f>
        <v>17550552</v>
      </c>
      <c r="D438" s="194">
        <f>D181+D186+D190</f>
        <v>17550552</v>
      </c>
    </row>
    <row r="439" spans="1:7" ht="12.6" customHeight="1" x14ac:dyDescent="0.25">
      <c r="A439" s="179" t="s">
        <v>451</v>
      </c>
      <c r="B439" s="194">
        <f>C389</f>
        <v>57503822</v>
      </c>
      <c r="C439" s="194">
        <f>SUM(C69:CC69)</f>
        <v>57503822</v>
      </c>
      <c r="D439" s="179"/>
    </row>
    <row r="440" spans="1:7" ht="12.6" customHeight="1" x14ac:dyDescent="0.25">
      <c r="A440" s="179" t="s">
        <v>477</v>
      </c>
      <c r="B440" s="194">
        <f>B438+B439</f>
        <v>75054374</v>
      </c>
      <c r="C440" s="194">
        <f>CE69</f>
        <v>75054374</v>
      </c>
      <c r="D440" s="179"/>
    </row>
    <row r="441" spans="1:7" ht="12.6" customHeight="1" x14ac:dyDescent="0.25">
      <c r="A441" s="179" t="s">
        <v>478</v>
      </c>
      <c r="B441" s="179">
        <f>D390</f>
        <v>202562418</v>
      </c>
      <c r="C441" s="179">
        <f>SUM(C427:C437)+C440</f>
        <v>202562424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1261</v>
      </c>
      <c r="B444" s="179">
        <f>D221</f>
        <v>2650239</v>
      </c>
      <c r="C444" s="179">
        <f>C363</f>
        <v>2650239</v>
      </c>
      <c r="D444" s="179"/>
    </row>
    <row r="445" spans="1:7" ht="12.6" customHeight="1" x14ac:dyDescent="0.25">
      <c r="A445" s="179" t="s">
        <v>343</v>
      </c>
      <c r="B445" s="179">
        <f>D229</f>
        <v>331051768</v>
      </c>
      <c r="C445" s="179">
        <f>C364</f>
        <v>331051768</v>
      </c>
      <c r="D445" s="179"/>
    </row>
    <row r="446" spans="1:7" ht="12.6" customHeight="1" x14ac:dyDescent="0.25">
      <c r="A446" s="179" t="s">
        <v>351</v>
      </c>
      <c r="B446" s="179">
        <f>D236</f>
        <v>3834147</v>
      </c>
      <c r="C446" s="179">
        <f>C365</f>
        <v>3834146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337536154</v>
      </c>
      <c r="C448" s="179">
        <f>D367</f>
        <v>337536153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235</v>
      </c>
    </row>
    <row r="454" spans="1:7" ht="12.6" customHeight="1" x14ac:dyDescent="0.25">
      <c r="A454" s="179" t="s">
        <v>168</v>
      </c>
      <c r="B454" s="179">
        <f>C233</f>
        <v>1968970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1865177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12497320</v>
      </c>
      <c r="C458" s="194">
        <f>CE70</f>
        <v>12497321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1246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254718400</v>
      </c>
      <c r="C463" s="194">
        <f>CE73</f>
        <v>254718401</v>
      </c>
      <c r="D463" s="194">
        <f>E141+E147+E153</f>
        <v>254718400</v>
      </c>
    </row>
    <row r="464" spans="1:7" ht="12.6" customHeight="1" x14ac:dyDescent="0.25">
      <c r="A464" s="179" t="s">
        <v>246</v>
      </c>
      <c r="B464" s="194">
        <f>C360</f>
        <v>258949150</v>
      </c>
      <c r="C464" s="194">
        <f>CE74</f>
        <v>258949150</v>
      </c>
      <c r="D464" s="194">
        <f>E142+E148+E154</f>
        <v>258949150</v>
      </c>
    </row>
    <row r="465" spans="1:7" ht="12.6" customHeight="1" x14ac:dyDescent="0.25">
      <c r="A465" s="179" t="s">
        <v>247</v>
      </c>
      <c r="B465" s="194">
        <f>D361</f>
        <v>513667550</v>
      </c>
      <c r="C465" s="194">
        <f>CE75</f>
        <v>513667551</v>
      </c>
      <c r="D465" s="194">
        <f>D463+D464</f>
        <v>513667550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46315058</v>
      </c>
      <c r="C468" s="179">
        <f>E195</f>
        <v>46315058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286549739</v>
      </c>
      <c r="C470" s="179">
        <f>E197</f>
        <v>286549739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618892</v>
      </c>
      <c r="C472" s="179">
        <f>E199</f>
        <v>618892</v>
      </c>
      <c r="D472" s="179"/>
    </row>
    <row r="473" spans="1:7" ht="12.6" customHeight="1" x14ac:dyDescent="0.25">
      <c r="A473" s="179" t="s">
        <v>495</v>
      </c>
      <c r="B473" s="179">
        <f t="shared" si="14"/>
        <v>90212521</v>
      </c>
      <c r="C473" s="179">
        <f>SUM(E200:E201)</f>
        <v>90212521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187161</v>
      </c>
      <c r="C475" s="179">
        <f>E203</f>
        <v>187161</v>
      </c>
      <c r="D475" s="179"/>
    </row>
    <row r="476" spans="1:7" ht="12.6" customHeight="1" x14ac:dyDescent="0.25">
      <c r="A476" s="179" t="s">
        <v>203</v>
      </c>
      <c r="B476" s="179">
        <f>D275</f>
        <v>423883371</v>
      </c>
      <c r="C476" s="179">
        <f>E204</f>
        <v>423883371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99192629</v>
      </c>
      <c r="C478" s="179">
        <f>E217</f>
        <v>99192629.159999996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384056320</v>
      </c>
    </row>
    <row r="482" spans="1:12" ht="12.6" customHeight="1" x14ac:dyDescent="0.25">
      <c r="A482" s="180" t="s">
        <v>499</v>
      </c>
      <c r="C482" s="180">
        <f>D339</f>
        <v>384056320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210</v>
      </c>
      <c r="B493" s="263" t="s">
        <v>1277</v>
      </c>
      <c r="C493" s="263" t="str">
        <f>RIGHT(C82,4)</f>
        <v>2015</v>
      </c>
      <c r="D493" s="263" t="s">
        <v>1277</v>
      </c>
      <c r="E493" s="263" t="str">
        <f>RIGHT(C82,4)</f>
        <v>2015</v>
      </c>
      <c r="F493" s="263" t="s">
        <v>1277</v>
      </c>
      <c r="G493" s="263" t="str">
        <f>RIGHT(C82,4)</f>
        <v>2015</v>
      </c>
      <c r="H493" s="263"/>
      <c r="K493" s="263"/>
      <c r="L493" s="263"/>
    </row>
    <row r="494" spans="1:12" ht="12.6" customHeight="1" x14ac:dyDescent="0.25">
      <c r="A494" s="198"/>
      <c r="B494" s="181" t="s">
        <v>505</v>
      </c>
      <c r="C494" s="181" t="s">
        <v>505</v>
      </c>
      <c r="D494" s="264" t="s">
        <v>506</v>
      </c>
      <c r="E494" s="264" t="s">
        <v>506</v>
      </c>
      <c r="F494" s="263" t="s">
        <v>507</v>
      </c>
      <c r="G494" s="263" t="s">
        <v>507</v>
      </c>
      <c r="H494" s="263" t="s">
        <v>508</v>
      </c>
      <c r="K494" s="263"/>
      <c r="L494" s="263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3" t="s">
        <v>510</v>
      </c>
      <c r="G495" s="263" t="s">
        <v>510</v>
      </c>
      <c r="H495" s="263" t="s">
        <v>511</v>
      </c>
      <c r="K495" s="263"/>
      <c r="L495" s="263"/>
    </row>
    <row r="496" spans="1:12" ht="12.6" customHeight="1" x14ac:dyDescent="0.25">
      <c r="A496" s="180" t="s">
        <v>512</v>
      </c>
      <c r="B496" s="242">
        <v>6743792</v>
      </c>
      <c r="C496" s="242">
        <f>C71</f>
        <v>6524240</v>
      </c>
      <c r="D496" s="242">
        <v>4830</v>
      </c>
      <c r="E496" s="180">
        <f>C59</f>
        <v>5610</v>
      </c>
      <c r="F496" s="265">
        <f t="shared" ref="F496:G511" si="15">IF(B496=0,"",IF(D496=0,"",B496/D496))</f>
        <v>1396.2302277432711</v>
      </c>
      <c r="G496" s="266">
        <f t="shared" si="15"/>
        <v>1162.9661319073084</v>
      </c>
      <c r="H496" s="267" t="str">
        <f>IF(B496=0,"",IF(C496=0,"",IF(D496=0,"",IF(E496=0,"",IF(G496/F496-1&lt;-0.25,G496/F496-1,IF(G496/F496-1&gt;0.25,G496/F496-1,""))))))</f>
        <v/>
      </c>
      <c r="I496" s="269"/>
      <c r="K496" s="263"/>
      <c r="L496" s="263"/>
    </row>
    <row r="497" spans="1:12" ht="12.6" customHeight="1" x14ac:dyDescent="0.25">
      <c r="A497" s="180" t="s">
        <v>513</v>
      </c>
      <c r="B497" s="242">
        <v>0</v>
      </c>
      <c r="C497" s="242">
        <f>D71</f>
        <v>0</v>
      </c>
      <c r="D497" s="242">
        <v>0</v>
      </c>
      <c r="E497" s="180">
        <f>D59</f>
        <v>0</v>
      </c>
      <c r="F497" s="265" t="str">
        <f t="shared" si="15"/>
        <v/>
      </c>
      <c r="G497" s="265" t="str">
        <f t="shared" si="15"/>
        <v/>
      </c>
      <c r="H497" s="267" t="str">
        <f t="shared" ref="H497:H550" si="16">IF(B497=0,"",IF(C497=0,"",IF(D497=0,"",IF(E497=0,"",IF(G497/F497-1&lt;-0.25,G497/F497-1,IF(G497/F497-1&gt;0.25,G497/F497-1,""))))))</f>
        <v/>
      </c>
      <c r="I497" s="269"/>
      <c r="K497" s="263"/>
      <c r="L497" s="263"/>
    </row>
    <row r="498" spans="1:12" ht="12.6" customHeight="1" x14ac:dyDescent="0.25">
      <c r="A498" s="180" t="s">
        <v>514</v>
      </c>
      <c r="B498" s="242">
        <v>5885154</v>
      </c>
      <c r="C498" s="242">
        <f>E71</f>
        <v>6794366</v>
      </c>
      <c r="D498" s="242">
        <v>7398</v>
      </c>
      <c r="E498" s="180">
        <f>E59</f>
        <v>9333</v>
      </c>
      <c r="F498" s="265">
        <f t="shared" si="15"/>
        <v>795.50608272506088</v>
      </c>
      <c r="G498" s="265">
        <f t="shared" si="15"/>
        <v>727.99378549233904</v>
      </c>
      <c r="H498" s="267" t="str">
        <f t="shared" si="16"/>
        <v/>
      </c>
      <c r="I498" s="269"/>
      <c r="K498" s="263"/>
      <c r="L498" s="263"/>
    </row>
    <row r="499" spans="1:12" ht="12.6" customHeight="1" x14ac:dyDescent="0.25">
      <c r="A499" s="180" t="s">
        <v>515</v>
      </c>
      <c r="B499" s="242">
        <v>0</v>
      </c>
      <c r="C499" s="242">
        <f>F71</f>
        <v>0</v>
      </c>
      <c r="D499" s="242">
        <v>0</v>
      </c>
      <c r="E499" s="180">
        <f>F59</f>
        <v>0</v>
      </c>
      <c r="F499" s="265" t="str">
        <f t="shared" si="15"/>
        <v/>
      </c>
      <c r="G499" s="265" t="str">
        <f t="shared" si="15"/>
        <v/>
      </c>
      <c r="H499" s="267" t="str">
        <f t="shared" si="16"/>
        <v/>
      </c>
      <c r="I499" s="269"/>
      <c r="K499" s="263"/>
      <c r="L499" s="263"/>
    </row>
    <row r="500" spans="1:12" ht="12.6" customHeight="1" x14ac:dyDescent="0.25">
      <c r="A500" s="180" t="s">
        <v>516</v>
      </c>
      <c r="B500" s="242">
        <v>1502566</v>
      </c>
      <c r="C500" s="242">
        <f>G71</f>
        <v>1402604</v>
      </c>
      <c r="D500" s="242">
        <v>465</v>
      </c>
      <c r="E500" s="180">
        <f>G59</f>
        <v>0</v>
      </c>
      <c r="F500" s="265">
        <f t="shared" si="15"/>
        <v>3231.3247311827959</v>
      </c>
      <c r="G500" s="265" t="str">
        <f t="shared" si="15"/>
        <v/>
      </c>
      <c r="H500" s="267" t="str">
        <f t="shared" si="16"/>
        <v/>
      </c>
      <c r="I500" s="269"/>
      <c r="K500" s="263"/>
      <c r="L500" s="263"/>
    </row>
    <row r="501" spans="1:12" ht="12.6" customHeight="1" x14ac:dyDescent="0.25">
      <c r="A501" s="180" t="s">
        <v>517</v>
      </c>
      <c r="B501" s="242">
        <v>1722439</v>
      </c>
      <c r="C501" s="242">
        <f>H71</f>
        <v>1688380</v>
      </c>
      <c r="D501" s="242">
        <v>2023</v>
      </c>
      <c r="E501" s="180">
        <f>H59</f>
        <v>1931</v>
      </c>
      <c r="F501" s="265">
        <f t="shared" si="15"/>
        <v>851.42807711319824</v>
      </c>
      <c r="G501" s="265">
        <f t="shared" si="15"/>
        <v>874.35525634386329</v>
      </c>
      <c r="H501" s="267" t="str">
        <f t="shared" si="16"/>
        <v/>
      </c>
      <c r="I501" s="269"/>
      <c r="K501" s="263"/>
      <c r="L501" s="263"/>
    </row>
    <row r="502" spans="1:12" ht="12.6" customHeight="1" x14ac:dyDescent="0.25">
      <c r="A502" s="180" t="s">
        <v>518</v>
      </c>
      <c r="B502" s="242">
        <v>0</v>
      </c>
      <c r="C502" s="242">
        <f>I71</f>
        <v>0</v>
      </c>
      <c r="D502" s="242">
        <v>0</v>
      </c>
      <c r="E502" s="180">
        <f>I59</f>
        <v>0</v>
      </c>
      <c r="F502" s="265" t="str">
        <f t="shared" si="15"/>
        <v/>
      </c>
      <c r="G502" s="265" t="str">
        <f t="shared" si="15"/>
        <v/>
      </c>
      <c r="H502" s="267" t="str">
        <f t="shared" si="16"/>
        <v/>
      </c>
      <c r="I502" s="269"/>
      <c r="K502" s="263"/>
      <c r="L502" s="263"/>
    </row>
    <row r="503" spans="1:12" ht="12.6" customHeight="1" x14ac:dyDescent="0.25">
      <c r="A503" s="180" t="s">
        <v>519</v>
      </c>
      <c r="B503" s="242">
        <v>0</v>
      </c>
      <c r="C503" s="242">
        <f>J71</f>
        <v>0</v>
      </c>
      <c r="D503" s="242">
        <v>2201</v>
      </c>
      <c r="E503" s="180">
        <f>J59</f>
        <v>2048</v>
      </c>
      <c r="F503" s="265" t="str">
        <f t="shared" si="15"/>
        <v/>
      </c>
      <c r="G503" s="265" t="str">
        <f t="shared" si="15"/>
        <v/>
      </c>
      <c r="H503" s="267" t="str">
        <f t="shared" si="16"/>
        <v/>
      </c>
      <c r="I503" s="269"/>
      <c r="K503" s="263"/>
      <c r="L503" s="263"/>
    </row>
    <row r="504" spans="1:12" ht="12.6" customHeight="1" x14ac:dyDescent="0.25">
      <c r="A504" s="180" t="s">
        <v>520</v>
      </c>
      <c r="B504" s="242">
        <v>0</v>
      </c>
      <c r="C504" s="242">
        <f>K71</f>
        <v>0</v>
      </c>
      <c r="D504" s="242">
        <v>0</v>
      </c>
      <c r="E504" s="180">
        <f>K59</f>
        <v>0</v>
      </c>
      <c r="F504" s="265" t="str">
        <f t="shared" si="15"/>
        <v/>
      </c>
      <c r="G504" s="265" t="str">
        <f t="shared" si="15"/>
        <v/>
      </c>
      <c r="H504" s="267" t="str">
        <f t="shared" si="16"/>
        <v/>
      </c>
      <c r="I504" s="269"/>
      <c r="K504" s="263"/>
      <c r="L504" s="263"/>
    </row>
    <row r="505" spans="1:12" ht="12.6" customHeight="1" x14ac:dyDescent="0.25">
      <c r="A505" s="180" t="s">
        <v>521</v>
      </c>
      <c r="B505" s="242">
        <v>0</v>
      </c>
      <c r="C505" s="242">
        <f>L71</f>
        <v>0</v>
      </c>
      <c r="D505" s="242">
        <v>0</v>
      </c>
      <c r="E505" s="180">
        <f>L59</f>
        <v>0</v>
      </c>
      <c r="F505" s="265" t="str">
        <f t="shared" si="15"/>
        <v/>
      </c>
      <c r="G505" s="265" t="str">
        <f t="shared" si="15"/>
        <v/>
      </c>
      <c r="H505" s="267" t="str">
        <f t="shared" si="16"/>
        <v/>
      </c>
      <c r="I505" s="269"/>
      <c r="K505" s="263"/>
      <c r="L505" s="263"/>
    </row>
    <row r="506" spans="1:12" ht="12.6" customHeight="1" x14ac:dyDescent="0.25">
      <c r="A506" s="180" t="s">
        <v>522</v>
      </c>
      <c r="B506" s="242">
        <v>0</v>
      </c>
      <c r="C506" s="242">
        <f>M71</f>
        <v>0</v>
      </c>
      <c r="D506" s="242">
        <v>0</v>
      </c>
      <c r="E506" s="180">
        <f>M59</f>
        <v>0</v>
      </c>
      <c r="F506" s="265" t="str">
        <f t="shared" si="15"/>
        <v/>
      </c>
      <c r="G506" s="265" t="str">
        <f t="shared" si="15"/>
        <v/>
      </c>
      <c r="H506" s="267" t="str">
        <f t="shared" si="16"/>
        <v/>
      </c>
      <c r="I506" s="269"/>
      <c r="K506" s="263"/>
      <c r="L506" s="263"/>
    </row>
    <row r="507" spans="1:12" ht="12.6" customHeight="1" x14ac:dyDescent="0.25">
      <c r="A507" s="180" t="s">
        <v>523</v>
      </c>
      <c r="B507" s="242">
        <v>5767849</v>
      </c>
      <c r="C507" s="242">
        <f>N71</f>
        <v>5896713</v>
      </c>
      <c r="D507" s="242">
        <v>0</v>
      </c>
      <c r="E507" s="180">
        <f>N59</f>
        <v>0</v>
      </c>
      <c r="F507" s="265" t="str">
        <f t="shared" si="15"/>
        <v/>
      </c>
      <c r="G507" s="265" t="str">
        <f t="shared" si="15"/>
        <v/>
      </c>
      <c r="H507" s="267" t="str">
        <f t="shared" si="16"/>
        <v/>
      </c>
      <c r="I507" s="269"/>
      <c r="K507" s="263"/>
      <c r="L507" s="263"/>
    </row>
    <row r="508" spans="1:12" ht="12.6" customHeight="1" x14ac:dyDescent="0.25">
      <c r="A508" s="180" t="s">
        <v>524</v>
      </c>
      <c r="B508" s="242">
        <v>5650497</v>
      </c>
      <c r="C508" s="242">
        <f>O71</f>
        <v>5685324</v>
      </c>
      <c r="D508" s="242">
        <v>465</v>
      </c>
      <c r="E508" s="180">
        <f>O59</f>
        <v>0</v>
      </c>
      <c r="F508" s="265">
        <f t="shared" si="15"/>
        <v>12151.606451612903</v>
      </c>
      <c r="G508" s="265" t="str">
        <f t="shared" si="15"/>
        <v/>
      </c>
      <c r="H508" s="267" t="str">
        <f t="shared" si="16"/>
        <v/>
      </c>
      <c r="I508" s="269"/>
      <c r="K508" s="263"/>
      <c r="L508" s="263"/>
    </row>
    <row r="509" spans="1:12" ht="12.6" customHeight="1" x14ac:dyDescent="0.25">
      <c r="A509" s="180" t="s">
        <v>525</v>
      </c>
      <c r="B509" s="242">
        <v>13659679</v>
      </c>
      <c r="C509" s="242">
        <f>P71</f>
        <v>18285365</v>
      </c>
      <c r="D509" s="242">
        <v>529524</v>
      </c>
      <c r="E509" s="180">
        <f>P59</f>
        <v>533945</v>
      </c>
      <c r="F509" s="265">
        <f t="shared" si="15"/>
        <v>25.796147105702481</v>
      </c>
      <c r="G509" s="265">
        <f t="shared" si="15"/>
        <v>34.245783741771156</v>
      </c>
      <c r="H509" s="267">
        <f t="shared" si="16"/>
        <v>0.32755421193116097</v>
      </c>
      <c r="I509" s="269"/>
      <c r="K509" s="263"/>
      <c r="L509" s="263"/>
    </row>
    <row r="510" spans="1:12" ht="12.6" customHeight="1" x14ac:dyDescent="0.25">
      <c r="A510" s="180" t="s">
        <v>526</v>
      </c>
      <c r="B510" s="242">
        <v>2329696</v>
      </c>
      <c r="C510" s="242">
        <f>Q71</f>
        <v>2537072</v>
      </c>
      <c r="D510" s="242">
        <v>414904</v>
      </c>
      <c r="E510" s="180">
        <f>Q59</f>
        <v>632419</v>
      </c>
      <c r="F510" s="265">
        <f t="shared" si="15"/>
        <v>5.6150241983687792</v>
      </c>
      <c r="G510" s="265">
        <f t="shared" si="15"/>
        <v>4.0116947783036245</v>
      </c>
      <c r="H510" s="267">
        <f t="shared" si="16"/>
        <v>-0.28554274450516848</v>
      </c>
      <c r="I510" s="269"/>
      <c r="K510" s="263"/>
      <c r="L510" s="263"/>
    </row>
    <row r="511" spans="1:12" ht="12.6" customHeight="1" x14ac:dyDescent="0.25">
      <c r="A511" s="180" t="s">
        <v>527</v>
      </c>
      <c r="B511" s="242">
        <v>468892</v>
      </c>
      <c r="C511" s="242">
        <f>R71</f>
        <v>459401</v>
      </c>
      <c r="D511" s="242">
        <v>0</v>
      </c>
      <c r="E511" s="180">
        <f>R59</f>
        <v>0</v>
      </c>
      <c r="F511" s="265" t="str">
        <f t="shared" si="15"/>
        <v/>
      </c>
      <c r="G511" s="265" t="str">
        <f t="shared" si="15"/>
        <v/>
      </c>
      <c r="H511" s="267" t="str">
        <f t="shared" si="16"/>
        <v/>
      </c>
      <c r="I511" s="269"/>
      <c r="K511" s="263"/>
      <c r="L511" s="263"/>
    </row>
    <row r="512" spans="1:12" ht="12.6" customHeight="1" x14ac:dyDescent="0.25">
      <c r="A512" s="180" t="s">
        <v>528</v>
      </c>
      <c r="B512" s="242">
        <v>1090697</v>
      </c>
      <c r="C512" s="242">
        <f>S71</f>
        <v>992931</v>
      </c>
      <c r="D512" s="181" t="s">
        <v>529</v>
      </c>
      <c r="E512" s="181" t="s">
        <v>529</v>
      </c>
      <c r="F512" s="265" t="str">
        <f t="shared" ref="F512:G527" si="17">IF(B512=0,"",IF(D512=0,"",B512/D512))</f>
        <v/>
      </c>
      <c r="G512" s="265" t="str">
        <f t="shared" si="17"/>
        <v/>
      </c>
      <c r="H512" s="267" t="str">
        <f t="shared" si="16"/>
        <v/>
      </c>
      <c r="I512" s="269"/>
      <c r="K512" s="263"/>
      <c r="L512" s="263"/>
    </row>
    <row r="513" spans="1:12" ht="12.6" customHeight="1" x14ac:dyDescent="0.25">
      <c r="A513" s="180" t="s">
        <v>1247</v>
      </c>
      <c r="B513" s="242">
        <v>465093</v>
      </c>
      <c r="C513" s="242">
        <f>T71</f>
        <v>455679</v>
      </c>
      <c r="D513" s="181" t="s">
        <v>529</v>
      </c>
      <c r="E513" s="181" t="s">
        <v>529</v>
      </c>
      <c r="F513" s="265" t="str">
        <f t="shared" si="17"/>
        <v/>
      </c>
      <c r="G513" s="265" t="str">
        <f t="shared" si="17"/>
        <v/>
      </c>
      <c r="H513" s="267" t="str">
        <f t="shared" si="16"/>
        <v/>
      </c>
      <c r="I513" s="269"/>
      <c r="K513" s="263"/>
      <c r="L513" s="263"/>
    </row>
    <row r="514" spans="1:12" ht="12.6" customHeight="1" x14ac:dyDescent="0.25">
      <c r="A514" s="180" t="s">
        <v>530</v>
      </c>
      <c r="B514" s="242">
        <v>5353156</v>
      </c>
      <c r="C514" s="242">
        <f>U71</f>
        <v>5603424</v>
      </c>
      <c r="D514" s="242">
        <v>0</v>
      </c>
      <c r="E514" s="180">
        <f>U59</f>
        <v>0</v>
      </c>
      <c r="F514" s="265" t="str">
        <f t="shared" si="17"/>
        <v/>
      </c>
      <c r="G514" s="265" t="str">
        <f t="shared" si="17"/>
        <v/>
      </c>
      <c r="H514" s="267" t="str">
        <f t="shared" si="16"/>
        <v/>
      </c>
      <c r="I514" s="269"/>
      <c r="K514" s="263"/>
      <c r="L514" s="263"/>
    </row>
    <row r="515" spans="1:12" ht="12.6" customHeight="1" x14ac:dyDescent="0.25">
      <c r="A515" s="180" t="s">
        <v>531</v>
      </c>
      <c r="B515" s="242">
        <v>310606</v>
      </c>
      <c r="C515" s="242">
        <f>V71</f>
        <v>339321</v>
      </c>
      <c r="D515" s="242">
        <v>0</v>
      </c>
      <c r="E515" s="180">
        <f>V59</f>
        <v>0</v>
      </c>
      <c r="F515" s="265" t="str">
        <f t="shared" si="17"/>
        <v/>
      </c>
      <c r="G515" s="265" t="str">
        <f t="shared" si="17"/>
        <v/>
      </c>
      <c r="H515" s="267" t="str">
        <f t="shared" si="16"/>
        <v/>
      </c>
      <c r="I515" s="269"/>
      <c r="K515" s="263"/>
      <c r="L515" s="263"/>
    </row>
    <row r="516" spans="1:12" ht="12.6" customHeight="1" x14ac:dyDescent="0.25">
      <c r="A516" s="180" t="s">
        <v>532</v>
      </c>
      <c r="B516" s="242">
        <v>1202193</v>
      </c>
      <c r="C516" s="242">
        <f>W71</f>
        <v>1144456</v>
      </c>
      <c r="D516" s="242">
        <v>0</v>
      </c>
      <c r="E516" s="180">
        <f>W59</f>
        <v>0</v>
      </c>
      <c r="F516" s="265" t="str">
        <f t="shared" si="17"/>
        <v/>
      </c>
      <c r="G516" s="265" t="str">
        <f t="shared" si="17"/>
        <v/>
      </c>
      <c r="H516" s="267" t="str">
        <f t="shared" si="16"/>
        <v/>
      </c>
      <c r="I516" s="269"/>
      <c r="K516" s="263"/>
      <c r="L516" s="263"/>
    </row>
    <row r="517" spans="1:12" ht="12.6" customHeight="1" x14ac:dyDescent="0.25">
      <c r="A517" s="180" t="s">
        <v>533</v>
      </c>
      <c r="B517" s="242">
        <v>2208511</v>
      </c>
      <c r="C517" s="242">
        <f>X71</f>
        <v>2137554</v>
      </c>
      <c r="D517" s="242">
        <v>0</v>
      </c>
      <c r="E517" s="180">
        <f>X59</f>
        <v>0</v>
      </c>
      <c r="F517" s="265" t="str">
        <f t="shared" si="17"/>
        <v/>
      </c>
      <c r="G517" s="265" t="str">
        <f t="shared" si="17"/>
        <v/>
      </c>
      <c r="H517" s="267" t="str">
        <f t="shared" si="16"/>
        <v/>
      </c>
      <c r="I517" s="269"/>
      <c r="K517" s="263"/>
      <c r="L517" s="263"/>
    </row>
    <row r="518" spans="1:12" ht="12.6" customHeight="1" x14ac:dyDescent="0.25">
      <c r="A518" s="180" t="s">
        <v>534</v>
      </c>
      <c r="B518" s="242">
        <v>3816029</v>
      </c>
      <c r="C518" s="242">
        <f>Y71</f>
        <v>3987506</v>
      </c>
      <c r="D518" s="242">
        <v>0</v>
      </c>
      <c r="E518" s="180">
        <f>Y59</f>
        <v>0</v>
      </c>
      <c r="F518" s="265" t="str">
        <f t="shared" si="17"/>
        <v/>
      </c>
      <c r="G518" s="265" t="str">
        <f t="shared" si="17"/>
        <v/>
      </c>
      <c r="H518" s="267" t="str">
        <f t="shared" si="16"/>
        <v/>
      </c>
      <c r="I518" s="269"/>
      <c r="K518" s="263"/>
      <c r="L518" s="263"/>
    </row>
    <row r="519" spans="1:12" ht="12.6" customHeight="1" x14ac:dyDescent="0.25">
      <c r="A519" s="180" t="s">
        <v>535</v>
      </c>
      <c r="B519" s="242">
        <v>0</v>
      </c>
      <c r="C519" s="242">
        <f>Z71</f>
        <v>0</v>
      </c>
      <c r="D519" s="242">
        <v>0</v>
      </c>
      <c r="E519" s="180">
        <f>Z59</f>
        <v>0</v>
      </c>
      <c r="F519" s="265" t="str">
        <f t="shared" si="17"/>
        <v/>
      </c>
      <c r="G519" s="265" t="str">
        <f t="shared" si="17"/>
        <v/>
      </c>
      <c r="H519" s="267" t="str">
        <f t="shared" si="16"/>
        <v/>
      </c>
      <c r="I519" s="269"/>
      <c r="K519" s="263"/>
      <c r="L519" s="263"/>
    </row>
    <row r="520" spans="1:12" ht="12.6" customHeight="1" x14ac:dyDescent="0.25">
      <c r="A520" s="180" t="s">
        <v>536</v>
      </c>
      <c r="B520" s="242">
        <v>158280</v>
      </c>
      <c r="C520" s="242">
        <f>AA71</f>
        <v>194056</v>
      </c>
      <c r="D520" s="242">
        <v>0</v>
      </c>
      <c r="E520" s="180">
        <f>AA59</f>
        <v>0</v>
      </c>
      <c r="F520" s="265" t="str">
        <f t="shared" si="17"/>
        <v/>
      </c>
      <c r="G520" s="265" t="str">
        <f t="shared" si="17"/>
        <v/>
      </c>
      <c r="H520" s="267" t="str">
        <f t="shared" si="16"/>
        <v/>
      </c>
      <c r="I520" s="269"/>
      <c r="K520" s="263"/>
      <c r="L520" s="263"/>
    </row>
    <row r="521" spans="1:12" ht="12.6" customHeight="1" x14ac:dyDescent="0.25">
      <c r="A521" s="180" t="s">
        <v>537</v>
      </c>
      <c r="B521" s="242">
        <v>7463349</v>
      </c>
      <c r="C521" s="242">
        <f>AB71</f>
        <v>8132511</v>
      </c>
      <c r="D521" s="181" t="s">
        <v>529</v>
      </c>
      <c r="E521" s="181" t="s">
        <v>529</v>
      </c>
      <c r="F521" s="265" t="str">
        <f t="shared" si="17"/>
        <v/>
      </c>
      <c r="G521" s="265" t="str">
        <f t="shared" si="17"/>
        <v/>
      </c>
      <c r="H521" s="267" t="str">
        <f t="shared" si="16"/>
        <v/>
      </c>
      <c r="I521" s="269"/>
      <c r="K521" s="263"/>
      <c r="L521" s="263"/>
    </row>
    <row r="522" spans="1:12" ht="12.6" customHeight="1" x14ac:dyDescent="0.25">
      <c r="A522" s="180" t="s">
        <v>538</v>
      </c>
      <c r="B522" s="242">
        <v>1315272</v>
      </c>
      <c r="C522" s="242">
        <f>AC71</f>
        <v>1404149</v>
      </c>
      <c r="D522" s="242">
        <v>0</v>
      </c>
      <c r="E522" s="180">
        <f>AC59</f>
        <v>0</v>
      </c>
      <c r="F522" s="265" t="str">
        <f t="shared" si="17"/>
        <v/>
      </c>
      <c r="G522" s="265" t="str">
        <f t="shared" si="17"/>
        <v/>
      </c>
      <c r="H522" s="267" t="str">
        <f t="shared" si="16"/>
        <v/>
      </c>
      <c r="I522" s="269"/>
      <c r="K522" s="263"/>
      <c r="L522" s="263"/>
    </row>
    <row r="523" spans="1:12" ht="12.6" customHeight="1" x14ac:dyDescent="0.25">
      <c r="A523" s="180" t="s">
        <v>539</v>
      </c>
      <c r="B523" s="242">
        <v>88833</v>
      </c>
      <c r="C523" s="242">
        <f>AD71</f>
        <v>63739</v>
      </c>
      <c r="D523" s="242">
        <v>0</v>
      </c>
      <c r="E523" s="180">
        <f>AD59</f>
        <v>0</v>
      </c>
      <c r="F523" s="265" t="str">
        <f t="shared" si="17"/>
        <v/>
      </c>
      <c r="G523" s="265" t="str">
        <f t="shared" si="17"/>
        <v/>
      </c>
      <c r="H523" s="267" t="str">
        <f t="shared" si="16"/>
        <v/>
      </c>
      <c r="I523" s="269"/>
      <c r="K523" s="263"/>
      <c r="L523" s="263"/>
    </row>
    <row r="524" spans="1:12" ht="12.6" customHeight="1" x14ac:dyDescent="0.25">
      <c r="A524" s="180" t="s">
        <v>540</v>
      </c>
      <c r="B524" s="242">
        <v>0</v>
      </c>
      <c r="C524" s="242">
        <f>AE71</f>
        <v>5706</v>
      </c>
      <c r="D524" s="242">
        <v>0</v>
      </c>
      <c r="E524" s="180">
        <f>AE59</f>
        <v>0</v>
      </c>
      <c r="F524" s="265" t="str">
        <f t="shared" si="17"/>
        <v/>
      </c>
      <c r="G524" s="265" t="str">
        <f t="shared" si="17"/>
        <v/>
      </c>
      <c r="H524" s="267" t="str">
        <f t="shared" si="16"/>
        <v/>
      </c>
      <c r="I524" s="269"/>
      <c r="K524" s="263"/>
      <c r="L524" s="263"/>
    </row>
    <row r="525" spans="1:12" ht="12.6" customHeight="1" x14ac:dyDescent="0.25">
      <c r="A525" s="180" t="s">
        <v>541</v>
      </c>
      <c r="B525" s="242">
        <v>0</v>
      </c>
      <c r="C525" s="242">
        <f>AF71</f>
        <v>0</v>
      </c>
      <c r="D525" s="242">
        <v>0</v>
      </c>
      <c r="E525" s="180">
        <f>AF59</f>
        <v>0</v>
      </c>
      <c r="F525" s="265" t="str">
        <f t="shared" si="17"/>
        <v/>
      </c>
      <c r="G525" s="265" t="str">
        <f t="shared" si="17"/>
        <v/>
      </c>
      <c r="H525" s="267" t="str">
        <f t="shared" si="16"/>
        <v/>
      </c>
      <c r="I525" s="269"/>
      <c r="K525" s="263"/>
      <c r="L525" s="263"/>
    </row>
    <row r="526" spans="1:12" ht="12.6" customHeight="1" x14ac:dyDescent="0.25">
      <c r="A526" s="180" t="s">
        <v>542</v>
      </c>
      <c r="B526" s="242">
        <v>4822796</v>
      </c>
      <c r="C526" s="242">
        <f>AG71</f>
        <v>4922609</v>
      </c>
      <c r="D526" s="242">
        <v>25478</v>
      </c>
      <c r="E526" s="180">
        <f>AG59</f>
        <v>27826</v>
      </c>
      <c r="F526" s="265">
        <f t="shared" si="17"/>
        <v>189.29256613548944</v>
      </c>
      <c r="G526" s="265">
        <f t="shared" si="17"/>
        <v>176.90681377129303</v>
      </c>
      <c r="H526" s="267" t="str">
        <f t="shared" si="16"/>
        <v/>
      </c>
      <c r="I526" s="269"/>
      <c r="K526" s="263"/>
      <c r="L526" s="263"/>
    </row>
    <row r="527" spans="1:12" ht="12.6" customHeight="1" x14ac:dyDescent="0.25">
      <c r="A527" s="180" t="s">
        <v>543</v>
      </c>
      <c r="B527" s="242">
        <v>0</v>
      </c>
      <c r="C527" s="242">
        <f>AH71</f>
        <v>0</v>
      </c>
      <c r="D527" s="242">
        <v>0</v>
      </c>
      <c r="E527" s="180">
        <f>AH59</f>
        <v>0</v>
      </c>
      <c r="F527" s="265" t="str">
        <f t="shared" si="17"/>
        <v/>
      </c>
      <c r="G527" s="265" t="str">
        <f t="shared" si="17"/>
        <v/>
      </c>
      <c r="H527" s="267" t="str">
        <f t="shared" si="16"/>
        <v/>
      </c>
      <c r="I527" s="269"/>
      <c r="K527" s="263"/>
      <c r="L527" s="263"/>
    </row>
    <row r="528" spans="1:12" ht="12.6" customHeight="1" x14ac:dyDescent="0.25">
      <c r="A528" s="180" t="s">
        <v>544</v>
      </c>
      <c r="B528" s="242">
        <v>0</v>
      </c>
      <c r="C528" s="242">
        <f>AI71</f>
        <v>0</v>
      </c>
      <c r="D528" s="242">
        <v>0</v>
      </c>
      <c r="E528" s="180">
        <f>AI59</f>
        <v>0</v>
      </c>
      <c r="F528" s="265" t="str">
        <f t="shared" ref="F528:G540" si="18">IF(B528=0,"",IF(D528=0,"",B528/D528))</f>
        <v/>
      </c>
      <c r="G528" s="265" t="str">
        <f t="shared" si="18"/>
        <v/>
      </c>
      <c r="H528" s="267" t="str">
        <f t="shared" si="16"/>
        <v/>
      </c>
      <c r="I528" s="269"/>
      <c r="K528" s="263"/>
      <c r="L528" s="263"/>
    </row>
    <row r="529" spans="1:12" ht="12.6" customHeight="1" x14ac:dyDescent="0.25">
      <c r="A529" s="180" t="s">
        <v>545</v>
      </c>
      <c r="B529" s="242">
        <v>678452</v>
      </c>
      <c r="C529" s="242">
        <f>AJ71</f>
        <v>846400</v>
      </c>
      <c r="D529" s="242">
        <v>0</v>
      </c>
      <c r="E529" s="180">
        <f>AJ59</f>
        <v>0</v>
      </c>
      <c r="F529" s="265" t="str">
        <f t="shared" si="18"/>
        <v/>
      </c>
      <c r="G529" s="265" t="str">
        <f t="shared" si="18"/>
        <v/>
      </c>
      <c r="H529" s="267" t="str">
        <f t="shared" si="16"/>
        <v/>
      </c>
      <c r="I529" s="269"/>
      <c r="K529" s="263"/>
      <c r="L529" s="263"/>
    </row>
    <row r="530" spans="1:12" ht="12.6" customHeight="1" x14ac:dyDescent="0.25">
      <c r="A530" s="180" t="s">
        <v>546</v>
      </c>
      <c r="B530" s="242">
        <v>0</v>
      </c>
      <c r="C530" s="242">
        <f>AK71</f>
        <v>0</v>
      </c>
      <c r="D530" s="242">
        <v>0</v>
      </c>
      <c r="E530" s="180">
        <f>AK59</f>
        <v>0</v>
      </c>
      <c r="F530" s="265" t="str">
        <f t="shared" si="18"/>
        <v/>
      </c>
      <c r="G530" s="265" t="str">
        <f t="shared" si="18"/>
        <v/>
      </c>
      <c r="H530" s="267" t="str">
        <f t="shared" si="16"/>
        <v/>
      </c>
      <c r="I530" s="269"/>
      <c r="K530" s="263"/>
      <c r="L530" s="263"/>
    </row>
    <row r="531" spans="1:12" ht="12.6" customHeight="1" x14ac:dyDescent="0.25">
      <c r="A531" s="180" t="s">
        <v>547</v>
      </c>
      <c r="B531" s="242">
        <v>0</v>
      </c>
      <c r="C531" s="242">
        <f>AL71</f>
        <v>0</v>
      </c>
      <c r="D531" s="242">
        <v>0</v>
      </c>
      <c r="E531" s="180">
        <f>AL59</f>
        <v>0</v>
      </c>
      <c r="F531" s="265" t="str">
        <f t="shared" si="18"/>
        <v/>
      </c>
      <c r="G531" s="265" t="str">
        <f t="shared" si="18"/>
        <v/>
      </c>
      <c r="H531" s="267" t="str">
        <f t="shared" si="16"/>
        <v/>
      </c>
      <c r="I531" s="269"/>
      <c r="K531" s="263"/>
      <c r="L531" s="263"/>
    </row>
    <row r="532" spans="1:12" ht="12.6" customHeight="1" x14ac:dyDescent="0.25">
      <c r="A532" s="180" t="s">
        <v>548</v>
      </c>
      <c r="B532" s="242">
        <v>0</v>
      </c>
      <c r="C532" s="242">
        <f>AM71</f>
        <v>0</v>
      </c>
      <c r="D532" s="242">
        <v>0</v>
      </c>
      <c r="E532" s="180">
        <f>AM59</f>
        <v>0</v>
      </c>
      <c r="F532" s="265" t="str">
        <f t="shared" si="18"/>
        <v/>
      </c>
      <c r="G532" s="265" t="str">
        <f t="shared" si="18"/>
        <v/>
      </c>
      <c r="H532" s="267" t="str">
        <f t="shared" si="16"/>
        <v/>
      </c>
      <c r="I532" s="269"/>
      <c r="K532" s="263"/>
      <c r="L532" s="263"/>
    </row>
    <row r="533" spans="1:12" ht="12.6" customHeight="1" x14ac:dyDescent="0.25">
      <c r="A533" s="180" t="s">
        <v>1248</v>
      </c>
      <c r="B533" s="242">
        <v>0</v>
      </c>
      <c r="C533" s="242">
        <f>AN71</f>
        <v>0</v>
      </c>
      <c r="D533" s="242">
        <v>0</v>
      </c>
      <c r="E533" s="180">
        <f>AN59</f>
        <v>0</v>
      </c>
      <c r="F533" s="265" t="str">
        <f t="shared" si="18"/>
        <v/>
      </c>
      <c r="G533" s="265" t="str">
        <f t="shared" si="18"/>
        <v/>
      </c>
      <c r="H533" s="267" t="str">
        <f t="shared" si="16"/>
        <v/>
      </c>
      <c r="I533" s="269"/>
      <c r="K533" s="263"/>
      <c r="L533" s="263"/>
    </row>
    <row r="534" spans="1:12" ht="12.6" customHeight="1" x14ac:dyDescent="0.25">
      <c r="A534" s="180" t="s">
        <v>549</v>
      </c>
      <c r="B534" s="242">
        <v>0</v>
      </c>
      <c r="C534" s="242">
        <f>AO71</f>
        <v>0</v>
      </c>
      <c r="D534" s="242">
        <v>0</v>
      </c>
      <c r="E534" s="180">
        <f>AO59</f>
        <v>0</v>
      </c>
      <c r="F534" s="265" t="str">
        <f t="shared" si="18"/>
        <v/>
      </c>
      <c r="G534" s="265" t="str">
        <f t="shared" si="18"/>
        <v/>
      </c>
      <c r="H534" s="267" t="str">
        <f t="shared" si="16"/>
        <v/>
      </c>
      <c r="I534" s="269"/>
      <c r="K534" s="263"/>
      <c r="L534" s="263"/>
    </row>
    <row r="535" spans="1:12" ht="12.6" customHeight="1" x14ac:dyDescent="0.25">
      <c r="A535" s="180" t="s">
        <v>550</v>
      </c>
      <c r="B535" s="242">
        <v>0</v>
      </c>
      <c r="C535" s="242">
        <f>AP71</f>
        <v>0</v>
      </c>
      <c r="D535" s="242">
        <v>0</v>
      </c>
      <c r="E535" s="180">
        <f>AP59</f>
        <v>0</v>
      </c>
      <c r="F535" s="265" t="str">
        <f t="shared" si="18"/>
        <v/>
      </c>
      <c r="G535" s="265" t="str">
        <f t="shared" si="18"/>
        <v/>
      </c>
      <c r="H535" s="267" t="str">
        <f t="shared" si="16"/>
        <v/>
      </c>
      <c r="I535" s="269"/>
      <c r="K535" s="263"/>
      <c r="L535" s="263"/>
    </row>
    <row r="536" spans="1:12" ht="12.6" customHeight="1" x14ac:dyDescent="0.25">
      <c r="A536" s="180" t="s">
        <v>551</v>
      </c>
      <c r="B536" s="242">
        <v>0</v>
      </c>
      <c r="C536" s="242">
        <f>AQ71</f>
        <v>0</v>
      </c>
      <c r="D536" s="242">
        <v>0</v>
      </c>
      <c r="E536" s="180">
        <f>AQ59</f>
        <v>0</v>
      </c>
      <c r="F536" s="265" t="str">
        <f t="shared" si="18"/>
        <v/>
      </c>
      <c r="G536" s="265" t="str">
        <f t="shared" si="18"/>
        <v/>
      </c>
      <c r="H536" s="267" t="str">
        <f t="shared" si="16"/>
        <v/>
      </c>
      <c r="I536" s="269"/>
      <c r="K536" s="263"/>
      <c r="L536" s="263"/>
    </row>
    <row r="537" spans="1:12" ht="12.6" customHeight="1" x14ac:dyDescent="0.25">
      <c r="A537" s="180" t="s">
        <v>552</v>
      </c>
      <c r="B537" s="242">
        <v>0</v>
      </c>
      <c r="C537" s="242">
        <f>AR71</f>
        <v>0</v>
      </c>
      <c r="D537" s="242">
        <v>0</v>
      </c>
      <c r="E537" s="180">
        <f>AR59</f>
        <v>0</v>
      </c>
      <c r="F537" s="265" t="str">
        <f t="shared" si="18"/>
        <v/>
      </c>
      <c r="G537" s="265" t="str">
        <f t="shared" si="18"/>
        <v/>
      </c>
      <c r="H537" s="267" t="str">
        <f t="shared" si="16"/>
        <v/>
      </c>
      <c r="I537" s="269"/>
      <c r="K537" s="263"/>
      <c r="L537" s="263"/>
    </row>
    <row r="538" spans="1:12" ht="12.6" customHeight="1" x14ac:dyDescent="0.25">
      <c r="A538" s="180" t="s">
        <v>553</v>
      </c>
      <c r="B538" s="242">
        <v>0</v>
      </c>
      <c r="C538" s="242">
        <f>AS71</f>
        <v>0</v>
      </c>
      <c r="D538" s="242">
        <v>0</v>
      </c>
      <c r="E538" s="180">
        <f>AS59</f>
        <v>0</v>
      </c>
      <c r="F538" s="265" t="str">
        <f t="shared" si="18"/>
        <v/>
      </c>
      <c r="G538" s="265" t="str">
        <f t="shared" si="18"/>
        <v/>
      </c>
      <c r="H538" s="267" t="str">
        <f t="shared" si="16"/>
        <v/>
      </c>
      <c r="I538" s="269"/>
      <c r="K538" s="263"/>
      <c r="L538" s="263"/>
    </row>
    <row r="539" spans="1:12" ht="12.6" customHeight="1" x14ac:dyDescent="0.25">
      <c r="A539" s="180" t="s">
        <v>554</v>
      </c>
      <c r="B539" s="242">
        <v>0</v>
      </c>
      <c r="C539" s="242">
        <f>AT71</f>
        <v>-9895</v>
      </c>
      <c r="D539" s="242">
        <v>0</v>
      </c>
      <c r="E539" s="180">
        <f>AT59</f>
        <v>0</v>
      </c>
      <c r="F539" s="265" t="str">
        <f t="shared" si="18"/>
        <v/>
      </c>
      <c r="G539" s="265" t="str">
        <f t="shared" si="18"/>
        <v/>
      </c>
      <c r="H539" s="267" t="str">
        <f t="shared" si="16"/>
        <v/>
      </c>
      <c r="I539" s="269"/>
      <c r="K539" s="263"/>
      <c r="L539" s="263"/>
    </row>
    <row r="540" spans="1:12" ht="12.6" customHeight="1" x14ac:dyDescent="0.25">
      <c r="A540" s="180" t="s">
        <v>555</v>
      </c>
      <c r="B540" s="242">
        <v>0</v>
      </c>
      <c r="C540" s="242">
        <f>AU71</f>
        <v>0</v>
      </c>
      <c r="D540" s="242">
        <v>0</v>
      </c>
      <c r="E540" s="180">
        <f>AU59</f>
        <v>0</v>
      </c>
      <c r="F540" s="265" t="str">
        <f t="shared" si="18"/>
        <v/>
      </c>
      <c r="G540" s="265" t="str">
        <f t="shared" si="18"/>
        <v/>
      </c>
      <c r="H540" s="267" t="str">
        <f t="shared" si="16"/>
        <v/>
      </c>
      <c r="I540" s="269"/>
      <c r="K540" s="263"/>
      <c r="L540" s="263"/>
    </row>
    <row r="541" spans="1:12" ht="12.6" customHeight="1" x14ac:dyDescent="0.25">
      <c r="A541" s="180" t="s">
        <v>556</v>
      </c>
      <c r="B541" s="242">
        <v>1037383</v>
      </c>
      <c r="C541" s="242">
        <f>AV71</f>
        <v>890794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1249</v>
      </c>
      <c r="B542" s="242">
        <v>5965</v>
      </c>
      <c r="C542" s="242">
        <f>AW71</f>
        <v>26683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557</v>
      </c>
      <c r="B543" s="242">
        <v>0</v>
      </c>
      <c r="C543" s="242">
        <f>AX71</f>
        <v>0</v>
      </c>
      <c r="D543" s="181" t="s">
        <v>529</v>
      </c>
      <c r="E543" s="181" t="s">
        <v>529</v>
      </c>
      <c r="F543" s="265"/>
      <c r="G543" s="265"/>
      <c r="H543" s="267"/>
      <c r="I543" s="269"/>
      <c r="K543" s="263"/>
      <c r="L543" s="263"/>
    </row>
    <row r="544" spans="1:12" ht="12.6" customHeight="1" x14ac:dyDescent="0.25">
      <c r="A544" s="180" t="s">
        <v>558</v>
      </c>
      <c r="B544" s="242">
        <v>1775472</v>
      </c>
      <c r="C544" s="242">
        <f>AY71</f>
        <v>1242846</v>
      </c>
      <c r="D544" s="242">
        <v>95414</v>
      </c>
      <c r="E544" s="180">
        <f>AY59</f>
        <v>115540</v>
      </c>
      <c r="F544" s="265">
        <f t="shared" ref="F544:G550" si="19">IF(B544=0,"",IF(D544=0,"",B544/D544))</f>
        <v>18.608086863562999</v>
      </c>
      <c r="G544" s="265">
        <f t="shared" si="19"/>
        <v>10.756846113899948</v>
      </c>
      <c r="H544" s="267">
        <f t="shared" si="16"/>
        <v>-0.42192627362659074</v>
      </c>
      <c r="I544" s="269"/>
      <c r="K544" s="263"/>
      <c r="L544" s="263"/>
    </row>
    <row r="545" spans="1:13" ht="12.6" customHeight="1" x14ac:dyDescent="0.25">
      <c r="A545" s="180" t="s">
        <v>559</v>
      </c>
      <c r="B545" s="242">
        <v>334174</v>
      </c>
      <c r="C545" s="242">
        <f>AZ71</f>
        <v>776723</v>
      </c>
      <c r="D545" s="242">
        <v>118125</v>
      </c>
      <c r="E545" s="180">
        <f>AZ59</f>
        <v>133594</v>
      </c>
      <c r="F545" s="265">
        <f t="shared" si="19"/>
        <v>2.8289862433862436</v>
      </c>
      <c r="G545" s="265">
        <f t="shared" si="19"/>
        <v>5.8140560204799616</v>
      </c>
      <c r="H545" s="267">
        <f t="shared" si="16"/>
        <v>1.055172956062397</v>
      </c>
      <c r="I545" s="269"/>
      <c r="K545" s="263"/>
      <c r="L545" s="263"/>
    </row>
    <row r="546" spans="1:13" ht="12.6" customHeight="1" x14ac:dyDescent="0.25">
      <c r="A546" s="180" t="s">
        <v>560</v>
      </c>
      <c r="B546" s="242">
        <v>657411</v>
      </c>
      <c r="C546" s="242">
        <f>BA71</f>
        <v>601697</v>
      </c>
      <c r="D546" s="242">
        <v>0</v>
      </c>
      <c r="E546" s="180">
        <f>BA59</f>
        <v>0</v>
      </c>
      <c r="F546" s="265" t="str">
        <f t="shared" si="19"/>
        <v/>
      </c>
      <c r="G546" s="265" t="str">
        <f t="shared" si="19"/>
        <v/>
      </c>
      <c r="H546" s="267" t="str">
        <f t="shared" si="16"/>
        <v/>
      </c>
      <c r="I546" s="269"/>
      <c r="K546" s="263"/>
      <c r="L546" s="263"/>
    </row>
    <row r="547" spans="1:13" ht="12.6" customHeight="1" x14ac:dyDescent="0.25">
      <c r="A547" s="180" t="s">
        <v>561</v>
      </c>
      <c r="B547" s="242">
        <v>1148753</v>
      </c>
      <c r="C547" s="242">
        <f>BB71</f>
        <v>1062380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562</v>
      </c>
      <c r="B548" s="242">
        <v>37162</v>
      </c>
      <c r="C548" s="242">
        <f>BC71</f>
        <v>103266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563</v>
      </c>
      <c r="B549" s="242">
        <v>129549</v>
      </c>
      <c r="C549" s="242">
        <f>BD71</f>
        <v>111193</v>
      </c>
      <c r="D549" s="181" t="s">
        <v>529</v>
      </c>
      <c r="E549" s="181" t="s">
        <v>529</v>
      </c>
      <c r="F549" s="265"/>
      <c r="G549" s="265"/>
      <c r="H549" s="267"/>
      <c r="I549" s="269"/>
      <c r="K549" s="263"/>
      <c r="L549" s="263"/>
    </row>
    <row r="550" spans="1:13" ht="12.6" customHeight="1" x14ac:dyDescent="0.25">
      <c r="A550" s="180" t="s">
        <v>564</v>
      </c>
      <c r="B550" s="242">
        <v>4681352</v>
      </c>
      <c r="C550" s="242">
        <f>BE71</f>
        <v>4499172</v>
      </c>
      <c r="D550" s="242">
        <v>383056</v>
      </c>
      <c r="E550" s="180">
        <f>BE59</f>
        <v>383056</v>
      </c>
      <c r="F550" s="265">
        <f t="shared" si="19"/>
        <v>12.221064283029113</v>
      </c>
      <c r="G550" s="265">
        <f t="shared" si="19"/>
        <v>11.745468025562841</v>
      </c>
      <c r="H550" s="267" t="str">
        <f t="shared" si="16"/>
        <v/>
      </c>
      <c r="I550" s="269"/>
      <c r="K550" s="263"/>
      <c r="L550" s="263"/>
    </row>
    <row r="551" spans="1:13" ht="12.6" customHeight="1" x14ac:dyDescent="0.25">
      <c r="A551" s="180" t="s">
        <v>565</v>
      </c>
      <c r="B551" s="242">
        <v>2095084</v>
      </c>
      <c r="C551" s="242">
        <f>BF71</f>
        <v>1757592</v>
      </c>
      <c r="D551" s="181" t="s">
        <v>529</v>
      </c>
      <c r="E551" s="181" t="s">
        <v>529</v>
      </c>
      <c r="F551" s="265"/>
      <c r="G551" s="265"/>
      <c r="H551" s="267"/>
      <c r="I551" s="269"/>
      <c r="J551" s="199"/>
      <c r="M551" s="267"/>
    </row>
    <row r="552" spans="1:13" ht="12.6" customHeight="1" x14ac:dyDescent="0.25">
      <c r="A552" s="180" t="s">
        <v>566</v>
      </c>
      <c r="B552" s="242">
        <v>0</v>
      </c>
      <c r="C552" s="242">
        <f>BG71</f>
        <v>0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567</v>
      </c>
      <c r="B553" s="242">
        <v>0</v>
      </c>
      <c r="C553" s="242">
        <f>BH71</f>
        <v>0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568</v>
      </c>
      <c r="B554" s="242">
        <v>0</v>
      </c>
      <c r="C554" s="242">
        <f>BI71</f>
        <v>17876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569</v>
      </c>
      <c r="B555" s="242">
        <v>24768672</v>
      </c>
      <c r="C555" s="242">
        <f>BJ71</f>
        <v>22827441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570</v>
      </c>
      <c r="B556" s="242">
        <v>-611761</v>
      </c>
      <c r="C556" s="242">
        <f>BK71</f>
        <v>-1344226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571</v>
      </c>
      <c r="B557" s="242">
        <v>1873507</v>
      </c>
      <c r="C557" s="242">
        <f>BL71</f>
        <v>1518963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572</v>
      </c>
      <c r="B558" s="242">
        <v>0</v>
      </c>
      <c r="C558" s="242">
        <f>BM71</f>
        <v>0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573</v>
      </c>
      <c r="B559" s="242">
        <v>1686273</v>
      </c>
      <c r="C559" s="242">
        <f>BN71</f>
        <v>1458046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574</v>
      </c>
      <c r="B560" s="242">
        <v>0</v>
      </c>
      <c r="C560" s="242">
        <f>BO71</f>
        <v>0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575</v>
      </c>
      <c r="B561" s="242">
        <v>0</v>
      </c>
      <c r="C561" s="242">
        <f>BP71</f>
        <v>0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576</v>
      </c>
      <c r="B562" s="242">
        <v>0</v>
      </c>
      <c r="C562" s="242">
        <f>BQ71</f>
        <v>0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577</v>
      </c>
      <c r="B563" s="242">
        <v>0</v>
      </c>
      <c r="C563" s="242">
        <f>BR71</f>
        <v>0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1250</v>
      </c>
      <c r="B564" s="242">
        <v>528228</v>
      </c>
      <c r="C564" s="242">
        <f>BS71</f>
        <v>399757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578</v>
      </c>
      <c r="B565" s="242">
        <v>0</v>
      </c>
      <c r="C565" s="242">
        <f>BT71</f>
        <v>0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579</v>
      </c>
      <c r="B566" s="242">
        <v>0</v>
      </c>
      <c r="C566" s="242">
        <f>BU71</f>
        <v>0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580</v>
      </c>
      <c r="B567" s="242">
        <v>0</v>
      </c>
      <c r="C567" s="242">
        <f>BV71</f>
        <v>0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581</v>
      </c>
      <c r="B568" s="242">
        <v>0</v>
      </c>
      <c r="C568" s="242">
        <f>BW71</f>
        <v>0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582</v>
      </c>
      <c r="B569" s="242">
        <v>0</v>
      </c>
      <c r="C569" s="242">
        <f>BX71</f>
        <v>0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583</v>
      </c>
      <c r="B570" s="242">
        <v>992856</v>
      </c>
      <c r="C570" s="242">
        <f>BY71</f>
        <v>702101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584</v>
      </c>
      <c r="B571" s="242">
        <v>899269</v>
      </c>
      <c r="C571" s="242">
        <f>BZ71</f>
        <v>834045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585</v>
      </c>
      <c r="B572" s="242">
        <v>43245</v>
      </c>
      <c r="C572" s="242">
        <f>CA71</f>
        <v>2727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586</v>
      </c>
      <c r="B573" s="242">
        <v>0</v>
      </c>
      <c r="C573" s="242">
        <f>CB71</f>
        <v>0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587</v>
      </c>
      <c r="B574" s="242">
        <v>13722657</v>
      </c>
      <c r="C574" s="242">
        <f>CC71</f>
        <v>55531864</v>
      </c>
      <c r="D574" s="181" t="s">
        <v>529</v>
      </c>
      <c r="E574" s="181" t="s">
        <v>529</v>
      </c>
      <c r="F574" s="265"/>
      <c r="G574" s="265"/>
      <c r="H574" s="267"/>
      <c r="J574" s="199"/>
      <c r="M574" s="267"/>
    </row>
    <row r="575" spans="1:13" ht="12.6" customHeight="1" x14ac:dyDescent="0.25">
      <c r="A575" s="180" t="s">
        <v>588</v>
      </c>
      <c r="B575" s="242">
        <v>16071972</v>
      </c>
      <c r="C575" s="242">
        <f>CD71</f>
        <v>17550552</v>
      </c>
      <c r="D575" s="181" t="s">
        <v>529</v>
      </c>
      <c r="E575" s="181" t="s">
        <v>529</v>
      </c>
      <c r="F575" s="265"/>
      <c r="G575" s="265"/>
      <c r="H575" s="267"/>
    </row>
    <row r="576" spans="1:13" ht="12.6" customHeight="1" x14ac:dyDescent="0.25">
      <c r="M576" s="267"/>
    </row>
    <row r="577" spans="13:13" ht="12.6" customHeight="1" x14ac:dyDescent="0.25">
      <c r="M577" s="267"/>
    </row>
    <row r="578" spans="13:13" ht="12.6" customHeight="1" x14ac:dyDescent="0.25">
      <c r="M578" s="267"/>
    </row>
    <row r="612" spans="1:14" ht="12.6" customHeight="1" x14ac:dyDescent="0.25">
      <c r="A612" s="196"/>
      <c r="C612" s="181" t="s">
        <v>589</v>
      </c>
      <c r="D612" s="180">
        <f>CE76-(BE76+CD76)</f>
        <v>256530</v>
      </c>
      <c r="E612" s="180">
        <f>SUM(C624:D647)+SUM(C668:D713)</f>
        <v>108068393.82738861</v>
      </c>
      <c r="F612" s="180">
        <f>CE64-(AX64+BD64+BE64+BG64+BJ64+BN64+BP64+BQ64+CB64+CC64+CD64)</f>
        <v>28681025</v>
      </c>
      <c r="G612" s="180">
        <f>CE77-(AX77+AY77+BD77+BE77+BG77+BJ77+BN77+BP77+BQ77+CB77+CC77+CD77)</f>
        <v>115540</v>
      </c>
      <c r="H612" s="197">
        <f>CE60-(AX60+AY60+AZ60+BD60+BE60+BG60+BJ60+BN60+BO60+BP60+BQ60+BR60+CB60+CC60+CD60)</f>
        <v>549.53</v>
      </c>
      <c r="I612" s="180">
        <f>CE78-(AX78+AY78+AZ78+BD78+BE78+BF78+BG78+BJ78+BN78+BO78+BP78+BQ78+BR78+CB78+CC78+CD78)</f>
        <v>21514</v>
      </c>
      <c r="J612" s="180">
        <f>CE79-(AX79+AY79+AZ79+BA79+BD79+BE79+BF79+BG79+BJ79+BN79+BO79+BP79+BQ79+BR79+CB79+CC79+CD79)</f>
        <v>950200</v>
      </c>
      <c r="K612" s="180">
        <f>CE75-(AW75+AX75+AY75+AZ75+BA75+BB75+BC75+BD75+BE75+BF75+BG75+BH75+BI75+BJ75+BK75+BL75+BM75+BN75+BO75+BP75+BQ75+BR75+BS75+BT75+BU75+BV75+BW75+BX75+CB75+CC75+CD75)</f>
        <v>513667551</v>
      </c>
      <c r="L612" s="197">
        <f>CE80-(AW80+AX80+AY80+AZ80+BA80+BB80+BC80+BD80+BE80+BF80+BG80+BH80+BI80+BJ80+BK80+BL80+BM80+BN80+BO80+BP80+BQ80+BR80+BS80+BT80+BU80+BV80+BW80+BX80+BY80+BZ80+CA80+CB80+CC80+CD80)</f>
        <v>177.85999999999996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4499172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17550552</v>
      </c>
      <c r="D615" s="268">
        <f>SUM(C614:C615)</f>
        <v>22049724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22827441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1458046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55531864</v>
      </c>
      <c r="D620" s="180">
        <f>(D615/D612)*CC76</f>
        <v>2179358.1726113907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81996709.172611386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111193</v>
      </c>
      <c r="D624" s="180">
        <f>(D615/D612)*BD76</f>
        <v>1045885.6337738276</v>
      </c>
      <c r="E624" s="180">
        <f>(E623/E612)*SUM(C624:D624)</f>
        <v>877931.43640994618</v>
      </c>
      <c r="F624" s="180">
        <f>SUM(C624:E624)</f>
        <v>2035010.0701837735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1242846</v>
      </c>
      <c r="D625" s="180">
        <f>(D615/D612)*AY76</f>
        <v>312785.81700385921</v>
      </c>
      <c r="E625" s="180">
        <f>(E623/E612)*SUM(C625:D625)</f>
        <v>1180332.9832241735</v>
      </c>
      <c r="F625" s="180">
        <f>(F624/F612)*AY64</f>
        <v>17388.638931840051</v>
      </c>
      <c r="G625" s="180">
        <f>SUM(C625:F625)</f>
        <v>2753353.4391598729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776723</v>
      </c>
      <c r="D628" s="180">
        <f>(D615/D612)*AZ76</f>
        <v>191934.79784820488</v>
      </c>
      <c r="E628" s="180">
        <f>(E623/E612)*SUM(C628:D628)</f>
        <v>734967.44908419007</v>
      </c>
      <c r="F628" s="180">
        <f>(F624/F612)*AZ64</f>
        <v>38340.192043848983</v>
      </c>
      <c r="G628" s="180">
        <f>(G625/G612)*AZ77</f>
        <v>0</v>
      </c>
      <c r="H628" s="180">
        <f>SUM(C626:G628)</f>
        <v>1741965.4389762438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1757592</v>
      </c>
      <c r="D629" s="180">
        <f>(D615/D612)*BF76</f>
        <v>154544.90216348966</v>
      </c>
      <c r="E629" s="180">
        <f>(E623/E612)*SUM(C629:D629)</f>
        <v>1450830.6074701881</v>
      </c>
      <c r="F629" s="180">
        <f>(F624/F612)*BF64</f>
        <v>9754.501954819425</v>
      </c>
      <c r="G629" s="180">
        <f>(G625/G612)*BF77</f>
        <v>0</v>
      </c>
      <c r="H629" s="180">
        <f>(H628/H612)*BF60</f>
        <v>93671.098432747996</v>
      </c>
      <c r="I629" s="180">
        <f>SUM(C629:H629)</f>
        <v>3466393.1100212457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601697</v>
      </c>
      <c r="D630" s="180">
        <f>(D615/D612)*BA76</f>
        <v>0</v>
      </c>
      <c r="E630" s="180">
        <f>(E623/E612)*SUM(C630:D630)</f>
        <v>456536.57070018235</v>
      </c>
      <c r="F630" s="180">
        <f>(F624/F612)*BA64</f>
        <v>41.649519541155698</v>
      </c>
      <c r="G630" s="180">
        <f>(G625/G612)*BA77</f>
        <v>0</v>
      </c>
      <c r="H630" s="180">
        <f>(H628/H612)*BA60</f>
        <v>3772.2032871394285</v>
      </c>
      <c r="I630" s="180">
        <f>(I629/I612)*BA78</f>
        <v>0</v>
      </c>
      <c r="J630" s="180">
        <f>SUM(C630:I630)</f>
        <v>1062047.4235068629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26683</v>
      </c>
      <c r="D631" s="180">
        <f>(D615/D612)*AW76</f>
        <v>0</v>
      </c>
      <c r="E631" s="180">
        <f>(E623/E612)*SUM(C631:D631)</f>
        <v>20245.680659855319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1062380</v>
      </c>
      <c r="D632" s="180">
        <f>(D615/D612)*BB76</f>
        <v>0</v>
      </c>
      <c r="E632" s="180">
        <f>(E623/E612)*SUM(C632:D632)</f>
        <v>806079.00983461738</v>
      </c>
      <c r="F632" s="180">
        <f>(F624/F612)*BB64</f>
        <v>9.5786799626167269</v>
      </c>
      <c r="G632" s="180">
        <f>(G625/G612)*BB77</f>
        <v>0</v>
      </c>
      <c r="H632" s="180">
        <f>(H628/H612)*BB60</f>
        <v>53381.431391115948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103266</v>
      </c>
      <c r="D633" s="180">
        <f>(D615/D612)*BC76</f>
        <v>0</v>
      </c>
      <c r="E633" s="180">
        <f>(E623/E612)*SUM(C633:D633)</f>
        <v>78352.901061373137</v>
      </c>
      <c r="F633" s="180">
        <f>(F624/F612)*BC64</f>
        <v>3.3347996906887869</v>
      </c>
      <c r="G633" s="180">
        <f>(G625/G612)*BC77</f>
        <v>0</v>
      </c>
      <c r="H633" s="180">
        <f>(H628/H612)*BC60</f>
        <v>2345.7398592295604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17876</v>
      </c>
      <c r="D634" s="180">
        <f>(D615/D612)*BI76</f>
        <v>0</v>
      </c>
      <c r="E634" s="180">
        <f>(E623/E612)*SUM(C634:D634)</f>
        <v>13563.384457353884</v>
      </c>
      <c r="F634" s="180">
        <f>(F624/F612)*BI64</f>
        <v>12.06204143440625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-1344226</v>
      </c>
      <c r="D635" s="180">
        <f>(D615/D612)*BK76</f>
        <v>0</v>
      </c>
      <c r="E635" s="180">
        <f>(E623/E612)*SUM(C635:D635)</f>
        <v>-1019929.1807770744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1518963</v>
      </c>
      <c r="D637" s="180">
        <f>(D615/D612)*BL76</f>
        <v>423494.28974388959</v>
      </c>
      <c r="E637" s="180">
        <f>(E623/E612)*SUM(C637:D637)</f>
        <v>1473836.1497418899</v>
      </c>
      <c r="F637" s="180">
        <f>(F624/F612)*BL64</f>
        <v>1994.0683086620779</v>
      </c>
      <c r="G637" s="180">
        <f>(G625/G612)*BL77</f>
        <v>0</v>
      </c>
      <c r="H637" s="180">
        <f>(H628/H612)*BL60</f>
        <v>83115.269066214969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399757</v>
      </c>
      <c r="D639" s="180">
        <f>(D615/D612)*BS76</f>
        <v>0</v>
      </c>
      <c r="E639" s="180">
        <f>(E623/E612)*SUM(C639:D639)</f>
        <v>303314.94073161873</v>
      </c>
      <c r="F639" s="180">
        <f>(F624/F612)*BS64</f>
        <v>4388.5963929464433</v>
      </c>
      <c r="G639" s="180">
        <f>(G625/G612)*BS77</f>
        <v>0</v>
      </c>
      <c r="H639" s="180">
        <f>(H628/H612)*BS60</f>
        <v>73478.716131001638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4102384.9721237817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702101</v>
      </c>
      <c r="D645" s="180">
        <f>(D615/D612)*BY76</f>
        <v>0</v>
      </c>
      <c r="E645" s="180">
        <f>(E623/E612)*SUM(C645:D645)</f>
        <v>532717.9341515227</v>
      </c>
      <c r="F645" s="180">
        <f>(F624/F612)*BY64</f>
        <v>7.5210376002768378</v>
      </c>
      <c r="G645" s="180">
        <f>(G625/G612)*BY77</f>
        <v>0</v>
      </c>
      <c r="H645" s="180">
        <f>(H628/H612)*BY60</f>
        <v>18163.634315385654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834045</v>
      </c>
      <c r="D646" s="180">
        <f>(D615/D612)*BZ76</f>
        <v>0</v>
      </c>
      <c r="E646" s="180">
        <f>(E623/E612)*SUM(C646:D646)</f>
        <v>632830.21871412627</v>
      </c>
      <c r="F646" s="180">
        <f>(F624/F612)*BZ64</f>
        <v>65.135023745793745</v>
      </c>
      <c r="G646" s="180">
        <f>(G625/G612)*BZ77</f>
        <v>0</v>
      </c>
      <c r="H646" s="180">
        <f>(H628/H612)*BZ60</f>
        <v>22157.731913533284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2727</v>
      </c>
      <c r="D647" s="180">
        <f>(D615/D612)*CA76</f>
        <v>0</v>
      </c>
      <c r="E647" s="180">
        <f>(E623/E612)*SUM(C647:D647)</f>
        <v>2069.106590691656</v>
      </c>
      <c r="F647" s="180">
        <f>(F624/F612)*CA64</f>
        <v>0</v>
      </c>
      <c r="G647" s="180">
        <f>(G625/G612)*CA77</f>
        <v>0</v>
      </c>
      <c r="H647" s="180">
        <f>(H628/H612)*CA60</f>
        <v>63.39837457377191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2746947.6801211792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109680698</v>
      </c>
      <c r="L648" s="268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6524240</v>
      </c>
      <c r="D668" s="180">
        <f>(D615/D612)*C76</f>
        <v>921080.74059174361</v>
      </c>
      <c r="E668" s="180">
        <f>(E623/E612)*SUM(C668:D668)</f>
        <v>5649124.3909687046</v>
      </c>
      <c r="F668" s="180">
        <f>(F624/F612)*C64</f>
        <v>26507.613209436084</v>
      </c>
      <c r="G668" s="180">
        <f>(G625/G612)*C77</f>
        <v>2753353.4391598729</v>
      </c>
      <c r="H668" s="180">
        <f>(H628/H612)*C60</f>
        <v>157069.4730065199</v>
      </c>
      <c r="I668" s="180">
        <f>(I629/I612)*C78</f>
        <v>3466393.1100212457</v>
      </c>
      <c r="J668" s="180">
        <f>(J630/J612)*C79</f>
        <v>1062047.4235068629</v>
      </c>
      <c r="K668" s="180">
        <f>(K644/K612)*C75</f>
        <v>222660.57556125967</v>
      </c>
      <c r="L668" s="180">
        <f>(L647/L612)*C80</f>
        <v>434452.03104581573</v>
      </c>
      <c r="M668" s="180">
        <f t="shared" ref="M668:M713" si="20">ROUND(SUM(D668:L668),0)</f>
        <v>14692689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6794366</v>
      </c>
      <c r="D670" s="180">
        <f>(D615/D612)*E76</f>
        <v>5365578.9614314111</v>
      </c>
      <c r="E670" s="180">
        <f>(E623/E612)*SUM(C670:D670)</f>
        <v>9226337.4631996788</v>
      </c>
      <c r="F670" s="180">
        <f>(F624/F612)*E64</f>
        <v>29110.60175098095</v>
      </c>
      <c r="G670" s="180">
        <f>(G625/G612)*E77</f>
        <v>0</v>
      </c>
      <c r="H670" s="180">
        <f>(H628/H612)*E60</f>
        <v>206615.30273592265</v>
      </c>
      <c r="I670" s="180">
        <f>(I629/I612)*E78</f>
        <v>0</v>
      </c>
      <c r="J670" s="180">
        <f>(J630/J612)*E79</f>
        <v>0</v>
      </c>
      <c r="K670" s="180">
        <f>(K644/K612)*E75</f>
        <v>201279.16292371199</v>
      </c>
      <c r="L670" s="180">
        <f>(L647/L612)*E80</f>
        <v>589823.07378740492</v>
      </c>
      <c r="M670" s="180">
        <f t="shared" si="20"/>
        <v>15618745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1402604</v>
      </c>
      <c r="D672" s="180">
        <f>(D615/D612)*G76</f>
        <v>0</v>
      </c>
      <c r="E672" s="180">
        <f>(E623/E612)*SUM(C672:D672)</f>
        <v>1064223.3885333624</v>
      </c>
      <c r="F672" s="180">
        <f>(F624/F612)*G64</f>
        <v>1330.1593574753763</v>
      </c>
      <c r="G672" s="180">
        <f>(G625/G612)*G77</f>
        <v>0</v>
      </c>
      <c r="H672" s="180">
        <f>(H628/H612)*G60</f>
        <v>48055.967926919104</v>
      </c>
      <c r="I672" s="180">
        <f>(I629/I612)*G78</f>
        <v>0</v>
      </c>
      <c r="J672" s="180">
        <f>(J630/J612)*G79</f>
        <v>0</v>
      </c>
      <c r="K672" s="180">
        <f>(K644/K612)*G75</f>
        <v>59339.927436204416</v>
      </c>
      <c r="L672" s="180">
        <f>(L647/L612)*G80</f>
        <v>0</v>
      </c>
      <c r="M672" s="180">
        <f t="shared" si="20"/>
        <v>1172949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1688380</v>
      </c>
      <c r="D673" s="180">
        <f>(D615/D612)*H76</f>
        <v>0</v>
      </c>
      <c r="E673" s="180">
        <f>(E623/E612)*SUM(C673:D673)</f>
        <v>1281055.4402610848</v>
      </c>
      <c r="F673" s="180">
        <f>(F624/F612)*H64</f>
        <v>6413.8131497832528</v>
      </c>
      <c r="G673" s="180">
        <f>(G625/G612)*H77</f>
        <v>0</v>
      </c>
      <c r="H673" s="180">
        <f>(H628/H612)*H60</f>
        <v>53856.91920041923</v>
      </c>
      <c r="I673" s="180">
        <f>(I629/I612)*H78</f>
        <v>0</v>
      </c>
      <c r="J673" s="180">
        <f>(J630/J612)*H79</f>
        <v>0</v>
      </c>
      <c r="K673" s="180">
        <f>(K644/K612)*H75</f>
        <v>73108.607169482566</v>
      </c>
      <c r="L673" s="180">
        <f>(L647/L612)*H80</f>
        <v>188267.6949324029</v>
      </c>
      <c r="M673" s="180">
        <f t="shared" si="20"/>
        <v>1602702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490366.33306046075</v>
      </c>
      <c r="E675" s="180">
        <f>(E623/E612)*SUM(C675:D675)</f>
        <v>372064.61737759406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862431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5896713</v>
      </c>
      <c r="D679" s="180">
        <f>(D615/D612)*N76</f>
        <v>2673506.4721319145</v>
      </c>
      <c r="E679" s="180">
        <f>(E623/E612)*SUM(C679:D679)</f>
        <v>6502639.381540928</v>
      </c>
      <c r="F679" s="180">
        <f>(F624/F612)*N64</f>
        <v>122545.1613910692</v>
      </c>
      <c r="G679" s="180">
        <f>(G625/G612)*N77</f>
        <v>0</v>
      </c>
      <c r="H679" s="180">
        <f>(H628/H612)*N60</f>
        <v>106445.87090936303</v>
      </c>
      <c r="I679" s="180">
        <f>(I629/I612)*N78</f>
        <v>0</v>
      </c>
      <c r="J679" s="180">
        <f>(J630/J612)*N79</f>
        <v>0</v>
      </c>
      <c r="K679" s="180">
        <f>(K644/K612)*N75</f>
        <v>307160.99634906562</v>
      </c>
      <c r="L679" s="180">
        <f>(L647/L612)*N80</f>
        <v>212515.46204018572</v>
      </c>
      <c r="M679" s="180">
        <f t="shared" si="20"/>
        <v>9924813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5685324</v>
      </c>
      <c r="D680" s="180">
        <f>(D615/D612)*O76</f>
        <v>1212206.2042334231</v>
      </c>
      <c r="E680" s="180">
        <f>(E623/E612)*SUM(C680:D680)</f>
        <v>5233489.2574529294</v>
      </c>
      <c r="F680" s="180">
        <f>(F624/F612)*O64</f>
        <v>27494.855824249778</v>
      </c>
      <c r="G680" s="180">
        <f>(G625/G612)*O77</f>
        <v>0</v>
      </c>
      <c r="H680" s="180">
        <f>(H628/H612)*O60</f>
        <v>110091.27744735491</v>
      </c>
      <c r="I680" s="180">
        <f>(I629/I612)*O78</f>
        <v>0</v>
      </c>
      <c r="J680" s="180">
        <f>(J630/J612)*O79</f>
        <v>0</v>
      </c>
      <c r="K680" s="180">
        <f>(K644/K612)*O75</f>
        <v>101477.78032792924</v>
      </c>
      <c r="L680" s="180">
        <f>(L647/L612)*O80</f>
        <v>334526.51946151326</v>
      </c>
      <c r="M680" s="180">
        <f t="shared" si="20"/>
        <v>7019286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18285365</v>
      </c>
      <c r="D681" s="180">
        <f>(D615/D612)*P76</f>
        <v>2763242.221775231</v>
      </c>
      <c r="E681" s="180">
        <f>(E623/E612)*SUM(C681:D681)</f>
        <v>15970594.766210163</v>
      </c>
      <c r="F681" s="180">
        <f>(F624/F612)*P64</f>
        <v>987674.43589704914</v>
      </c>
      <c r="G681" s="180">
        <f>(G625/G612)*P77</f>
        <v>0</v>
      </c>
      <c r="H681" s="180">
        <f>(H628/H612)*P60</f>
        <v>105780.18797633842</v>
      </c>
      <c r="I681" s="180">
        <f>(I629/I612)*P78</f>
        <v>0</v>
      </c>
      <c r="J681" s="180">
        <f>(J630/J612)*P79</f>
        <v>0</v>
      </c>
      <c r="K681" s="180">
        <f>(K644/K612)*P75</f>
        <v>1269241.8732394751</v>
      </c>
      <c r="L681" s="180">
        <f>(L647/L612)*P80</f>
        <v>212206.57328722035</v>
      </c>
      <c r="M681" s="180">
        <f t="shared" si="20"/>
        <v>21308740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2537072</v>
      </c>
      <c r="D682" s="180">
        <f>(D615/D612)*Q76</f>
        <v>1094191.6599228161</v>
      </c>
      <c r="E682" s="180">
        <f>(E623/E612)*SUM(C682:D682)</f>
        <v>2755215.0976477456</v>
      </c>
      <c r="F682" s="180">
        <f>(F624/F612)*Q64</f>
        <v>5781.407412695824</v>
      </c>
      <c r="G682" s="180">
        <f>(G625/G612)*Q77</f>
        <v>0</v>
      </c>
      <c r="H682" s="180">
        <f>(H628/H612)*Q60</f>
        <v>70562.390900608138</v>
      </c>
      <c r="I682" s="180">
        <f>(I629/I612)*Q78</f>
        <v>0</v>
      </c>
      <c r="J682" s="180">
        <f>(J630/J612)*Q79</f>
        <v>0</v>
      </c>
      <c r="K682" s="180">
        <f>(K644/K612)*Q75</f>
        <v>94431.09571056861</v>
      </c>
      <c r="L682" s="180">
        <f>(L647/L612)*Q80</f>
        <v>241087.67168948395</v>
      </c>
      <c r="M682" s="180">
        <f t="shared" si="20"/>
        <v>4261269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459401</v>
      </c>
      <c r="D683" s="180">
        <f>(D615/D612)*R76</f>
        <v>0</v>
      </c>
      <c r="E683" s="180">
        <f>(E623/E612)*SUM(C683:D683)</f>
        <v>348569.72382483957</v>
      </c>
      <c r="F683" s="180">
        <f>(F624/F612)*R64</f>
        <v>14200.073755247211</v>
      </c>
      <c r="G683" s="180">
        <f>(G625/G612)*R77</f>
        <v>0</v>
      </c>
      <c r="H683" s="180">
        <f>(H628/H612)*R60</f>
        <v>10302.235868237934</v>
      </c>
      <c r="I683" s="180">
        <f>(I629/I612)*R78</f>
        <v>0</v>
      </c>
      <c r="J683" s="180">
        <f>(J630/J612)*R79</f>
        <v>0</v>
      </c>
      <c r="K683" s="180">
        <f>(K644/K612)*R75</f>
        <v>205555.82400939072</v>
      </c>
      <c r="L683" s="180">
        <f>(L647/L612)*R80</f>
        <v>0</v>
      </c>
      <c r="M683" s="180">
        <f t="shared" si="20"/>
        <v>578628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992931</v>
      </c>
      <c r="D684" s="180">
        <f>(D615/D612)*S76</f>
        <v>0</v>
      </c>
      <c r="E684" s="180">
        <f>(E623/E612)*SUM(C684:D684)</f>
        <v>753384.6997440618</v>
      </c>
      <c r="F684" s="180">
        <f>(F624/F612)*S64</f>
        <v>2368.4882654230296</v>
      </c>
      <c r="G684" s="180">
        <f>(G625/G612)*S77</f>
        <v>0</v>
      </c>
      <c r="H684" s="180">
        <f>(H628/H612)*S60</f>
        <v>41462.536971246831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797216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455679</v>
      </c>
      <c r="D685" s="180">
        <f>(D615/D612)*T76</f>
        <v>29482.147631855922</v>
      </c>
      <c r="E685" s="180">
        <f>(E623/E612)*SUM(C685:D685)</f>
        <v>368115.19182713627</v>
      </c>
      <c r="F685" s="180">
        <f>(F624/F612)*T64</f>
        <v>5703.7136752212655</v>
      </c>
      <c r="G685" s="180">
        <f>(G625/G612)*T77</f>
        <v>0</v>
      </c>
      <c r="H685" s="180">
        <f>(H628/H612)*T60</f>
        <v>11633.601734287146</v>
      </c>
      <c r="I685" s="180">
        <f>(I629/I612)*T78</f>
        <v>0</v>
      </c>
      <c r="J685" s="180">
        <f>(J630/J612)*T79</f>
        <v>0</v>
      </c>
      <c r="K685" s="180">
        <f>(K644/K612)*T75</f>
        <v>18111.636417320642</v>
      </c>
      <c r="L685" s="180">
        <f>(L647/L612)*T80</f>
        <v>50657.755486323338</v>
      </c>
      <c r="M685" s="180">
        <f t="shared" si="20"/>
        <v>483704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5603424</v>
      </c>
      <c r="D686" s="180">
        <f>(D615/D612)*U76</f>
        <v>444982.73553970293</v>
      </c>
      <c r="E686" s="180">
        <f>(E623/E612)*SUM(C686:D686)</f>
        <v>4589218.2763802726</v>
      </c>
      <c r="F686" s="180">
        <f>(F624/F612)*U64</f>
        <v>58311.739765904858</v>
      </c>
      <c r="G686" s="180">
        <f>(G625/G612)*U77</f>
        <v>0</v>
      </c>
      <c r="H686" s="180">
        <f>(H628/H612)*U60</f>
        <v>7798.0000725739446</v>
      </c>
      <c r="I686" s="180">
        <f>(I629/I612)*U78</f>
        <v>0</v>
      </c>
      <c r="J686" s="180">
        <f>(J630/J612)*U79</f>
        <v>0</v>
      </c>
      <c r="K686" s="180">
        <f>(K644/K612)*U75</f>
        <v>144897.5797286724</v>
      </c>
      <c r="L686" s="180">
        <f>(L647/L612)*U80</f>
        <v>0</v>
      </c>
      <c r="M686" s="180">
        <f t="shared" si="20"/>
        <v>5245208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339321</v>
      </c>
      <c r="D687" s="180">
        <f>(D615/D612)*V76</f>
        <v>0</v>
      </c>
      <c r="E687" s="180">
        <f>(E623/E612)*SUM(C687:D687)</f>
        <v>257459.22899159641</v>
      </c>
      <c r="F687" s="180">
        <f>(F624/F612)*V64</f>
        <v>392.22920617292795</v>
      </c>
      <c r="G687" s="180">
        <f>(G625/G612)*V77</f>
        <v>0</v>
      </c>
      <c r="H687" s="180">
        <f>(H628/H612)*V60</f>
        <v>9604.8537479264432</v>
      </c>
      <c r="I687" s="180">
        <f>(I629/I612)*V78</f>
        <v>0</v>
      </c>
      <c r="J687" s="180">
        <f>(J630/J612)*V79</f>
        <v>0</v>
      </c>
      <c r="K687" s="180">
        <f>(K644/K612)*V75</f>
        <v>25552.931986994732</v>
      </c>
      <c r="L687" s="180">
        <f>(L647/L612)*V80</f>
        <v>0</v>
      </c>
      <c r="M687" s="180">
        <f t="shared" si="20"/>
        <v>293009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1144456</v>
      </c>
      <c r="D688" s="180">
        <f>(D615/D612)*W76</f>
        <v>0</v>
      </c>
      <c r="E688" s="180">
        <f>(E623/E612)*SUM(C688:D688)</f>
        <v>868354.03460088372</v>
      </c>
      <c r="F688" s="180">
        <f>(F624/F612)*W64</f>
        <v>13453.007671348016</v>
      </c>
      <c r="G688" s="180">
        <f>(G625/G612)*W77</f>
        <v>0</v>
      </c>
      <c r="H688" s="180">
        <f>(H628/H612)*W60</f>
        <v>18924.414810270915</v>
      </c>
      <c r="I688" s="180">
        <f>(I629/I612)*W78</f>
        <v>0</v>
      </c>
      <c r="J688" s="180">
        <f>(J630/J612)*W79</f>
        <v>0</v>
      </c>
      <c r="K688" s="180">
        <f>(K644/K612)*W75</f>
        <v>104668.99374836053</v>
      </c>
      <c r="L688" s="180">
        <f>(L647/L612)*W80</f>
        <v>0</v>
      </c>
      <c r="M688" s="180">
        <f t="shared" si="20"/>
        <v>1005400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2137554</v>
      </c>
      <c r="D689" s="180">
        <f>(D615/D612)*X76</f>
        <v>0</v>
      </c>
      <c r="E689" s="180">
        <f>(E623/E612)*SUM(C689:D689)</f>
        <v>1621865.445309612</v>
      </c>
      <c r="F689" s="180">
        <f>(F624/F612)*X64</f>
        <v>18127.971118584246</v>
      </c>
      <c r="G689" s="180">
        <f>(G625/G612)*X77</f>
        <v>0</v>
      </c>
      <c r="H689" s="180">
        <f>(H628/H612)*X60</f>
        <v>50560.203722583094</v>
      </c>
      <c r="I689" s="180">
        <f>(I629/I612)*X78</f>
        <v>0</v>
      </c>
      <c r="J689" s="180">
        <f>(J630/J612)*X79</f>
        <v>0</v>
      </c>
      <c r="K689" s="180">
        <f>(K644/K612)*X75</f>
        <v>142307.75467740031</v>
      </c>
      <c r="L689" s="180">
        <f>(L647/L612)*X80</f>
        <v>154.44437648269312</v>
      </c>
      <c r="M689" s="180">
        <f t="shared" si="20"/>
        <v>1833016</v>
      </c>
      <c r="N689" s="198" t="s">
        <v>699</v>
      </c>
    </row>
    <row r="690" spans="1:14" ht="12.6" customHeight="1" x14ac:dyDescent="0.25">
      <c r="A690" s="196">
        <v>7140</v>
      </c>
      <c r="B690" s="198" t="s">
        <v>1251</v>
      </c>
      <c r="C690" s="180">
        <f>Y71</f>
        <v>3987506</v>
      </c>
      <c r="D690" s="180">
        <f>(D615/D612)*Y76</f>
        <v>1323774.2148052859</v>
      </c>
      <c r="E690" s="180">
        <f>(E623/E612)*SUM(C690:D690)</f>
        <v>4029924.7882155529</v>
      </c>
      <c r="F690" s="180">
        <f>(F624/F612)*Y64</f>
        <v>36841.093153107009</v>
      </c>
      <c r="G690" s="180">
        <f>(G625/G612)*Y77</f>
        <v>0</v>
      </c>
      <c r="H690" s="180">
        <f>(H628/H612)*Y60</f>
        <v>90659.675640493835</v>
      </c>
      <c r="I690" s="180">
        <f>(I629/I612)*Y78</f>
        <v>0</v>
      </c>
      <c r="J690" s="180">
        <f>(J630/J612)*Y79</f>
        <v>0</v>
      </c>
      <c r="K690" s="180">
        <f>(K644/K612)*Y75</f>
        <v>184399.4059022736</v>
      </c>
      <c r="L690" s="180">
        <f>(L647/L612)*Y80</f>
        <v>0</v>
      </c>
      <c r="M690" s="180">
        <f t="shared" si="20"/>
        <v>5665599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194056</v>
      </c>
      <c r="D692" s="180">
        <f>(D615/D612)*AA76</f>
        <v>0</v>
      </c>
      <c r="E692" s="180">
        <f>(E623/E612)*SUM(C692:D692)</f>
        <v>147239.65843903922</v>
      </c>
      <c r="F692" s="180">
        <f>(F624/F612)*AA64</f>
        <v>5687.5363490621794</v>
      </c>
      <c r="G692" s="180">
        <f>(G625/G612)*AA77</f>
        <v>0</v>
      </c>
      <c r="H692" s="180">
        <f>(H628/H612)*AA60</f>
        <v>2535.9349829508765</v>
      </c>
      <c r="I692" s="180">
        <f>(I629/I612)*AA78</f>
        <v>0</v>
      </c>
      <c r="J692" s="180">
        <f>(J630/J612)*AA79</f>
        <v>0</v>
      </c>
      <c r="K692" s="180">
        <f>(K644/K612)*AA75</f>
        <v>15829.545614470784</v>
      </c>
      <c r="L692" s="180">
        <f>(L647/L612)*AA80</f>
        <v>0</v>
      </c>
      <c r="M692" s="180">
        <f t="shared" si="20"/>
        <v>171293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8132511</v>
      </c>
      <c r="D693" s="180">
        <f>(D615/D612)*AB76</f>
        <v>393926.18832885043</v>
      </c>
      <c r="E693" s="180">
        <f>(E623/E612)*SUM(C693:D693)</f>
        <v>6469419.6485110587</v>
      </c>
      <c r="F693" s="180">
        <f>(F624/F612)*AB64</f>
        <v>530644.25357287563</v>
      </c>
      <c r="G693" s="180">
        <f>(G625/G612)*AB77</f>
        <v>0</v>
      </c>
      <c r="H693" s="180">
        <f>(H628/H612)*AB60</f>
        <v>64032.358319509622</v>
      </c>
      <c r="I693" s="180">
        <f>(I629/I612)*AB78</f>
        <v>0</v>
      </c>
      <c r="J693" s="180">
        <f>(J630/J612)*AB79</f>
        <v>0</v>
      </c>
      <c r="K693" s="180">
        <f>(K644/K612)*AB75</f>
        <v>364330.15623812343</v>
      </c>
      <c r="L693" s="180">
        <f>(L647/L612)*AB80</f>
        <v>0</v>
      </c>
      <c r="M693" s="180">
        <f t="shared" si="20"/>
        <v>7822353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1404149</v>
      </c>
      <c r="D694" s="180">
        <f>(D615/D612)*AC76</f>
        <v>146293.33897789734</v>
      </c>
      <c r="E694" s="180">
        <f>(E623/E612)*SUM(C694:D694)</f>
        <v>1176395.4756386336</v>
      </c>
      <c r="F694" s="180">
        <f>(F624/F612)*AC64</f>
        <v>14490.768953816403</v>
      </c>
      <c r="G694" s="180">
        <f>(G625/G612)*AC77</f>
        <v>0</v>
      </c>
      <c r="H694" s="180">
        <f>(H628/H612)*AC60</f>
        <v>39940.975981476302</v>
      </c>
      <c r="I694" s="180">
        <f>(I629/I612)*AC78</f>
        <v>0</v>
      </c>
      <c r="J694" s="180">
        <f>(J630/J612)*AC79</f>
        <v>0</v>
      </c>
      <c r="K694" s="180">
        <f>(K644/K612)*AC75</f>
        <v>55472.29286181357</v>
      </c>
      <c r="L694" s="180">
        <f>(L647/L612)*AC80</f>
        <v>0</v>
      </c>
      <c r="M694" s="180">
        <f t="shared" si="20"/>
        <v>1432593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63739</v>
      </c>
      <c r="D695" s="180">
        <f>(D615/D612)*AD76</f>
        <v>95064.88420067828</v>
      </c>
      <c r="E695" s="180">
        <f>(E623/E612)*SUM(C695:D695)</f>
        <v>120492.17580750199</v>
      </c>
      <c r="F695" s="180">
        <f>(F624/F612)*AD64</f>
        <v>452.68131971477573</v>
      </c>
      <c r="G695" s="180">
        <f>(G625/G612)*AD77</f>
        <v>0</v>
      </c>
      <c r="H695" s="180">
        <f>(H628/H612)*AD60</f>
        <v>1584.9593643442977</v>
      </c>
      <c r="I695" s="180">
        <f>(I629/I612)*AD78</f>
        <v>0</v>
      </c>
      <c r="J695" s="180">
        <f>(J630/J612)*AD79</f>
        <v>0</v>
      </c>
      <c r="K695" s="180">
        <f>(K644/K612)*AD75</f>
        <v>2993.2610410740476</v>
      </c>
      <c r="L695" s="180">
        <f>(L647/L612)*AD80</f>
        <v>7413.3300711692691</v>
      </c>
      <c r="M695" s="180">
        <f t="shared" si="20"/>
        <v>228001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5706</v>
      </c>
      <c r="D696" s="180">
        <f>(D615/D612)*AE76</f>
        <v>0</v>
      </c>
      <c r="E696" s="180">
        <f>(E623/E612)*SUM(C696:D696)</f>
        <v>4329.4177508201647</v>
      </c>
      <c r="F696" s="180">
        <f>(F624/F612)*AE64</f>
        <v>0</v>
      </c>
      <c r="G696" s="180">
        <f>(G625/G612)*AE77</f>
        <v>0</v>
      </c>
      <c r="H696" s="180">
        <f>(H628/H612)*AE60</f>
        <v>190.19512372131572</v>
      </c>
      <c r="I696" s="180">
        <f>(I629/I612)*AE78</f>
        <v>0</v>
      </c>
      <c r="J696" s="180">
        <f>(J630/J612)*AE79</f>
        <v>0</v>
      </c>
      <c r="K696" s="180">
        <f>(K644/K612)*AE75</f>
        <v>158.51524350369723</v>
      </c>
      <c r="L696" s="180">
        <f>(L647/L612)*AE80</f>
        <v>0</v>
      </c>
      <c r="M696" s="180">
        <f t="shared" si="20"/>
        <v>4678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4922609</v>
      </c>
      <c r="D698" s="180">
        <f>(D615/D612)*AG76</f>
        <v>0</v>
      </c>
      <c r="E698" s="180">
        <f>(E623/E612)*SUM(C698:D698)</f>
        <v>3735021.1680594287</v>
      </c>
      <c r="F698" s="180">
        <f>(F624/F612)*AG64</f>
        <v>50222.296201327852</v>
      </c>
      <c r="G698" s="180">
        <f>(G625/G612)*AG77</f>
        <v>0</v>
      </c>
      <c r="H698" s="180">
        <f>(H628/H612)*AG60</f>
        <v>134087.56222352758</v>
      </c>
      <c r="I698" s="180">
        <f>(I629/I612)*AG78</f>
        <v>0</v>
      </c>
      <c r="J698" s="180">
        <f>(J630/J612)*AG79</f>
        <v>0</v>
      </c>
      <c r="K698" s="180">
        <f>(K644/K612)*AG75</f>
        <v>477057.41550734441</v>
      </c>
      <c r="L698" s="180">
        <f>(L647/L612)*AG80</f>
        <v>310278.75235373044</v>
      </c>
      <c r="M698" s="180">
        <f t="shared" si="20"/>
        <v>4706667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846400</v>
      </c>
      <c r="D701" s="180">
        <f>(D615/D612)*AJ76</f>
        <v>0</v>
      </c>
      <c r="E701" s="180">
        <f>(E623/E612)*SUM(C701:D701)</f>
        <v>642204.55385457189</v>
      </c>
      <c r="F701" s="180">
        <f>(F624/F612)*AJ64</f>
        <v>1469.6533190050391</v>
      </c>
      <c r="G701" s="180">
        <f>(G625/G612)*AJ77</f>
        <v>0</v>
      </c>
      <c r="H701" s="180">
        <f>(H628/H612)*AJ60</f>
        <v>21650.544916943105</v>
      </c>
      <c r="I701" s="180">
        <f>(I629/I612)*AJ78</f>
        <v>0</v>
      </c>
      <c r="J701" s="180">
        <f>(J630/J612)*AJ79</f>
        <v>0</v>
      </c>
      <c r="K701" s="180">
        <f>(K644/K612)*AJ75</f>
        <v>8177.0161836807465</v>
      </c>
      <c r="L701" s="180">
        <f>(L647/L612)*AJ80</f>
        <v>0</v>
      </c>
      <c r="M701" s="180">
        <f t="shared" si="20"/>
        <v>673502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-9895</v>
      </c>
      <c r="D711" s="180">
        <f>(D615/D612)*AT76</f>
        <v>0</v>
      </c>
      <c r="E711" s="180">
        <f>(E623/E612)*SUM(C711:D711)</f>
        <v>-7507.8143435621323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60.433537262821297</v>
      </c>
      <c r="L711" s="180">
        <f>(L647/L612)*AT80</f>
        <v>0</v>
      </c>
      <c r="M711" s="180">
        <f t="shared" si="20"/>
        <v>-7447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890794</v>
      </c>
      <c r="D713" s="180">
        <f>(D615/D612)*AV76</f>
        <v>788024.28422406735</v>
      </c>
      <c r="E713" s="180">
        <f>(E623/E612)*SUM(C713:D713)</f>
        <v>1273800.5047530897</v>
      </c>
      <c r="F713" s="180">
        <f>(F624/F612)*AV64</f>
        <v>3781.2371301316343</v>
      </c>
      <c r="G713" s="180">
        <f>(G625/G612)*AV77</f>
        <v>0</v>
      </c>
      <c r="H713" s="180">
        <f>(H628/H612)*AV60</f>
        <v>28370.772621762928</v>
      </c>
      <c r="I713" s="180">
        <f>(I629/I612)*AV78</f>
        <v>0</v>
      </c>
      <c r="J713" s="180">
        <f>(J630/J612)*AV79</f>
        <v>0</v>
      </c>
      <c r="K713" s="180">
        <f>(K644/K612)*AV75</f>
        <v>24112.190708398401</v>
      </c>
      <c r="L713" s="180">
        <f>(L647/L612)*AV80</f>
        <v>165564.37158944702</v>
      </c>
      <c r="M713" s="180">
        <f t="shared" si="20"/>
        <v>2283653</v>
      </c>
      <c r="N713" s="199" t="s">
        <v>741</v>
      </c>
    </row>
    <row r="715" spans="1:83" ht="12.6" customHeight="1" x14ac:dyDescent="0.25">
      <c r="C715" s="180">
        <f>SUM(C614:C647)+SUM(C668:C713)</f>
        <v>190065103</v>
      </c>
      <c r="D715" s="180">
        <f>SUM(D616:D647)+SUM(D668:D713)</f>
        <v>22049723.999999996</v>
      </c>
      <c r="E715" s="180">
        <f>SUM(E624:E647)+SUM(E668:E713)</f>
        <v>81996709.172611371</v>
      </c>
      <c r="F715" s="180">
        <f>SUM(F625:F648)+SUM(F668:F713)</f>
        <v>2035010.0701837735</v>
      </c>
      <c r="G715" s="180">
        <f>SUM(G626:G647)+SUM(G668:G713)</f>
        <v>2753353.4391598729</v>
      </c>
      <c r="H715" s="180">
        <f>SUM(H629:H647)+SUM(H668:H713)</f>
        <v>1741965.4389762438</v>
      </c>
      <c r="I715" s="180">
        <f>SUM(I630:I647)+SUM(I668:I713)</f>
        <v>3466393.1100212457</v>
      </c>
      <c r="J715" s="180">
        <f>SUM(J631:J647)+SUM(J668:J713)</f>
        <v>1062047.4235068629</v>
      </c>
      <c r="K715" s="180">
        <f>SUM(K668:K713)</f>
        <v>4102384.9721237817</v>
      </c>
      <c r="L715" s="180">
        <f>SUM(L668:L713)</f>
        <v>2746947.6801211797</v>
      </c>
      <c r="M715" s="180">
        <f>SUM(M668:M713)</f>
        <v>109680697</v>
      </c>
      <c r="N715" s="198" t="s">
        <v>742</v>
      </c>
    </row>
    <row r="716" spans="1:83" ht="12.6" customHeight="1" x14ac:dyDescent="0.25">
      <c r="C716" s="180">
        <f>CE71</f>
        <v>190065103</v>
      </c>
      <c r="D716" s="180">
        <f>D615</f>
        <v>22049724</v>
      </c>
      <c r="E716" s="180">
        <f>E623</f>
        <v>81996709.172611386</v>
      </c>
      <c r="F716" s="180">
        <f>F624</f>
        <v>2035010.0701837735</v>
      </c>
      <c r="G716" s="180">
        <f>G625</f>
        <v>2753353.4391598729</v>
      </c>
      <c r="H716" s="180">
        <f>H628</f>
        <v>1741965.4389762438</v>
      </c>
      <c r="I716" s="180">
        <f>I629</f>
        <v>3466393.1100212457</v>
      </c>
      <c r="J716" s="180">
        <f>J630</f>
        <v>1062047.4235068629</v>
      </c>
      <c r="K716" s="180">
        <f>K644</f>
        <v>4102384.9721237817</v>
      </c>
      <c r="L716" s="180">
        <f>L647</f>
        <v>2746947.6801211792</v>
      </c>
      <c r="M716" s="180">
        <f>C648</f>
        <v>109680698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1260</v>
      </c>
    </row>
    <row r="722" spans="1:84" s="201" customFormat="1" ht="12.6" customHeight="1" x14ac:dyDescent="0.25">
      <c r="A722" s="202" t="str">
        <f>RIGHT(C83,3)&amp;"*"&amp;RIGHT(C82,4)&amp;"*"&amp;"A"</f>
        <v>210*2015*A</v>
      </c>
      <c r="B722" s="276">
        <f>ROUND(C165,0)</f>
        <v>3449479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0</v>
      </c>
      <c r="H722" s="276">
        <f>ROUND(C171+C172,0)</f>
        <v>175484</v>
      </c>
      <c r="I722" s="276">
        <f>ROUND(C175,0)</f>
        <v>2354515</v>
      </c>
      <c r="J722" s="276">
        <f>ROUND(C176,0)</f>
        <v>123181</v>
      </c>
      <c r="K722" s="276">
        <f>ROUND(C179,0)</f>
        <v>0</v>
      </c>
      <c r="L722" s="276">
        <f>ROUND(C180,0)</f>
        <v>4274</v>
      </c>
      <c r="M722" s="276">
        <f>ROUND(C183,0)</f>
        <v>46374</v>
      </c>
      <c r="N722" s="276">
        <f>ROUND(C184,0)</f>
        <v>3733068</v>
      </c>
      <c r="O722" s="276">
        <f>ROUND(C185,0)</f>
        <v>0</v>
      </c>
      <c r="P722" s="276">
        <f>ROUND(C188,0)</f>
        <v>-469662</v>
      </c>
      <c r="Q722" s="276">
        <f>ROUND(C189,0)</f>
        <v>14236498</v>
      </c>
      <c r="R722" s="276">
        <f>ROUND(B195,0)</f>
        <v>46315058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286141443</v>
      </c>
      <c r="Y722" s="276">
        <f>ROUND(C197,0)</f>
        <v>408296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493447</v>
      </c>
      <c r="AE722" s="276">
        <f>ROUND(C199,0)</f>
        <v>125445</v>
      </c>
      <c r="AF722" s="276">
        <f>ROUND(D199,0)</f>
        <v>0</v>
      </c>
      <c r="AG722" s="276">
        <f>ROUND(B200,0)</f>
        <v>89581250</v>
      </c>
      <c r="AH722" s="276">
        <f>ROUND(C200,0)</f>
        <v>626662</v>
      </c>
      <c r="AI722" s="276">
        <f>ROUND(D200,0)</f>
        <v>190724</v>
      </c>
      <c r="AJ722" s="276">
        <f>ROUND(B201,0)</f>
        <v>0</v>
      </c>
      <c r="AK722" s="276">
        <f>ROUND(C201,0)</f>
        <v>195333</v>
      </c>
      <c r="AL722" s="276">
        <f>ROUND(D201,0)</f>
        <v>0</v>
      </c>
      <c r="AM722" s="276">
        <f>ROUND(B202,0)</f>
        <v>47952</v>
      </c>
      <c r="AN722" s="276">
        <f>ROUND(C202,0)</f>
        <v>0</v>
      </c>
      <c r="AO722" s="276">
        <f>ROUND(D202,0)</f>
        <v>47952</v>
      </c>
      <c r="AP722" s="276">
        <f>ROUND(B203,0)</f>
        <v>404981</v>
      </c>
      <c r="AQ722" s="276">
        <f>ROUND(C203,0)</f>
        <v>1362362</v>
      </c>
      <c r="AR722" s="276">
        <f>ROUND(D203,0)</f>
        <v>1580182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29652414</v>
      </c>
      <c r="AZ722" s="276">
        <f>ROUND(C210,0)</f>
        <v>10316599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89158</v>
      </c>
      <c r="BF722" s="276">
        <f>ROUND(C212,0)</f>
        <v>65577</v>
      </c>
      <c r="BG722" s="276">
        <f>ROUND(D212,0)</f>
        <v>0</v>
      </c>
      <c r="BH722" s="276">
        <f>ROUND(B213,0)</f>
        <v>45319202</v>
      </c>
      <c r="BI722" s="276">
        <f>ROUND(C213,0)</f>
        <v>13683725</v>
      </c>
      <c r="BJ722" s="276">
        <f>ROUND(D213,0)</f>
        <v>66836</v>
      </c>
      <c r="BK722" s="276">
        <f>ROUND(B214,0)</f>
        <v>0</v>
      </c>
      <c r="BL722" s="276">
        <f>ROUND(C214,0)</f>
        <v>132790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131197242</v>
      </c>
      <c r="BU722" s="276">
        <f>ROUND(C224,0)</f>
        <v>36436830</v>
      </c>
      <c r="BV722" s="276">
        <f>ROUND(C225,0)</f>
        <v>0</v>
      </c>
      <c r="BW722" s="276">
        <f>ROUND(C226,0)</f>
        <v>1848252</v>
      </c>
      <c r="BX722" s="276">
        <f>ROUND(C227,0)</f>
        <v>148421842</v>
      </c>
      <c r="BY722" s="276">
        <f>ROUND(C228,0)</f>
        <v>13147602</v>
      </c>
      <c r="BZ722" s="276">
        <f>ROUND(C231,0)</f>
        <v>235</v>
      </c>
      <c r="CA722" s="276">
        <f>ROUND(C233,0)</f>
        <v>1968970</v>
      </c>
      <c r="CB722" s="276">
        <f>ROUND(C234,0)</f>
        <v>1865177</v>
      </c>
      <c r="CC722" s="276">
        <f>ROUND(C238+C239,0)</f>
        <v>0</v>
      </c>
      <c r="CD722" s="276">
        <f>D221</f>
        <v>2650239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210*2015*A</v>
      </c>
      <c r="B726" s="276">
        <f>ROUND(C111,0)</f>
        <v>6570</v>
      </c>
      <c r="C726" s="276">
        <f>ROUND(C112,0)</f>
        <v>0</v>
      </c>
      <c r="D726" s="276">
        <f>ROUND(C113,0)</f>
        <v>0</v>
      </c>
      <c r="E726" s="276">
        <f>ROUND(C114,0)</f>
        <v>1203</v>
      </c>
      <c r="F726" s="276">
        <f>ROUND(D111,0)</f>
        <v>16874</v>
      </c>
      <c r="G726" s="276">
        <f>ROUND(D112,0)</f>
        <v>0</v>
      </c>
      <c r="H726" s="276">
        <f>ROUND(D113,0)</f>
        <v>0</v>
      </c>
      <c r="I726" s="276">
        <f>ROUND(D114,0)</f>
        <v>2048</v>
      </c>
      <c r="J726" s="276">
        <f>ROUND(C116,0)</f>
        <v>36</v>
      </c>
      <c r="K726" s="276">
        <f>ROUND(C117,0)</f>
        <v>0</v>
      </c>
      <c r="L726" s="276">
        <f>ROUND(C118,0)</f>
        <v>15</v>
      </c>
      <c r="M726" s="276">
        <f>ROUND(C119,0)</f>
        <v>8</v>
      </c>
      <c r="N726" s="276">
        <f>ROUND(C120,0)</f>
        <v>21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80</v>
      </c>
      <c r="W726" s="276">
        <f>ROUND(C129,0)</f>
        <v>0</v>
      </c>
      <c r="X726" s="276">
        <f>ROUND(B138,0)</f>
        <v>2791</v>
      </c>
      <c r="Y726" s="276">
        <f>ROUND(B139,0)</f>
        <v>7168</v>
      </c>
      <c r="Z726" s="276">
        <f>ROUND(B140,0)</f>
        <v>28188</v>
      </c>
      <c r="AA726" s="276">
        <f>ROUND(B141,0)</f>
        <v>108202553</v>
      </c>
      <c r="AB726" s="276">
        <f>ROUND(B142,0)</f>
        <v>65178641</v>
      </c>
      <c r="AC726" s="276">
        <f>ROUND(C138,0)</f>
        <v>517</v>
      </c>
      <c r="AD726" s="276">
        <f>ROUND(C139,0)</f>
        <v>1328</v>
      </c>
      <c r="AE726" s="276">
        <f>ROUND(C140,0)</f>
        <v>11476</v>
      </c>
      <c r="AF726" s="276">
        <f>ROUND(C141,0)</f>
        <v>20044730</v>
      </c>
      <c r="AG726" s="276">
        <f>ROUND(C142,0)</f>
        <v>26535914</v>
      </c>
      <c r="AH726" s="276">
        <f>ROUND(D138,0)</f>
        <v>3262</v>
      </c>
      <c r="AI726" s="276">
        <f>ROUND(D139,0)</f>
        <v>8378</v>
      </c>
      <c r="AJ726" s="276">
        <f>ROUND(D140,0)</f>
        <v>72324</v>
      </c>
      <c r="AK726" s="276">
        <f>ROUND(D141,0)</f>
        <v>126471117</v>
      </c>
      <c r="AL726" s="276">
        <f>ROUND(D142,0)</f>
        <v>167234595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210*2015*A</v>
      </c>
      <c r="B730" s="276">
        <f>ROUND(C250,0)</f>
        <v>13392</v>
      </c>
      <c r="C730" s="276">
        <f>ROUND(C251,0)</f>
        <v>0</v>
      </c>
      <c r="D730" s="276">
        <f>ROUND(C252,0)</f>
        <v>74104205</v>
      </c>
      <c r="E730" s="276">
        <f>ROUND(C253,0)</f>
        <v>47748708</v>
      </c>
      <c r="F730" s="276">
        <f>ROUND(C254,0)</f>
        <v>0</v>
      </c>
      <c r="G730" s="276">
        <f>ROUND(C255,0)</f>
        <v>21450293</v>
      </c>
      <c r="H730" s="276">
        <f>ROUND(C256,0)</f>
        <v>0</v>
      </c>
      <c r="I730" s="276">
        <f>ROUND(C257,0)</f>
        <v>7001453</v>
      </c>
      <c r="J730" s="276">
        <f>ROUND(C258,0)</f>
        <v>897884</v>
      </c>
      <c r="K730" s="276">
        <f>ROUND(C259,0)</f>
        <v>870559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46315058</v>
      </c>
      <c r="P730" s="276">
        <f>ROUND(C268,0)</f>
        <v>0</v>
      </c>
      <c r="Q730" s="276">
        <f>ROUND(C269,0)</f>
        <v>286549739</v>
      </c>
      <c r="R730" s="276">
        <f>ROUND(C270,0)</f>
        <v>0</v>
      </c>
      <c r="S730" s="276">
        <f>ROUND(C271,0)</f>
        <v>618892</v>
      </c>
      <c r="T730" s="276">
        <f>ROUND(C272,0)</f>
        <v>90212521</v>
      </c>
      <c r="U730" s="276">
        <f>ROUND(C273,0)</f>
        <v>0</v>
      </c>
      <c r="V730" s="276">
        <f>ROUND(C274,0)</f>
        <v>187161</v>
      </c>
      <c r="W730" s="276">
        <f>ROUND(C275,0)</f>
        <v>0</v>
      </c>
      <c r="X730" s="276">
        <f>ROUND(C276,0)</f>
        <v>99192629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391062</v>
      </c>
      <c r="AC730" s="276">
        <f>ROUND(C286,0)</f>
        <v>0</v>
      </c>
      <c r="AD730" s="276">
        <f>ROUND(C287,0)</f>
        <v>2385438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3883504</v>
      </c>
      <c r="AI730" s="276">
        <f>ROUND(C306,0)</f>
        <v>3377642</v>
      </c>
      <c r="AJ730" s="276">
        <f>ROUND(C307,0)</f>
        <v>0</v>
      </c>
      <c r="AK730" s="276">
        <f>ROUND(C308,0)</f>
        <v>0</v>
      </c>
      <c r="AL730" s="276">
        <f>ROUND(C309,0)</f>
        <v>3390695</v>
      </c>
      <c r="AM730" s="276">
        <f>ROUND(C310,0)</f>
        <v>0</v>
      </c>
      <c r="AN730" s="276">
        <f>ROUND(C311,0)</f>
        <v>0</v>
      </c>
      <c r="AO730" s="276">
        <f>ROUND(C312,0)</f>
        <v>37743204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882166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316233982</v>
      </c>
      <c r="BA730" s="276">
        <f>ROUND(C328,0)</f>
        <v>0</v>
      </c>
      <c r="BB730" s="276">
        <f>ROUND(C332,0)</f>
        <v>18545127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621</v>
      </c>
      <c r="BJ730" s="276">
        <f>ROUND(C359,0)</f>
        <v>254718400</v>
      </c>
      <c r="BK730" s="276">
        <f>ROUND(C360,0)</f>
        <v>258949150</v>
      </c>
      <c r="BL730" s="276">
        <f>ROUND(C364,0)</f>
        <v>331051768</v>
      </c>
      <c r="BM730" s="276">
        <f>ROUND(C365,0)</f>
        <v>3834146</v>
      </c>
      <c r="BN730" s="276">
        <f>ROUND(C366,0)</f>
        <v>0</v>
      </c>
      <c r="BO730" s="276">
        <f>ROUND(C370,0)</f>
        <v>12497320</v>
      </c>
      <c r="BP730" s="276">
        <f>ROUND(C371,0)</f>
        <v>0</v>
      </c>
      <c r="BQ730" s="276">
        <f>ROUND(C378,0)</f>
        <v>52731433</v>
      </c>
      <c r="BR730" s="276">
        <f>ROUND(C379,0)</f>
        <v>3624963</v>
      </c>
      <c r="BS730" s="276">
        <f>ROUND(C380,0)</f>
        <v>4961736</v>
      </c>
      <c r="BT730" s="276">
        <f>ROUND(C381,0)</f>
        <v>27905655</v>
      </c>
      <c r="BU730" s="276">
        <f>ROUND(C382,0)</f>
        <v>1637330</v>
      </c>
      <c r="BV730" s="276">
        <f>ROUND(C383,0)</f>
        <v>10055212</v>
      </c>
      <c r="BW730" s="276">
        <f>ROUND(C384,0)</f>
        <v>24114019</v>
      </c>
      <c r="BX730" s="276">
        <f>ROUND(C385,0)</f>
        <v>2477696</v>
      </c>
      <c r="BY730" s="276">
        <f>ROUND(C386,0)</f>
        <v>4274</v>
      </c>
      <c r="BZ730" s="276">
        <f>ROUND(C387,0)</f>
        <v>3779442</v>
      </c>
      <c r="CA730" s="276">
        <f>ROUND(C388,0)</f>
        <v>13766836</v>
      </c>
      <c r="CB730" s="276">
        <f>C363</f>
        <v>2650239</v>
      </c>
      <c r="CC730" s="276">
        <f>ROUND(C389,0)</f>
        <v>57503822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210*2015*6010*A</v>
      </c>
      <c r="B734" s="276">
        <f>ROUND(C59,0)</f>
        <v>5610</v>
      </c>
      <c r="C734" s="276">
        <f>ROUND(C60,2)</f>
        <v>49.55</v>
      </c>
      <c r="D734" s="276">
        <f>ROUND(C61,0)</f>
        <v>5167530</v>
      </c>
      <c r="E734" s="276">
        <f>ROUND(C62,0)</f>
        <v>91</v>
      </c>
      <c r="F734" s="276">
        <f>ROUND(C63,0)</f>
        <v>572136</v>
      </c>
      <c r="G734" s="276">
        <f>ROUND(C64,0)</f>
        <v>373593</v>
      </c>
      <c r="H734" s="276">
        <f>ROUND(C65,0)</f>
        <v>670</v>
      </c>
      <c r="I734" s="276">
        <f>ROUND(C66,0)</f>
        <v>30336</v>
      </c>
      <c r="J734" s="276">
        <f>ROUND(C67,0)</f>
        <v>279254</v>
      </c>
      <c r="K734" s="276">
        <f>ROUND(C68,0)</f>
        <v>23568</v>
      </c>
      <c r="L734" s="276">
        <f>ROUND(C69,0)</f>
        <v>77062</v>
      </c>
      <c r="M734" s="276">
        <f>ROUND(C70,0)</f>
        <v>0</v>
      </c>
      <c r="N734" s="276">
        <f>ROUND(C75,0)</f>
        <v>27879761</v>
      </c>
      <c r="O734" s="276">
        <f>ROUND(C73,0)</f>
        <v>26886158</v>
      </c>
      <c r="P734" s="276">
        <f>IF(C76&gt;0,ROUND(C76,0),0)</f>
        <v>10716</v>
      </c>
      <c r="Q734" s="276">
        <f>IF(C77&gt;0,ROUND(C77,0),0)</f>
        <v>115540</v>
      </c>
      <c r="R734" s="276">
        <f>IF(C78&gt;0,ROUND(C78,0),0)</f>
        <v>21514</v>
      </c>
      <c r="S734" s="276">
        <f>IF(C79&gt;0,ROUND(C79,0),0)</f>
        <v>950200</v>
      </c>
      <c r="T734" s="276">
        <f>IF(C80&gt;0,ROUND(C80,2),0)</f>
        <v>28.13</v>
      </c>
      <c r="U734" s="276"/>
      <c r="V734" s="276"/>
      <c r="W734" s="276"/>
      <c r="X734" s="276"/>
      <c r="Y734" s="276">
        <f>IF(M668&lt;&gt;0,ROUND(M668,0),0)</f>
        <v>14692689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210*2015*6030*A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210*2015*6070*A</v>
      </c>
      <c r="B736" s="276">
        <f>ROUND(E59,0)</f>
        <v>9333</v>
      </c>
      <c r="C736" s="278">
        <f>ROUND(E60,2)</f>
        <v>65.180000000000007</v>
      </c>
      <c r="D736" s="276">
        <f>ROUND(E61,0)</f>
        <v>5823263</v>
      </c>
      <c r="E736" s="276">
        <f>ROUND(E62,0)</f>
        <v>-588</v>
      </c>
      <c r="F736" s="276">
        <f>ROUND(E63,0)</f>
        <v>426796</v>
      </c>
      <c r="G736" s="276">
        <f>ROUND(E64,0)</f>
        <v>410279</v>
      </c>
      <c r="H736" s="276">
        <f>ROUND(E65,0)</f>
        <v>624</v>
      </c>
      <c r="I736" s="276">
        <f>ROUND(E66,0)</f>
        <v>72149</v>
      </c>
      <c r="J736" s="276">
        <f>ROUND(E67,0)</f>
        <v>0</v>
      </c>
      <c r="K736" s="276">
        <f>ROUND(E68,0)</f>
        <v>2924</v>
      </c>
      <c r="L736" s="276">
        <f>ROUND(E69,0)</f>
        <v>58919</v>
      </c>
      <c r="M736" s="276">
        <f>ROUND(E70,0)</f>
        <v>0</v>
      </c>
      <c r="N736" s="276">
        <f>ROUND(E75,0)</f>
        <v>25202553</v>
      </c>
      <c r="O736" s="276">
        <f>ROUND(E73,0)</f>
        <v>23284379</v>
      </c>
      <c r="P736" s="276">
        <f>IF(E76&gt;0,ROUND(E76,0),0)</f>
        <v>62424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38.19</v>
      </c>
      <c r="U736" s="276"/>
      <c r="V736" s="277"/>
      <c r="W736" s="276"/>
      <c r="X736" s="276"/>
      <c r="Y736" s="276">
        <f t="shared" si="21"/>
        <v>15618745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210*2015*6100*A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210*2015*6120*A</v>
      </c>
      <c r="B738" s="276">
        <f>ROUND(G59,0)</f>
        <v>0</v>
      </c>
      <c r="C738" s="278">
        <f>ROUND(G60,2)</f>
        <v>15.16</v>
      </c>
      <c r="D738" s="276">
        <f>ROUND(G61,0)</f>
        <v>1354337</v>
      </c>
      <c r="E738" s="276">
        <f>ROUND(G62,0)</f>
        <v>2865</v>
      </c>
      <c r="F738" s="276">
        <f>ROUND(G63,0)</f>
        <v>0</v>
      </c>
      <c r="G738" s="276">
        <f>ROUND(G64,0)</f>
        <v>18747</v>
      </c>
      <c r="H738" s="276">
        <f>ROUND(G65,0)</f>
        <v>0</v>
      </c>
      <c r="I738" s="276">
        <f>ROUND(G66,0)</f>
        <v>0</v>
      </c>
      <c r="J738" s="276">
        <f>ROUND(G67,0)</f>
        <v>6514</v>
      </c>
      <c r="K738" s="276">
        <f>ROUND(G68,0)</f>
        <v>0</v>
      </c>
      <c r="L738" s="276">
        <f>ROUND(G69,0)</f>
        <v>20141</v>
      </c>
      <c r="M738" s="276">
        <f>ROUND(G70,0)</f>
        <v>0</v>
      </c>
      <c r="N738" s="276">
        <f>ROUND(G75,0)</f>
        <v>7430067</v>
      </c>
      <c r="O738" s="276">
        <f>ROUND(G73,0)</f>
        <v>4600665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1172949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210*2015*6140*A</v>
      </c>
      <c r="B739" s="276">
        <f>ROUND(H59,0)</f>
        <v>1931</v>
      </c>
      <c r="C739" s="278">
        <f>ROUND(H60,2)</f>
        <v>16.989999999999998</v>
      </c>
      <c r="D739" s="276">
        <f>ROUND(H61,0)</f>
        <v>1583753</v>
      </c>
      <c r="E739" s="276">
        <f>ROUND(H62,0)</f>
        <v>0</v>
      </c>
      <c r="F739" s="276">
        <f>ROUND(H63,0)</f>
        <v>0</v>
      </c>
      <c r="G739" s="276">
        <f>ROUND(H64,0)</f>
        <v>90395</v>
      </c>
      <c r="H739" s="276">
        <f>ROUND(H65,0)</f>
        <v>0</v>
      </c>
      <c r="I739" s="276">
        <f>ROUND(H66,0)</f>
        <v>64</v>
      </c>
      <c r="J739" s="276">
        <f>ROUND(H67,0)</f>
        <v>0</v>
      </c>
      <c r="K739" s="276">
        <f>ROUND(H68,0)</f>
        <v>0</v>
      </c>
      <c r="L739" s="276">
        <f>ROUND(H69,0)</f>
        <v>14168</v>
      </c>
      <c r="M739" s="276">
        <f>ROUND(H70,0)</f>
        <v>0</v>
      </c>
      <c r="N739" s="276">
        <f>ROUND(H75,0)</f>
        <v>9154070</v>
      </c>
      <c r="O739" s="276">
        <f>ROUND(H73,0)</f>
        <v>9142444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12.19</v>
      </c>
      <c r="U739" s="276"/>
      <c r="V739" s="277"/>
      <c r="W739" s="276"/>
      <c r="X739" s="276"/>
      <c r="Y739" s="276">
        <f t="shared" si="21"/>
        <v>1602702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210*2015*6150*A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210*2015*6170*A</v>
      </c>
      <c r="B741" s="276">
        <f>ROUND(J59,0)</f>
        <v>2048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5705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862431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210*2015*6200*A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210*2015*6210*A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210*2015*6330*A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210*2015*6400*A</v>
      </c>
      <c r="B745" s="276">
        <f>ROUND(N59,0)</f>
        <v>0</v>
      </c>
      <c r="C745" s="278">
        <f>ROUND(N60,2)</f>
        <v>33.58</v>
      </c>
      <c r="D745" s="276">
        <f>ROUND(N61,0)</f>
        <v>3443365</v>
      </c>
      <c r="E745" s="276">
        <f>ROUND(N62,0)</f>
        <v>-614</v>
      </c>
      <c r="F745" s="276">
        <f>ROUND(N63,0)</f>
        <v>156427</v>
      </c>
      <c r="G745" s="276">
        <f>ROUND(N64,0)</f>
        <v>1727127</v>
      </c>
      <c r="H745" s="276">
        <f>ROUND(N65,0)</f>
        <v>1186</v>
      </c>
      <c r="I745" s="276">
        <f>ROUND(N66,0)</f>
        <v>403601</v>
      </c>
      <c r="J745" s="276">
        <f>ROUND(N67,0)</f>
        <v>115751</v>
      </c>
      <c r="K745" s="276">
        <f>ROUND(N68,0)</f>
        <v>18595</v>
      </c>
      <c r="L745" s="276">
        <f>ROUND(N69,0)</f>
        <v>36109</v>
      </c>
      <c r="M745" s="276">
        <f>ROUND(N70,0)</f>
        <v>4834</v>
      </c>
      <c r="N745" s="276">
        <f>ROUND(N75,0)</f>
        <v>38460222</v>
      </c>
      <c r="O745" s="276">
        <f>ROUND(N73,0)</f>
        <v>15934553</v>
      </c>
      <c r="P745" s="276">
        <f>IF(N76&gt;0,ROUND(N76,0),0)</f>
        <v>31104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13.76</v>
      </c>
      <c r="U745" s="276"/>
      <c r="V745" s="277"/>
      <c r="W745" s="276"/>
      <c r="X745" s="276"/>
      <c r="Y745" s="276">
        <f t="shared" si="21"/>
        <v>9924813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210*2015*7010*A</v>
      </c>
      <c r="B746" s="276">
        <f>ROUND(O59,0)</f>
        <v>0</v>
      </c>
      <c r="C746" s="278">
        <f>ROUND(O60,2)</f>
        <v>34.729999999999997</v>
      </c>
      <c r="D746" s="276">
        <f>ROUND(O61,0)</f>
        <v>3616718</v>
      </c>
      <c r="E746" s="276">
        <f>ROUND(O62,0)</f>
        <v>-690</v>
      </c>
      <c r="F746" s="276">
        <f>ROUND(O63,0)</f>
        <v>1650846</v>
      </c>
      <c r="G746" s="276">
        <f>ROUND(O64,0)</f>
        <v>387507</v>
      </c>
      <c r="H746" s="276">
        <f>ROUND(O65,0)</f>
        <v>536</v>
      </c>
      <c r="I746" s="276">
        <f>ROUND(O66,0)</f>
        <v>7414</v>
      </c>
      <c r="J746" s="276">
        <f>ROUND(O67,0)</f>
        <v>0</v>
      </c>
      <c r="K746" s="276">
        <f>ROUND(O68,0)</f>
        <v>0</v>
      </c>
      <c r="L746" s="276">
        <f>ROUND(O69,0)</f>
        <v>22993</v>
      </c>
      <c r="M746" s="276">
        <f>ROUND(O70,0)</f>
        <v>0</v>
      </c>
      <c r="N746" s="276">
        <f>ROUND(O75,0)</f>
        <v>12706229</v>
      </c>
      <c r="O746" s="276">
        <f>ROUND(O73,0)</f>
        <v>11964116</v>
      </c>
      <c r="P746" s="276">
        <f>IF(O76&gt;0,ROUND(O76,0),0)</f>
        <v>14103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21.66</v>
      </c>
      <c r="U746" s="276"/>
      <c r="V746" s="277"/>
      <c r="W746" s="276"/>
      <c r="X746" s="276"/>
      <c r="Y746" s="276">
        <f t="shared" si="21"/>
        <v>7019286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210*2015*7020*A</v>
      </c>
      <c r="B747" s="276">
        <f>ROUND(P59,0)</f>
        <v>533945</v>
      </c>
      <c r="C747" s="278">
        <f>ROUND(P60,2)</f>
        <v>33.369999999999997</v>
      </c>
      <c r="D747" s="276">
        <f>ROUND(P61,0)</f>
        <v>2948119</v>
      </c>
      <c r="E747" s="276">
        <f>ROUND(P62,0)</f>
        <v>34028</v>
      </c>
      <c r="F747" s="276">
        <f>ROUND(P63,0)</f>
        <v>45792</v>
      </c>
      <c r="G747" s="276">
        <f>ROUND(P64,0)</f>
        <v>13920086</v>
      </c>
      <c r="H747" s="276">
        <f>ROUND(P65,0)</f>
        <v>300</v>
      </c>
      <c r="I747" s="276">
        <f>ROUND(P66,0)</f>
        <v>611596</v>
      </c>
      <c r="J747" s="276">
        <f>ROUND(P67,0)</f>
        <v>618499</v>
      </c>
      <c r="K747" s="276">
        <f>ROUND(P68,0)</f>
        <v>38090</v>
      </c>
      <c r="L747" s="276">
        <f>ROUND(P69,0)</f>
        <v>68855</v>
      </c>
      <c r="M747" s="276">
        <f>ROUND(P70,0)</f>
        <v>0</v>
      </c>
      <c r="N747" s="276">
        <f>ROUND(P75,0)</f>
        <v>158924228</v>
      </c>
      <c r="O747" s="276">
        <f>ROUND(P73,0)</f>
        <v>82932687</v>
      </c>
      <c r="P747" s="276">
        <f>IF(P76&gt;0,ROUND(P76,0),0)</f>
        <v>32148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13.74</v>
      </c>
      <c r="U747" s="276"/>
      <c r="V747" s="277"/>
      <c r="W747" s="276"/>
      <c r="X747" s="276"/>
      <c r="Y747" s="276">
        <f t="shared" si="21"/>
        <v>21308740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210*2015*7030*A</v>
      </c>
      <c r="B748" s="276">
        <f>ROUND(Q59,0)</f>
        <v>632419</v>
      </c>
      <c r="C748" s="278">
        <f>ROUND(Q60,2)</f>
        <v>22.26</v>
      </c>
      <c r="D748" s="276">
        <f>ROUND(Q61,0)</f>
        <v>2416088</v>
      </c>
      <c r="E748" s="276">
        <f>ROUND(Q62,0)</f>
        <v>-414</v>
      </c>
      <c r="F748" s="276">
        <f>ROUND(Q63,0)</f>
        <v>0</v>
      </c>
      <c r="G748" s="276">
        <f>ROUND(Q64,0)</f>
        <v>81482</v>
      </c>
      <c r="H748" s="276">
        <f>ROUND(Q65,0)</f>
        <v>286</v>
      </c>
      <c r="I748" s="276">
        <f>ROUND(Q66,0)</f>
        <v>167</v>
      </c>
      <c r="J748" s="276">
        <f>ROUND(Q67,0)</f>
        <v>1678</v>
      </c>
      <c r="K748" s="276">
        <f>ROUND(Q68,0)</f>
        <v>0</v>
      </c>
      <c r="L748" s="276">
        <f>ROUND(Q69,0)</f>
        <v>37785</v>
      </c>
      <c r="M748" s="276">
        <f>ROUND(Q70,0)</f>
        <v>0</v>
      </c>
      <c r="N748" s="276">
        <f>ROUND(Q75,0)</f>
        <v>11823900</v>
      </c>
      <c r="O748" s="276">
        <f>ROUND(Q73,0)</f>
        <v>4432333</v>
      </c>
      <c r="P748" s="276">
        <f>IF(Q76&gt;0,ROUND(Q76,0),0)</f>
        <v>12730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15.61</v>
      </c>
      <c r="U748" s="276"/>
      <c r="V748" s="277"/>
      <c r="W748" s="276"/>
      <c r="X748" s="276"/>
      <c r="Y748" s="276">
        <f t="shared" si="21"/>
        <v>4261269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210*2015*7040*A</v>
      </c>
      <c r="B749" s="276">
        <f>ROUND(R59,0)</f>
        <v>0</v>
      </c>
      <c r="C749" s="278">
        <f>ROUND(R60,2)</f>
        <v>3.25</v>
      </c>
      <c r="D749" s="276">
        <f>ROUND(R61,0)</f>
        <v>257787</v>
      </c>
      <c r="E749" s="276">
        <f>ROUND(R62,0)</f>
        <v>0</v>
      </c>
      <c r="F749" s="276">
        <f>ROUND(R63,0)</f>
        <v>0</v>
      </c>
      <c r="G749" s="276">
        <f>ROUND(R64,0)</f>
        <v>200133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1481</v>
      </c>
      <c r="M749" s="276">
        <f>ROUND(R70,0)</f>
        <v>0</v>
      </c>
      <c r="N749" s="276">
        <f>ROUND(R75,0)</f>
        <v>25738042</v>
      </c>
      <c r="O749" s="276">
        <f>ROUND(R73,0)</f>
        <v>12219615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578628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210*2015*7050*A</v>
      </c>
      <c r="B750" s="276"/>
      <c r="C750" s="278">
        <f>ROUND(S60,2)</f>
        <v>13.08</v>
      </c>
      <c r="D750" s="276">
        <f>ROUND(S61,0)</f>
        <v>723991</v>
      </c>
      <c r="E750" s="276">
        <f>ROUND(S62,0)</f>
        <v>-385</v>
      </c>
      <c r="F750" s="276">
        <f>ROUND(S63,0)</f>
        <v>0</v>
      </c>
      <c r="G750" s="276">
        <f>ROUND(S64,0)</f>
        <v>33381</v>
      </c>
      <c r="H750" s="276">
        <f>ROUND(S65,0)</f>
        <v>536</v>
      </c>
      <c r="I750" s="276">
        <f>ROUND(S66,0)</f>
        <v>218290</v>
      </c>
      <c r="J750" s="276">
        <f>ROUND(S67,0)</f>
        <v>2340</v>
      </c>
      <c r="K750" s="276">
        <f>ROUND(S68,0)</f>
        <v>137</v>
      </c>
      <c r="L750" s="276">
        <f>ROUND(S69,0)</f>
        <v>14641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797216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210*2015*7060*A</v>
      </c>
      <c r="B751" s="276"/>
      <c r="C751" s="278">
        <f>ROUND(T60,2)</f>
        <v>3.67</v>
      </c>
      <c r="D751" s="276">
        <f>ROUND(T61,0)</f>
        <v>366054</v>
      </c>
      <c r="E751" s="276">
        <f>ROUND(T62,0)</f>
        <v>0</v>
      </c>
      <c r="F751" s="276">
        <f>ROUND(T63,0)</f>
        <v>0</v>
      </c>
      <c r="G751" s="276">
        <f>ROUND(T64,0)</f>
        <v>80387</v>
      </c>
      <c r="H751" s="276">
        <f>ROUND(T65,0)</f>
        <v>0</v>
      </c>
      <c r="I751" s="276">
        <f>ROUND(T66,0)</f>
        <v>0</v>
      </c>
      <c r="J751" s="276">
        <f>ROUND(T67,0)</f>
        <v>458</v>
      </c>
      <c r="K751" s="276">
        <f>ROUND(T68,0)</f>
        <v>0</v>
      </c>
      <c r="L751" s="276">
        <f>ROUND(T69,0)</f>
        <v>8780</v>
      </c>
      <c r="M751" s="276">
        <f>ROUND(T70,0)</f>
        <v>0</v>
      </c>
      <c r="N751" s="276">
        <f>ROUND(T75,0)</f>
        <v>2267793</v>
      </c>
      <c r="O751" s="276">
        <f>ROUND(T73,0)</f>
        <v>769609</v>
      </c>
      <c r="P751" s="276">
        <f>IF(T76&gt;0,ROUND(T76,0),0)</f>
        <v>343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3.28</v>
      </c>
      <c r="U751" s="276"/>
      <c r="V751" s="277"/>
      <c r="W751" s="276"/>
      <c r="X751" s="276"/>
      <c r="Y751" s="276">
        <f t="shared" si="21"/>
        <v>483704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210*2015*7070*A</v>
      </c>
      <c r="B752" s="276">
        <f>ROUND(U59,0)</f>
        <v>0</v>
      </c>
      <c r="C752" s="278">
        <f>ROUND(U60,2)</f>
        <v>2.46</v>
      </c>
      <c r="D752" s="276">
        <f>ROUND(U61,0)</f>
        <v>235156</v>
      </c>
      <c r="E752" s="276">
        <f>ROUND(U62,0)</f>
        <v>0</v>
      </c>
      <c r="F752" s="276">
        <f>ROUND(U63,0)</f>
        <v>517061</v>
      </c>
      <c r="G752" s="276">
        <f>ROUND(U64,0)</f>
        <v>821834</v>
      </c>
      <c r="H752" s="276">
        <f>ROUND(U65,0)</f>
        <v>0</v>
      </c>
      <c r="I752" s="276">
        <f>ROUND(U66,0)</f>
        <v>3993324</v>
      </c>
      <c r="J752" s="276">
        <f>ROUND(U67,0)</f>
        <v>34367</v>
      </c>
      <c r="K752" s="276">
        <f>ROUND(U68,0)</f>
        <v>13</v>
      </c>
      <c r="L752" s="276">
        <f>ROUND(U69,0)</f>
        <v>2341</v>
      </c>
      <c r="M752" s="276">
        <f>ROUND(U70,0)</f>
        <v>672</v>
      </c>
      <c r="N752" s="276">
        <f>ROUND(U75,0)</f>
        <v>18142906</v>
      </c>
      <c r="O752" s="276">
        <f>ROUND(U73,0)</f>
        <v>11544957</v>
      </c>
      <c r="P752" s="276">
        <f>IF(U76&gt;0,ROUND(U76,0),0)</f>
        <v>5177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5245208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210*2015*7110*A</v>
      </c>
      <c r="B753" s="276">
        <f>ROUND(V59,0)</f>
        <v>0</v>
      </c>
      <c r="C753" s="278">
        <f>ROUND(V60,2)</f>
        <v>3.03</v>
      </c>
      <c r="D753" s="276">
        <f>ROUND(V61,0)</f>
        <v>194469</v>
      </c>
      <c r="E753" s="276">
        <f>ROUND(V62,0)</f>
        <v>0</v>
      </c>
      <c r="F753" s="276">
        <f>ROUND(V63,0)</f>
        <v>84824</v>
      </c>
      <c r="G753" s="276">
        <f>ROUND(V64,0)</f>
        <v>5528</v>
      </c>
      <c r="H753" s="276">
        <f>ROUND(V65,0)</f>
        <v>0</v>
      </c>
      <c r="I753" s="276">
        <f>ROUND(V66,0)</f>
        <v>54367</v>
      </c>
      <c r="J753" s="276">
        <f>ROUND(V67,0)</f>
        <v>0</v>
      </c>
      <c r="K753" s="276">
        <f>ROUND(V68,0)</f>
        <v>0</v>
      </c>
      <c r="L753" s="276">
        <f>ROUND(V69,0)</f>
        <v>133</v>
      </c>
      <c r="M753" s="276">
        <f>ROUND(V70,0)</f>
        <v>0</v>
      </c>
      <c r="N753" s="276">
        <f>ROUND(V75,0)</f>
        <v>3199532</v>
      </c>
      <c r="O753" s="276">
        <f>ROUND(V73,0)</f>
        <v>1106430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293009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210*2015*7120*A</v>
      </c>
      <c r="B754" s="276">
        <f>ROUND(W59,0)</f>
        <v>0</v>
      </c>
      <c r="C754" s="278">
        <f>ROUND(W60,2)</f>
        <v>5.97</v>
      </c>
      <c r="D754" s="276">
        <f>ROUND(W61,0)</f>
        <v>666046</v>
      </c>
      <c r="E754" s="276">
        <f>ROUND(W62,0)</f>
        <v>0</v>
      </c>
      <c r="F754" s="276">
        <f>ROUND(W63,0)</f>
        <v>0</v>
      </c>
      <c r="G754" s="276">
        <f>ROUND(W64,0)</f>
        <v>189604</v>
      </c>
      <c r="H754" s="276">
        <f>ROUND(W65,0)</f>
        <v>0</v>
      </c>
      <c r="I754" s="276">
        <f>ROUND(W66,0)</f>
        <v>276623</v>
      </c>
      <c r="J754" s="276">
        <f>ROUND(W67,0)</f>
        <v>3392</v>
      </c>
      <c r="K754" s="276">
        <f>ROUND(W68,0)</f>
        <v>0</v>
      </c>
      <c r="L754" s="276">
        <f>ROUND(W69,0)</f>
        <v>8791</v>
      </c>
      <c r="M754" s="276">
        <f>ROUND(W70,0)</f>
        <v>0</v>
      </c>
      <c r="N754" s="276">
        <f>ROUND(W75,0)</f>
        <v>13105807</v>
      </c>
      <c r="O754" s="276">
        <f>ROUND(W73,0)</f>
        <v>1153161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1005400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210*2015*7130*A</v>
      </c>
      <c r="B755" s="276">
        <f>ROUND(X59,0)</f>
        <v>0</v>
      </c>
      <c r="C755" s="278">
        <f>ROUND(X60,2)</f>
        <v>15.95</v>
      </c>
      <c r="D755" s="276">
        <f>ROUND(X61,0)</f>
        <v>1605095</v>
      </c>
      <c r="E755" s="276">
        <f>ROUND(X62,0)</f>
        <v>0</v>
      </c>
      <c r="F755" s="276">
        <f>ROUND(X63,0)</f>
        <v>0</v>
      </c>
      <c r="G755" s="276">
        <f>ROUND(X64,0)</f>
        <v>255492</v>
      </c>
      <c r="H755" s="276">
        <f>ROUND(X65,0)</f>
        <v>0</v>
      </c>
      <c r="I755" s="276">
        <f>ROUND(X66,0)</f>
        <v>269687</v>
      </c>
      <c r="J755" s="276">
        <f>ROUND(X67,0)</f>
        <v>3564</v>
      </c>
      <c r="K755" s="276">
        <f>ROUND(X68,0)</f>
        <v>0</v>
      </c>
      <c r="L755" s="276">
        <f>ROUND(X69,0)</f>
        <v>3716</v>
      </c>
      <c r="M755" s="276">
        <f>ROUND(X70,0)</f>
        <v>0</v>
      </c>
      <c r="N755" s="276">
        <f>ROUND(X75,0)</f>
        <v>17818629</v>
      </c>
      <c r="O755" s="276">
        <f>ROUND(X73,0)</f>
        <v>3735580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0.01</v>
      </c>
      <c r="U755" s="276"/>
      <c r="V755" s="277"/>
      <c r="W755" s="276"/>
      <c r="X755" s="276"/>
      <c r="Y755" s="276">
        <f t="shared" si="21"/>
        <v>1833016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210*2015*7140*A</v>
      </c>
      <c r="B756" s="276">
        <f>ROUND(Y59,0)</f>
        <v>0</v>
      </c>
      <c r="C756" s="278">
        <f>ROUND(Y60,2)</f>
        <v>28.6</v>
      </c>
      <c r="D756" s="276">
        <f>ROUND(Y61,0)</f>
        <v>2156111</v>
      </c>
      <c r="E756" s="276">
        <f>ROUND(Y62,0)</f>
        <v>-747</v>
      </c>
      <c r="F756" s="276">
        <f>ROUND(Y63,0)</f>
        <v>29484</v>
      </c>
      <c r="G756" s="276">
        <f>ROUND(Y64,0)</f>
        <v>519231</v>
      </c>
      <c r="H756" s="276">
        <f>ROUND(Y65,0)</f>
        <v>0</v>
      </c>
      <c r="I756" s="276">
        <f>ROUND(Y66,0)</f>
        <v>1069625</v>
      </c>
      <c r="J756" s="276">
        <f>ROUND(Y67,0)</f>
        <v>167824</v>
      </c>
      <c r="K756" s="276">
        <f>ROUND(Y68,0)</f>
        <v>18595</v>
      </c>
      <c r="L756" s="276">
        <f>ROUND(Y69,0)</f>
        <v>33996</v>
      </c>
      <c r="M756" s="276">
        <f>ROUND(Y70,0)</f>
        <v>6613</v>
      </c>
      <c r="N756" s="276">
        <f>ROUND(Y75,0)</f>
        <v>23089006</v>
      </c>
      <c r="O756" s="276">
        <f>ROUND(Y73,0)</f>
        <v>3397073</v>
      </c>
      <c r="P756" s="276">
        <f>IF(Y76&gt;0,ROUND(Y76,0),0)</f>
        <v>15401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5665599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210*2015*7150*A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210*2015*7160*A</v>
      </c>
      <c r="B758" s="276">
        <f>ROUND(AA59,0)</f>
        <v>0</v>
      </c>
      <c r="C758" s="278">
        <f>ROUND(AA60,2)</f>
        <v>0.8</v>
      </c>
      <c r="D758" s="276">
        <f>ROUND(AA61,0)</f>
        <v>89313</v>
      </c>
      <c r="E758" s="276">
        <f>ROUND(AA62,0)</f>
        <v>0</v>
      </c>
      <c r="F758" s="276">
        <f>ROUND(AA63,0)</f>
        <v>0</v>
      </c>
      <c r="G758" s="276">
        <f>ROUND(AA64,0)</f>
        <v>80159</v>
      </c>
      <c r="H758" s="276">
        <f>ROUND(AA65,0)</f>
        <v>0</v>
      </c>
      <c r="I758" s="276">
        <f>ROUND(AA66,0)</f>
        <v>24584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1982048</v>
      </c>
      <c r="O758" s="276">
        <f>ROUND(AA73,0)</f>
        <v>207671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171293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210*2015*7170*A</v>
      </c>
      <c r="B759" s="276"/>
      <c r="C759" s="278">
        <f>ROUND(AB60,2)</f>
        <v>20.2</v>
      </c>
      <c r="D759" s="276">
        <f>ROUND(AB61,0)</f>
        <v>2159165</v>
      </c>
      <c r="E759" s="276">
        <f>ROUND(AB62,0)</f>
        <v>2358</v>
      </c>
      <c r="F759" s="276">
        <f>ROUND(AB63,0)</f>
        <v>47615</v>
      </c>
      <c r="G759" s="276">
        <f>ROUND(AB64,0)</f>
        <v>7478794</v>
      </c>
      <c r="H759" s="276">
        <f>ROUND(AB65,0)</f>
        <v>600</v>
      </c>
      <c r="I759" s="276">
        <f>ROUND(AB66,0)</f>
        <v>286319</v>
      </c>
      <c r="J759" s="276">
        <f>ROUND(AB67,0)</f>
        <v>0</v>
      </c>
      <c r="K759" s="276">
        <f>ROUND(AB68,0)</f>
        <v>199699</v>
      </c>
      <c r="L759" s="276">
        <f>ROUND(AB69,0)</f>
        <v>37502</v>
      </c>
      <c r="M759" s="276">
        <f>ROUND(AB70,0)</f>
        <v>2079541</v>
      </c>
      <c r="N759" s="276">
        <f>ROUND(AB75,0)</f>
        <v>45618483</v>
      </c>
      <c r="O759" s="276">
        <f>ROUND(AB73,0)</f>
        <v>22780573</v>
      </c>
      <c r="P759" s="276">
        <f>IF(AB76&gt;0,ROUND(AB76,0),0)</f>
        <v>4583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7822353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210*2015*7180*A</v>
      </c>
      <c r="B760" s="276">
        <f>ROUND(AC59,0)</f>
        <v>0</v>
      </c>
      <c r="C760" s="278">
        <f>ROUND(AC60,2)</f>
        <v>12.6</v>
      </c>
      <c r="D760" s="276">
        <f>ROUND(AC61,0)</f>
        <v>1104446</v>
      </c>
      <c r="E760" s="276">
        <f>ROUND(AC62,0)</f>
        <v>0</v>
      </c>
      <c r="F760" s="276">
        <f>ROUND(AC63,0)</f>
        <v>51892</v>
      </c>
      <c r="G760" s="276">
        <f>ROUND(AC64,0)</f>
        <v>204230</v>
      </c>
      <c r="H760" s="276">
        <f>ROUND(AC65,0)</f>
        <v>1217</v>
      </c>
      <c r="I760" s="276">
        <f>ROUND(AC66,0)</f>
        <v>34300</v>
      </c>
      <c r="J760" s="276">
        <f>ROUND(AC67,0)</f>
        <v>1239</v>
      </c>
      <c r="K760" s="276">
        <f>ROUND(AC68,0)</f>
        <v>2360</v>
      </c>
      <c r="L760" s="276">
        <f>ROUND(AC69,0)</f>
        <v>4465</v>
      </c>
      <c r="M760" s="276">
        <f>ROUND(AC70,0)</f>
        <v>0</v>
      </c>
      <c r="N760" s="276">
        <f>ROUND(AC75,0)</f>
        <v>6945793</v>
      </c>
      <c r="O760" s="276">
        <f>ROUND(AC73,0)</f>
        <v>6088101</v>
      </c>
      <c r="P760" s="276">
        <f>IF(AC76&gt;0,ROUND(AC76,0),0)</f>
        <v>1702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1432593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210*2015*7190*A</v>
      </c>
      <c r="B761" s="276">
        <f>ROUND(AD59,0)</f>
        <v>0</v>
      </c>
      <c r="C761" s="278">
        <f>ROUND(AD60,2)</f>
        <v>0.5</v>
      </c>
      <c r="D761" s="276">
        <f>ROUND(AD61,0)</f>
        <v>52769</v>
      </c>
      <c r="E761" s="276">
        <f>ROUND(AD62,0)</f>
        <v>0</v>
      </c>
      <c r="F761" s="276">
        <f>ROUND(AD63,0)</f>
        <v>0</v>
      </c>
      <c r="G761" s="276">
        <f>ROUND(AD64,0)</f>
        <v>6380</v>
      </c>
      <c r="H761" s="276">
        <f>ROUND(AD65,0)</f>
        <v>0</v>
      </c>
      <c r="I761" s="276">
        <f>ROUND(AD66,0)</f>
        <v>4590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374792</v>
      </c>
      <c r="O761" s="276">
        <f>ROUND(AD73,0)</f>
        <v>363726</v>
      </c>
      <c r="P761" s="276">
        <f>IF(AD76&gt;0,ROUND(AD76,0),0)</f>
        <v>1106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0.48</v>
      </c>
      <c r="U761" s="276"/>
      <c r="V761" s="277"/>
      <c r="W761" s="276"/>
      <c r="X761" s="276"/>
      <c r="Y761" s="276">
        <f t="shared" si="21"/>
        <v>228001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210*2015*7200*A</v>
      </c>
      <c r="B762" s="276">
        <f>ROUND(AE59,0)</f>
        <v>0</v>
      </c>
      <c r="C762" s="278">
        <f>ROUND(AE60,2)</f>
        <v>0.06</v>
      </c>
      <c r="D762" s="276">
        <f>ROUND(AE61,0)</f>
        <v>5706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19848</v>
      </c>
      <c r="O762" s="276">
        <f>ROUND(AE73,0)</f>
        <v>19848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4678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210*2015*7220*A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210*2015*7230*A</v>
      </c>
      <c r="B764" s="276">
        <f>ROUND(AG59,0)</f>
        <v>27826</v>
      </c>
      <c r="C764" s="278">
        <f>ROUND(AG60,2)</f>
        <v>42.3</v>
      </c>
      <c r="D764" s="276">
        <f>ROUND(AG61,0)</f>
        <v>3794725</v>
      </c>
      <c r="E764" s="276">
        <f>ROUND(AG62,0)</f>
        <v>0</v>
      </c>
      <c r="F764" s="276">
        <f>ROUND(AG63,0)</f>
        <v>357074</v>
      </c>
      <c r="G764" s="276">
        <f>ROUND(AG64,0)</f>
        <v>707823</v>
      </c>
      <c r="H764" s="276">
        <f>ROUND(AG65,0)</f>
        <v>1143</v>
      </c>
      <c r="I764" s="276">
        <f>ROUND(AG66,0)</f>
        <v>383</v>
      </c>
      <c r="J764" s="276">
        <f>ROUND(AG67,0)</f>
        <v>12879</v>
      </c>
      <c r="K764" s="276">
        <f>ROUND(AG68,0)</f>
        <v>0</v>
      </c>
      <c r="L764" s="276">
        <f>ROUND(AG69,0)</f>
        <v>48655</v>
      </c>
      <c r="M764" s="276">
        <f>ROUND(AG70,0)</f>
        <v>73</v>
      </c>
      <c r="N764" s="276">
        <f>ROUND(AG75,0)</f>
        <v>59733281</v>
      </c>
      <c r="O764" s="276">
        <f>ROUND(AG73,0)</f>
        <v>12363309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20.09</v>
      </c>
      <c r="U764" s="276"/>
      <c r="V764" s="277"/>
      <c r="W764" s="276"/>
      <c r="X764" s="276"/>
      <c r="Y764" s="276">
        <f t="shared" si="21"/>
        <v>4706667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210*2015*7240*A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210*2015*7250*A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210*2015*7260*A</v>
      </c>
      <c r="B767" s="276">
        <f>ROUND(AJ59,0)</f>
        <v>0</v>
      </c>
      <c r="C767" s="278">
        <f>ROUND(AJ60,2)</f>
        <v>6.83</v>
      </c>
      <c r="D767" s="276">
        <f>ROUND(AJ61,0)</f>
        <v>798382</v>
      </c>
      <c r="E767" s="276">
        <f>ROUND(AJ62,0)</f>
        <v>0</v>
      </c>
      <c r="F767" s="276">
        <f>ROUND(AJ63,0)</f>
        <v>0</v>
      </c>
      <c r="G767" s="276">
        <f>ROUND(AJ64,0)</f>
        <v>20713</v>
      </c>
      <c r="H767" s="276">
        <f>ROUND(AJ65,0)</f>
        <v>2794</v>
      </c>
      <c r="I767" s="276">
        <f>ROUND(AJ66,0)</f>
        <v>1153</v>
      </c>
      <c r="J767" s="276">
        <f>ROUND(AJ67,0)</f>
        <v>0</v>
      </c>
      <c r="K767" s="276">
        <f>ROUND(AJ68,0)</f>
        <v>0</v>
      </c>
      <c r="L767" s="276">
        <f>ROUND(AJ69,0)</f>
        <v>23358</v>
      </c>
      <c r="M767" s="276">
        <f>ROUND(AJ70,0)</f>
        <v>0</v>
      </c>
      <c r="N767" s="276">
        <f>ROUND(AJ75,0)</f>
        <v>1023860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673502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210*2015*7310*A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210*2015*7320*A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210*2015*7330*A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210*2015*7340*A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210*2015*7350*A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210*2015*7380*A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210*2015*7390*A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210*2015*7400*A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210*2015*7410*A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210*2015*7420*A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9895</v>
      </c>
      <c r="N777" s="276">
        <f>ROUND(AT75,0)</f>
        <v>7567</v>
      </c>
      <c r="O777" s="276">
        <f>ROUND(AT73,0)</f>
        <v>100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-7447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210*2015*7430*A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210*2015*7490*A</v>
      </c>
      <c r="B779" s="276"/>
      <c r="C779" s="278">
        <f>ROUND(AV60,2)</f>
        <v>8.9499999999999993</v>
      </c>
      <c r="D779" s="276">
        <f>ROUND(AV61,0)</f>
        <v>788480</v>
      </c>
      <c r="E779" s="276">
        <f>ROUND(AV62,0)</f>
        <v>-658</v>
      </c>
      <c r="F779" s="276">
        <f>ROUND(AV63,0)</f>
        <v>18586</v>
      </c>
      <c r="G779" s="276">
        <f>ROUND(AV64,0)</f>
        <v>53292</v>
      </c>
      <c r="H779" s="276">
        <f>ROUND(AV65,0)</f>
        <v>4775</v>
      </c>
      <c r="I779" s="276">
        <f>ROUND(AV66,0)</f>
        <v>22206</v>
      </c>
      <c r="J779" s="276">
        <f>ROUND(AV67,0)</f>
        <v>1137</v>
      </c>
      <c r="K779" s="276">
        <f>ROUND(AV68,0)</f>
        <v>0</v>
      </c>
      <c r="L779" s="276">
        <f>ROUND(AV69,0)</f>
        <v>2976</v>
      </c>
      <c r="M779" s="276">
        <f>ROUND(AV70,0)</f>
        <v>0</v>
      </c>
      <c r="N779" s="276">
        <f>ROUND(AV75,0)</f>
        <v>3019134</v>
      </c>
      <c r="O779" s="276">
        <f>ROUND(AV73,0)</f>
        <v>-208687</v>
      </c>
      <c r="P779" s="276">
        <f>IF(AV76&gt;0,ROUND(AV76,0),0)</f>
        <v>9168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10.72</v>
      </c>
      <c r="U779" s="276"/>
      <c r="V779" s="277"/>
      <c r="W779" s="276"/>
      <c r="X779" s="276"/>
      <c r="Y779" s="276">
        <f t="shared" si="21"/>
        <v>2283653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210*2015*8200*A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26683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210*2015*8310*A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210*2015*8320*A</v>
      </c>
      <c r="B782" s="276">
        <f>ROUND(AY59,0)</f>
        <v>115540</v>
      </c>
      <c r="C782" s="278">
        <f>ROUND(AY60,2)</f>
        <v>22.93</v>
      </c>
      <c r="D782" s="276">
        <f>ROUND(AY61,0)</f>
        <v>1094337</v>
      </c>
      <c r="E782" s="276">
        <f>ROUND(AY62,0)</f>
        <v>0</v>
      </c>
      <c r="F782" s="276">
        <f>ROUND(AY63,0)</f>
        <v>0</v>
      </c>
      <c r="G782" s="276">
        <f>ROUND(AY64,0)</f>
        <v>245072</v>
      </c>
      <c r="H782" s="276">
        <f>ROUND(AY65,0)</f>
        <v>2172</v>
      </c>
      <c r="I782" s="276">
        <f>ROUND(AY66,0)</f>
        <v>23276</v>
      </c>
      <c r="J782" s="276">
        <f>ROUND(AY67,0)</f>
        <v>4796</v>
      </c>
      <c r="K782" s="276">
        <f>ROUND(AY68,0)</f>
        <v>6468</v>
      </c>
      <c r="L782" s="276">
        <f>ROUND(AY69,0)</f>
        <v>11241</v>
      </c>
      <c r="M782" s="276">
        <f>ROUND(AY70,0)</f>
        <v>144516</v>
      </c>
      <c r="N782" s="276"/>
      <c r="O782" s="276"/>
      <c r="P782" s="276">
        <f>IF(AY76&gt;0,ROUND(AY76,0),0)</f>
        <v>3639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210*2015*8330*A</v>
      </c>
      <c r="B783" s="276">
        <f>ROUND(AZ59,0)</f>
        <v>133594</v>
      </c>
      <c r="C783" s="278">
        <f>ROUND(AZ60,2)</f>
        <v>13.12</v>
      </c>
      <c r="D783" s="276">
        <f>ROUND(AZ61,0)</f>
        <v>599553</v>
      </c>
      <c r="E783" s="276">
        <f>ROUND(AZ62,0)</f>
        <v>-498</v>
      </c>
      <c r="F783" s="276">
        <f>ROUND(AZ63,0)</f>
        <v>0</v>
      </c>
      <c r="G783" s="276">
        <f>ROUND(AZ64,0)</f>
        <v>540359</v>
      </c>
      <c r="H783" s="276">
        <f>ROUND(AZ65,0)</f>
        <v>660</v>
      </c>
      <c r="I783" s="276">
        <f>ROUND(AZ66,0)</f>
        <v>697</v>
      </c>
      <c r="J783" s="276">
        <f>ROUND(AZ67,0)</f>
        <v>0</v>
      </c>
      <c r="K783" s="276">
        <f>ROUND(AZ68,0)</f>
        <v>349668</v>
      </c>
      <c r="L783" s="276">
        <f>ROUND(AZ69,0)</f>
        <v>10005</v>
      </c>
      <c r="M783" s="276">
        <f>ROUND(AZ70,0)</f>
        <v>723721</v>
      </c>
      <c r="N783" s="276"/>
      <c r="O783" s="276"/>
      <c r="P783" s="276">
        <f>IF(AZ76&gt;0,ROUND(AZ76,0),0)</f>
        <v>2233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210*2015*8350*A</v>
      </c>
      <c r="B784" s="276">
        <f>ROUND(BA59,0)</f>
        <v>0</v>
      </c>
      <c r="C784" s="278">
        <f>ROUND(BA60,2)</f>
        <v>1.19</v>
      </c>
      <c r="D784" s="276">
        <f>ROUND(BA61,0)</f>
        <v>54256</v>
      </c>
      <c r="E784" s="276">
        <f>ROUND(BA62,0)</f>
        <v>0</v>
      </c>
      <c r="F784" s="276">
        <f>ROUND(BA63,0)</f>
        <v>0</v>
      </c>
      <c r="G784" s="276">
        <f>ROUND(BA64,0)</f>
        <v>587</v>
      </c>
      <c r="H784" s="276">
        <f>ROUND(BA65,0)</f>
        <v>0</v>
      </c>
      <c r="I784" s="276">
        <f>ROUND(BA66,0)</f>
        <v>546179</v>
      </c>
      <c r="J784" s="276">
        <f>ROUND(BA67,0)</f>
        <v>0</v>
      </c>
      <c r="K784" s="276">
        <f>ROUND(BA68,0)</f>
        <v>0</v>
      </c>
      <c r="L784" s="276">
        <f>ROUND(BA69,0)</f>
        <v>675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210*2015*8360*A</v>
      </c>
      <c r="B785" s="276"/>
      <c r="C785" s="278">
        <f>ROUND(BB60,2)</f>
        <v>16.84</v>
      </c>
      <c r="D785" s="276">
        <f>ROUND(BB61,0)</f>
        <v>1515109</v>
      </c>
      <c r="E785" s="276">
        <f>ROUND(BB62,0)</f>
        <v>0</v>
      </c>
      <c r="F785" s="276">
        <f>ROUND(BB63,0)</f>
        <v>0</v>
      </c>
      <c r="G785" s="276">
        <f>ROUND(BB64,0)</f>
        <v>135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17873</v>
      </c>
      <c r="M785" s="276">
        <f>ROUND(BB70,0)</f>
        <v>470737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210*2015*8370*A</v>
      </c>
      <c r="B786" s="276"/>
      <c r="C786" s="278">
        <f>ROUND(BC60,2)</f>
        <v>0.74</v>
      </c>
      <c r="D786" s="276">
        <f>ROUND(BC61,0)</f>
        <v>27998</v>
      </c>
      <c r="E786" s="276">
        <f>ROUND(BC62,0)</f>
        <v>0</v>
      </c>
      <c r="F786" s="276">
        <f>ROUND(BC63,0)</f>
        <v>0</v>
      </c>
      <c r="G786" s="276">
        <f>ROUND(BC64,0)</f>
        <v>47</v>
      </c>
      <c r="H786" s="276">
        <f>ROUND(BC65,0)</f>
        <v>0</v>
      </c>
      <c r="I786" s="276">
        <f>ROUND(BC66,0)</f>
        <v>74026</v>
      </c>
      <c r="J786" s="276">
        <f>ROUND(BC67,0)</f>
        <v>2875</v>
      </c>
      <c r="K786" s="276">
        <f>ROUND(BC68,0)</f>
        <v>0</v>
      </c>
      <c r="L786" s="276">
        <f>ROUND(BC69,0)</f>
        <v>335</v>
      </c>
      <c r="M786" s="276">
        <f>ROUND(BC70,0)</f>
        <v>2015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210*2015*8420*A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-11559</v>
      </c>
      <c r="H787" s="276">
        <f>ROUND(BD65,0)</f>
        <v>0</v>
      </c>
      <c r="I787" s="276">
        <f>ROUND(BD66,0)</f>
        <v>122580</v>
      </c>
      <c r="J787" s="276">
        <f>ROUND(BD67,0)</f>
        <v>0</v>
      </c>
      <c r="K787" s="276">
        <f>ROUND(BD68,0)</f>
        <v>0</v>
      </c>
      <c r="L787" s="276">
        <f>ROUND(BD69,0)</f>
        <v>172</v>
      </c>
      <c r="M787" s="276">
        <f>ROUND(BD70,0)</f>
        <v>0</v>
      </c>
      <c r="N787" s="276"/>
      <c r="O787" s="276"/>
      <c r="P787" s="276">
        <f>IF(BD76&gt;0,ROUND(BD76,0),0)</f>
        <v>12168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210*2015*8430*A</v>
      </c>
      <c r="B788" s="276">
        <f>ROUND(BE59,0)</f>
        <v>383056</v>
      </c>
      <c r="C788" s="278">
        <f>ROUND(BE60,2)</f>
        <v>26.57</v>
      </c>
      <c r="D788" s="276">
        <f>ROUND(BE61,0)</f>
        <v>1722714</v>
      </c>
      <c r="E788" s="276">
        <f>ROUND(BE62,0)</f>
        <v>-746</v>
      </c>
      <c r="F788" s="276">
        <f>ROUND(BE63,0)</f>
        <v>0</v>
      </c>
      <c r="G788" s="276">
        <f>ROUND(BE64,0)</f>
        <v>121394</v>
      </c>
      <c r="H788" s="276">
        <f>ROUND(BE65,0)</f>
        <v>1370262</v>
      </c>
      <c r="I788" s="276">
        <f>ROUND(BE66,0)</f>
        <v>1341824</v>
      </c>
      <c r="J788" s="276">
        <f>ROUND(BE67,0)</f>
        <v>33030</v>
      </c>
      <c r="K788" s="276">
        <f>ROUND(BE68,0)</f>
        <v>6002</v>
      </c>
      <c r="L788" s="276">
        <f>ROUND(BE69,0)</f>
        <v>30656</v>
      </c>
      <c r="M788" s="276">
        <f>ROUND(BE70,0)</f>
        <v>125964</v>
      </c>
      <c r="N788" s="276"/>
      <c r="O788" s="276"/>
      <c r="P788" s="276">
        <f>IF(BE76&gt;0,ROUND(BE76,0),0)</f>
        <v>126526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210*2015*8460*A</v>
      </c>
      <c r="B789" s="276"/>
      <c r="C789" s="278">
        <f>ROUND(BF60,2)</f>
        <v>29.55</v>
      </c>
      <c r="D789" s="276">
        <f>ROUND(BF61,0)</f>
        <v>1326892</v>
      </c>
      <c r="E789" s="276">
        <f>ROUND(BF62,0)</f>
        <v>-455</v>
      </c>
      <c r="F789" s="276">
        <f>ROUND(BF63,0)</f>
        <v>0</v>
      </c>
      <c r="G789" s="276">
        <f>ROUND(BF64,0)</f>
        <v>137478</v>
      </c>
      <c r="H789" s="276">
        <f>ROUND(BF65,0)</f>
        <v>242491</v>
      </c>
      <c r="I789" s="276">
        <f>ROUND(BF66,0)</f>
        <v>100097</v>
      </c>
      <c r="J789" s="276">
        <f>ROUND(BF67,0)</f>
        <v>737</v>
      </c>
      <c r="K789" s="276">
        <f>ROUND(BF68,0)</f>
        <v>0</v>
      </c>
      <c r="L789" s="276">
        <f>ROUND(BF69,0)</f>
        <v>9812</v>
      </c>
      <c r="M789" s="276">
        <f>ROUND(BF70,0)</f>
        <v>59460</v>
      </c>
      <c r="N789" s="276"/>
      <c r="O789" s="276"/>
      <c r="P789" s="276">
        <f>IF(BF76&gt;0,ROUND(BF76,0),0)</f>
        <v>1798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210*2015*8470*A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210*2015*8480*A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210*2015*8490*A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170</v>
      </c>
      <c r="H792" s="276">
        <f>ROUND(BI65,0)</f>
        <v>98</v>
      </c>
      <c r="I792" s="276">
        <f>ROUND(BI66,0)</f>
        <v>15234</v>
      </c>
      <c r="J792" s="276">
        <f>ROUND(BI67,0)</f>
        <v>0</v>
      </c>
      <c r="K792" s="276">
        <f>ROUND(BI68,0)</f>
        <v>0</v>
      </c>
      <c r="L792" s="276">
        <f>ROUND(BI69,0)</f>
        <v>2374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210*2015*8510*A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22827441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210*2015*8530*A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56977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1401203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210*2015*8560*A</v>
      </c>
      <c r="B795" s="276"/>
      <c r="C795" s="278">
        <f>ROUND(BL60,2)</f>
        <v>26.22</v>
      </c>
      <c r="D795" s="276">
        <f>ROUND(BL61,0)</f>
        <v>1479853</v>
      </c>
      <c r="E795" s="276">
        <f>ROUND(BL62,0)</f>
        <v>1893</v>
      </c>
      <c r="F795" s="276">
        <f>ROUND(BL63,0)</f>
        <v>0</v>
      </c>
      <c r="G795" s="276">
        <f>ROUND(BL64,0)</f>
        <v>28104</v>
      </c>
      <c r="H795" s="276">
        <f>ROUND(BL65,0)</f>
        <v>536</v>
      </c>
      <c r="I795" s="276">
        <f>ROUND(BL66,0)</f>
        <v>1807</v>
      </c>
      <c r="J795" s="276">
        <f>ROUND(BL67,0)</f>
        <v>0</v>
      </c>
      <c r="K795" s="276">
        <f>ROUND(BL68,0)</f>
        <v>0</v>
      </c>
      <c r="L795" s="276">
        <f>ROUND(BL69,0)</f>
        <v>6770</v>
      </c>
      <c r="M795" s="276">
        <f>ROUND(BL70,0)</f>
        <v>0</v>
      </c>
      <c r="N795" s="276"/>
      <c r="O795" s="276"/>
      <c r="P795" s="276">
        <f>IF(BL76&gt;0,ROUND(BL76,0),0)</f>
        <v>4927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210*2015*8590*A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210*2015*8610*A</v>
      </c>
      <c r="B797" s="276"/>
      <c r="C797" s="278">
        <f>ROUND(BN60,2)</f>
        <v>8</v>
      </c>
      <c r="D797" s="276">
        <f>ROUND(BN61,0)</f>
        <v>976248</v>
      </c>
      <c r="E797" s="276">
        <f>ROUND(BN62,0)</f>
        <v>-27377</v>
      </c>
      <c r="F797" s="276">
        <f>ROUND(BN63,0)</f>
        <v>975918</v>
      </c>
      <c r="G797" s="276">
        <f>ROUND(BN64,0)</f>
        <v>-910867</v>
      </c>
      <c r="H797" s="276">
        <f>ROUND(BN65,0)</f>
        <v>5037</v>
      </c>
      <c r="I797" s="276">
        <f>ROUND(BN66,0)</f>
        <v>183150</v>
      </c>
      <c r="J797" s="276">
        <f>ROUND(BN67,0)</f>
        <v>-5886</v>
      </c>
      <c r="K797" s="276">
        <f>ROUND(BN68,0)</f>
        <v>1617849</v>
      </c>
      <c r="L797" s="276">
        <f>ROUND(BN69,0)</f>
        <v>650952</v>
      </c>
      <c r="M797" s="276">
        <f>ROUND(BN70,0)</f>
        <v>2006978</v>
      </c>
      <c r="N797" s="276"/>
      <c r="O797" s="276"/>
      <c r="P797" s="276">
        <f>IF(BN76&gt;0,ROUND(BN76,0),0)</f>
        <v>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210*2015*8620*A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210*2015*8630*A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210*2015*8640*A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210*2015*8650*A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210*2015*8660*A</v>
      </c>
      <c r="B802" s="276"/>
      <c r="C802" s="278">
        <f>ROUND(BS60,2)</f>
        <v>23.18</v>
      </c>
      <c r="D802" s="276">
        <f>ROUND(BS61,0)</f>
        <v>999837</v>
      </c>
      <c r="E802" s="276">
        <f>ROUND(BS62,0)</f>
        <v>-525</v>
      </c>
      <c r="F802" s="276">
        <f>ROUND(BS63,0)</f>
        <v>394</v>
      </c>
      <c r="G802" s="276">
        <f>ROUND(BS64,0)</f>
        <v>61852</v>
      </c>
      <c r="H802" s="276">
        <f>ROUND(BS65,0)</f>
        <v>1409</v>
      </c>
      <c r="I802" s="276">
        <f>ROUND(BS66,0)</f>
        <v>193733</v>
      </c>
      <c r="J802" s="276">
        <f>ROUND(BS67,0)</f>
        <v>0</v>
      </c>
      <c r="K802" s="276">
        <f>ROUND(BS68,0)</f>
        <v>193728</v>
      </c>
      <c r="L802" s="276">
        <f>ROUND(BS69,0)</f>
        <v>35492</v>
      </c>
      <c r="M802" s="276">
        <f>ROUND(BS70,0)</f>
        <v>1086163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210*2015*8670*A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210*2015*8680*A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210*2015*8690*A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210*2015*8700*A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210*2015*8710*A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210*2015*8720*A</v>
      </c>
      <c r="B808" s="276"/>
      <c r="C808" s="278">
        <f>ROUND(BY60,2)</f>
        <v>5.73</v>
      </c>
      <c r="D808" s="276">
        <f>ROUND(BY61,0)</f>
        <v>690886</v>
      </c>
      <c r="E808" s="276">
        <f>ROUND(BY62,0)</f>
        <v>0</v>
      </c>
      <c r="F808" s="276">
        <f>ROUND(BY63,0)</f>
        <v>210</v>
      </c>
      <c r="G808" s="276">
        <f>ROUND(BY64,0)</f>
        <v>106</v>
      </c>
      <c r="H808" s="276">
        <f>ROUND(BY65,0)</f>
        <v>0</v>
      </c>
      <c r="I808" s="276">
        <f>ROUND(BY66,0)</f>
        <v>1835</v>
      </c>
      <c r="J808" s="276">
        <f>ROUND(BY67,0)</f>
        <v>0</v>
      </c>
      <c r="K808" s="276">
        <f>ROUND(BY68,0)</f>
        <v>0</v>
      </c>
      <c r="L808" s="276">
        <f>ROUND(BY69,0)</f>
        <v>9064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210*2015*8730*A</v>
      </c>
      <c r="B809" s="276"/>
      <c r="C809" s="278">
        <f>ROUND(BZ60,2)</f>
        <v>6.99</v>
      </c>
      <c r="D809" s="276">
        <f>ROUND(BZ61,0)</f>
        <v>821153</v>
      </c>
      <c r="E809" s="276">
        <f>ROUND(BZ62,0)</f>
        <v>0</v>
      </c>
      <c r="F809" s="276">
        <f>ROUND(BZ63,0)</f>
        <v>0</v>
      </c>
      <c r="G809" s="276">
        <f>ROUND(BZ64,0)</f>
        <v>918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11974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210*2015*8740*A</v>
      </c>
      <c r="B810" s="276"/>
      <c r="C810" s="278">
        <f>ROUND(CA60,2)</f>
        <v>0.02</v>
      </c>
      <c r="D810" s="276">
        <f>ROUND(CA61,0)</f>
        <v>2727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210*2015*8770*A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210*2015*8790*A</v>
      </c>
      <c r="B812" s="276"/>
      <c r="C812" s="278">
        <f>ROUND(CC60,2)</f>
        <v>0.85</v>
      </c>
      <c r="D812" s="276">
        <f>ROUND(CC61,0)</f>
        <v>69003</v>
      </c>
      <c r="E812" s="276">
        <f>ROUND(CC62,0)</f>
        <v>3617425</v>
      </c>
      <c r="F812" s="276">
        <f>ROUND(CC63,0)</f>
        <v>0</v>
      </c>
      <c r="G812" s="276">
        <f>ROUND(CC64,0)</f>
        <v>25664</v>
      </c>
      <c r="H812" s="276">
        <f>ROUND(CC65,0)</f>
        <v>0</v>
      </c>
      <c r="I812" s="276">
        <f>ROUND(CC66,0)</f>
        <v>13020</v>
      </c>
      <c r="J812" s="276">
        <f>ROUND(CC67,0)</f>
        <v>2128</v>
      </c>
      <c r="K812" s="276">
        <f>ROUND(CC68,0)</f>
        <v>0</v>
      </c>
      <c r="L812" s="276">
        <f>ROUND(CC69,0)</f>
        <v>56179560</v>
      </c>
      <c r="M812" s="276">
        <f>ROUND(CC70,0)</f>
        <v>4374936</v>
      </c>
      <c r="N812" s="276"/>
      <c r="O812" s="276"/>
      <c r="P812" s="276">
        <f>IF(CC76&gt;0,ROUND(CC76,0),0)</f>
        <v>25355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210*2015*9000*A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17550552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621</v>
      </c>
      <c r="D815" s="277">
        <f t="shared" si="22"/>
        <v>52731434</v>
      </c>
      <c r="E815" s="277">
        <f t="shared" si="22"/>
        <v>3624963</v>
      </c>
      <c r="F815" s="277">
        <f t="shared" si="22"/>
        <v>4961738</v>
      </c>
      <c r="G815" s="277">
        <f t="shared" si="22"/>
        <v>27905657</v>
      </c>
      <c r="H815" s="277">
        <f t="shared" si="22"/>
        <v>1637332</v>
      </c>
      <c r="I815" s="277">
        <f t="shared" si="22"/>
        <v>10055213</v>
      </c>
      <c r="J815" s="277">
        <f t="shared" si="22"/>
        <v>24114017</v>
      </c>
      <c r="K815" s="277">
        <f t="shared" si="22"/>
        <v>2477696</v>
      </c>
      <c r="L815" s="277">
        <f>SUM(L734:L813)+SUM(U734:U813)</f>
        <v>75054374</v>
      </c>
      <c r="M815" s="277">
        <f>SUM(M734:M813)+SUM(V734:V813)</f>
        <v>12497321</v>
      </c>
      <c r="N815" s="277">
        <f t="shared" ref="N815:Y815" si="23">SUM(N734:N813)</f>
        <v>513667551</v>
      </c>
      <c r="O815" s="277">
        <f t="shared" si="23"/>
        <v>254718401</v>
      </c>
      <c r="P815" s="277">
        <f t="shared" si="23"/>
        <v>383056</v>
      </c>
      <c r="Q815" s="277">
        <f t="shared" si="23"/>
        <v>115540</v>
      </c>
      <c r="R815" s="277">
        <f t="shared" si="23"/>
        <v>21514</v>
      </c>
      <c r="S815" s="277">
        <f t="shared" si="23"/>
        <v>950200</v>
      </c>
      <c r="T815" s="281">
        <f t="shared" si="23"/>
        <v>177.85999999999996</v>
      </c>
      <c r="U815" s="277">
        <f t="shared" si="23"/>
        <v>17550552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109680697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621</v>
      </c>
      <c r="D816" s="277">
        <f>CE61</f>
        <v>52731434</v>
      </c>
      <c r="E816" s="277">
        <f>CE62</f>
        <v>3624963</v>
      </c>
      <c r="F816" s="277">
        <f>CE63</f>
        <v>4961738</v>
      </c>
      <c r="G816" s="277">
        <f>CE64</f>
        <v>27905657</v>
      </c>
      <c r="H816" s="280">
        <f>CE65</f>
        <v>1637332</v>
      </c>
      <c r="I816" s="280">
        <f>CE66</f>
        <v>10055213</v>
      </c>
      <c r="J816" s="280">
        <f>CE67</f>
        <v>24114017</v>
      </c>
      <c r="K816" s="280">
        <f>CE68</f>
        <v>2477696</v>
      </c>
      <c r="L816" s="280">
        <f>CE69</f>
        <v>75054374</v>
      </c>
      <c r="M816" s="280">
        <f>CE70</f>
        <v>12497321</v>
      </c>
      <c r="N816" s="277">
        <f>CE75</f>
        <v>513667551</v>
      </c>
      <c r="O816" s="277">
        <f>CE73</f>
        <v>254718401</v>
      </c>
      <c r="P816" s="277">
        <f>CE76</f>
        <v>383056</v>
      </c>
      <c r="Q816" s="277">
        <f>CE77</f>
        <v>115540</v>
      </c>
      <c r="R816" s="277">
        <f>CE78</f>
        <v>21514</v>
      </c>
      <c r="S816" s="277">
        <f>CE79</f>
        <v>950200</v>
      </c>
      <c r="T816" s="281">
        <f>CE80</f>
        <v>177.85999999999996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109680698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52731433</v>
      </c>
      <c r="E817" s="180">
        <f>C379</f>
        <v>3624963</v>
      </c>
      <c r="F817" s="180">
        <f>C380</f>
        <v>4961736</v>
      </c>
      <c r="G817" s="242">
        <f>C381</f>
        <v>27905655</v>
      </c>
      <c r="H817" s="242">
        <f>C382</f>
        <v>1637330</v>
      </c>
      <c r="I817" s="242">
        <f>C383</f>
        <v>10055212</v>
      </c>
      <c r="J817" s="242">
        <f>C384</f>
        <v>24114019</v>
      </c>
      <c r="K817" s="242">
        <f>C385</f>
        <v>2477696</v>
      </c>
      <c r="L817" s="242">
        <f>C386+C387+C388+C389</f>
        <v>75054374</v>
      </c>
      <c r="M817" s="242">
        <f>C370</f>
        <v>12497320</v>
      </c>
      <c r="N817" s="180">
        <f>D361</f>
        <v>513667550</v>
      </c>
      <c r="O817" s="180">
        <f>C359</f>
        <v>254718400</v>
      </c>
    </row>
  </sheetData>
  <mergeCells count="1">
    <mergeCell ref="B220:C220"/>
  </mergeCells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7" zoomScale="75" workbookViewId="0">
      <selection activeCell="E34" sqref="E34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148"/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1013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1257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1258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1"/>
    </row>
    <row r="16" spans="2:13" ht="15.6" thickBot="1" x14ac:dyDescent="0.3">
      <c r="B16" s="144"/>
      <c r="C16" s="8"/>
      <c r="D16" s="8"/>
      <c r="E16" s="8"/>
      <c r="F16" s="8" t="s">
        <v>1014</v>
      </c>
      <c r="G16" s="8"/>
      <c r="H16" s="8"/>
      <c r="I16" s="8"/>
      <c r="J16" s="145"/>
    </row>
    <row r="17" spans="2:10" ht="15.6" thickTop="1" x14ac:dyDescent="0.25">
      <c r="B17" s="141"/>
      <c r="C17" s="150" t="s">
        <v>1015</v>
      </c>
      <c r="D17" s="150"/>
      <c r="E17" s="142" t="str">
        <f>+data!C84</f>
        <v>Swedish Issaquah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1016</v>
      </c>
      <c r="D18" s="151"/>
      <c r="E18" s="8" t="str">
        <f>+"H-"&amp;data!C83</f>
        <v>H-210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1017</v>
      </c>
      <c r="D19" s="151"/>
      <c r="E19" s="8" t="str">
        <f>+data!C85</f>
        <v>751 NE Blakely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1018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1019</v>
      </c>
      <c r="D21" s="151"/>
      <c r="E21" s="8" t="str">
        <f>+data!C87</f>
        <v>Issaquah, WA 98029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1020</v>
      </c>
      <c r="G26" s="70"/>
      <c r="H26" s="70"/>
      <c r="I26" s="70"/>
      <c r="J26" s="154"/>
    </row>
    <row r="27" spans="2:10" x14ac:dyDescent="0.25">
      <c r="B27" s="155" t="s">
        <v>1021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12/31/2016.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1022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1023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1024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1025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1026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1027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1025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1026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1028</v>
      </c>
      <c r="H1" s="7"/>
    </row>
    <row r="2" spans="1:13" ht="20.100000000000001" customHeight="1" x14ac:dyDescent="0.25">
      <c r="A2" s="6" t="s">
        <v>1029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12/31/2016</v>
      </c>
      <c r="C4" s="38"/>
      <c r="D4" s="120"/>
      <c r="E4" s="70"/>
      <c r="F4" s="127" t="str">
        <f>"License Number:  "&amp;"H-"&amp;FIXED(data!C83,0)</f>
        <v>License Number:  H-210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Swedish Issaquah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1030</v>
      </c>
      <c r="C7" s="24"/>
      <c r="D7" s="127" t="str">
        <f>"  "&amp;data!C89</f>
        <v xml:space="preserve">  Rayburn Lewis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1031</v>
      </c>
      <c r="C8" s="24"/>
      <c r="D8" s="127" t="str">
        <f>"  "&amp;data!C90</f>
        <v xml:space="preserve">  Pam Gallagher-Felt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1032</v>
      </c>
      <c r="C9" s="24"/>
      <c r="D9" s="127" t="str">
        <f>"  "&amp;data!C91</f>
        <v xml:space="preserve">  Michael Hart M.D.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1033</v>
      </c>
      <c r="C10" s="24"/>
      <c r="D10" s="127" t="str">
        <f>"  "&amp;data!C92</f>
        <v xml:space="preserve">  425-313-4000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1034</v>
      </c>
      <c r="C11" s="24"/>
      <c r="D11" s="127" t="str">
        <f>"  "&amp;data!C93</f>
        <v xml:space="preserve">  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1035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1036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1037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1038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1039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1040</v>
      </c>
      <c r="C23" s="38"/>
      <c r="D23" s="38"/>
      <c r="E23" s="38"/>
      <c r="F23" s="13">
        <f>data!C111</f>
        <v>7703</v>
      </c>
      <c r="G23" s="21">
        <f>data!D111</f>
        <v>21628</v>
      </c>
      <c r="H23" s="7"/>
    </row>
    <row r="24" spans="1:9" ht="20.100000000000001" customHeight="1" x14ac:dyDescent="0.25">
      <c r="A24" s="130"/>
      <c r="B24" s="49" t="s">
        <v>1041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1042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1599</v>
      </c>
      <c r="G26" s="13">
        <f>data!D114</f>
        <v>2517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1043</v>
      </c>
      <c r="C29" s="24"/>
      <c r="D29" s="15" t="s">
        <v>167</v>
      </c>
      <c r="E29" s="97" t="s">
        <v>1043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1044</v>
      </c>
      <c r="C31" s="24"/>
      <c r="D31" s="21">
        <f>data!C117</f>
        <v>13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1045</v>
      </c>
      <c r="C32" s="24"/>
      <c r="D32" s="21">
        <f>data!C118</f>
        <v>72</v>
      </c>
      <c r="E32" s="49" t="s">
        <v>1046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1047</v>
      </c>
      <c r="C33" s="24"/>
      <c r="D33" s="21">
        <f>data!C119</f>
        <v>8</v>
      </c>
      <c r="E33" s="49" t="s">
        <v>1048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1049</v>
      </c>
      <c r="C34" s="24"/>
      <c r="D34" s="21">
        <f>data!C120</f>
        <v>35</v>
      </c>
      <c r="E34" s="49" t="s">
        <v>291</v>
      </c>
      <c r="F34" s="24"/>
      <c r="G34" s="21">
        <f>data!E127</f>
        <v>134</v>
      </c>
      <c r="H34" s="7"/>
    </row>
    <row r="35" spans="1:8" ht="20.100000000000001" customHeight="1" x14ac:dyDescent="0.25">
      <c r="A35" s="130"/>
      <c r="B35" s="97" t="s">
        <v>1050</v>
      </c>
      <c r="C35" s="24"/>
      <c r="D35" s="21">
        <f>data!C121</f>
        <v>0</v>
      </c>
      <c r="E35" s="49" t="s">
        <v>1051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144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21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1052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1053</v>
      </c>
      <c r="B1" s="8"/>
      <c r="C1" s="8"/>
      <c r="D1" s="8"/>
      <c r="E1" s="8"/>
      <c r="F1" s="8"/>
      <c r="G1" s="165" t="s">
        <v>1054</v>
      </c>
    </row>
    <row r="2" spans="1:13" ht="20.100000000000001" customHeight="1" x14ac:dyDescent="0.25">
      <c r="A2" s="105" t="str">
        <f>"Hospital Name: "&amp;data!C84</f>
        <v>Hospital Name: Swedish Issaquah</v>
      </c>
      <c r="B2" s="8"/>
      <c r="C2" s="8"/>
      <c r="D2" s="8"/>
      <c r="E2" s="8"/>
      <c r="F2" s="11"/>
      <c r="G2" s="76" t="s">
        <v>1055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12/31/2016</v>
      </c>
    </row>
    <row r="4" spans="1:13" ht="20.100000000000001" customHeight="1" x14ac:dyDescent="0.25">
      <c r="A4" s="107" t="s">
        <v>1056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1057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1058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3253.5056177687838</v>
      </c>
      <c r="C7" s="48">
        <f>data!B139</f>
        <v>9134.9889005716286</v>
      </c>
      <c r="D7" s="48">
        <f>data!B140</f>
        <v>29544.316753086227</v>
      </c>
      <c r="E7" s="48">
        <f>data!B141</f>
        <v>132608213.71000002</v>
      </c>
      <c r="F7" s="48">
        <f>data!B142</f>
        <v>83367162.760000005</v>
      </c>
      <c r="G7" s="48">
        <f>data!B141+data!B142</f>
        <v>215975376.47000003</v>
      </c>
    </row>
    <row r="8" spans="1:13" ht="20.100000000000001" customHeight="1" x14ac:dyDescent="0.25">
      <c r="A8" s="23" t="s">
        <v>297</v>
      </c>
      <c r="B8" s="48">
        <f>data!C138</f>
        <v>731.21889297490702</v>
      </c>
      <c r="C8" s="48">
        <f>data!C139</f>
        <v>2053.0705202208605</v>
      </c>
      <c r="D8" s="48">
        <f>data!C140</f>
        <v>12620.489991573619</v>
      </c>
      <c r="E8" s="48">
        <f>data!C141</f>
        <v>29803431.32</v>
      </c>
      <c r="F8" s="48">
        <f>data!C142</f>
        <v>35612075.649999999</v>
      </c>
      <c r="G8" s="48">
        <f>data!C141+data!C142</f>
        <v>65415506.969999999</v>
      </c>
    </row>
    <row r="9" spans="1:13" ht="20.100000000000001" customHeight="1" x14ac:dyDescent="0.25">
      <c r="A9" s="23" t="s">
        <v>1059</v>
      </c>
      <c r="B9" s="48">
        <f>data!D138</f>
        <v>3718.2754892563089</v>
      </c>
      <c r="C9" s="48">
        <f>data!D139</f>
        <v>10439.94057920751</v>
      </c>
      <c r="D9" s="48">
        <f>data!D140</f>
        <v>72286.193255340157</v>
      </c>
      <c r="E9" s="48">
        <f>data!D141</f>
        <v>151551565.80000001</v>
      </c>
      <c r="F9" s="48">
        <f>data!D142</f>
        <v>203974757.27000001</v>
      </c>
      <c r="G9" s="48">
        <f>data!D141+data!D142</f>
        <v>355526323.07000005</v>
      </c>
    </row>
    <row r="10" spans="1:13" ht="20.100000000000001" customHeight="1" x14ac:dyDescent="0.25">
      <c r="A10" s="111" t="s">
        <v>203</v>
      </c>
      <c r="B10" s="48">
        <f>data!E138</f>
        <v>7703</v>
      </c>
      <c r="C10" s="48">
        <f>data!E139</f>
        <v>21628</v>
      </c>
      <c r="D10" s="48">
        <f>data!E140</f>
        <v>114451</v>
      </c>
      <c r="E10" s="48">
        <f>data!E141</f>
        <v>313963210.83000004</v>
      </c>
      <c r="F10" s="48">
        <f>data!E142</f>
        <v>322953995.68000001</v>
      </c>
      <c r="G10" s="48">
        <f>data!E141+data!E142</f>
        <v>636917206.50999999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1060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1057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1058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1059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1061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1057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1058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1059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1062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1063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1064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1065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Swedish Issaquah</v>
      </c>
      <c r="B3" s="30"/>
      <c r="C3" s="31" t="str">
        <f>"FYE: "&amp;data!C82</f>
        <v>FYE: 12/31/2016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1066</v>
      </c>
      <c r="C6" s="13">
        <f>data!C165</f>
        <v>4164444.58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203184.55999999997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1067</v>
      </c>
      <c r="C14" s="13">
        <f>data!D173</f>
        <v>4367629.1399999997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1068</v>
      </c>
      <c r="C18" s="13">
        <f>data!C175</f>
        <v>2379373.34</v>
      </c>
    </row>
    <row r="19" spans="1:3" ht="20.100000000000001" customHeight="1" x14ac:dyDescent="0.25">
      <c r="A19" s="13">
        <v>13</v>
      </c>
      <c r="B19" s="49" t="s">
        <v>1069</v>
      </c>
      <c r="C19" s="13">
        <f>data!C176</f>
        <v>869904.86999999988</v>
      </c>
    </row>
    <row r="20" spans="1:3" ht="20.100000000000001" customHeight="1" x14ac:dyDescent="0.25">
      <c r="A20" s="13">
        <v>14</v>
      </c>
      <c r="B20" s="49" t="s">
        <v>1070</v>
      </c>
      <c r="C20" s="13">
        <f>data!D177</f>
        <v>3249278.21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1071</v>
      </c>
      <c r="C24" s="104"/>
    </row>
    <row r="25" spans="1:3" ht="20.100000000000001" customHeight="1" x14ac:dyDescent="0.25">
      <c r="A25" s="13">
        <v>17</v>
      </c>
      <c r="B25" s="49" t="s">
        <v>1072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161246.75999999998</v>
      </c>
    </row>
    <row r="27" spans="1:3" ht="20.100000000000001" customHeight="1" x14ac:dyDescent="0.25">
      <c r="A27" s="13">
        <v>19</v>
      </c>
      <c r="B27" s="49" t="s">
        <v>1073</v>
      </c>
      <c r="C27" s="13">
        <f>data!D181</f>
        <v>161246.75999999998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1074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43638.78</v>
      </c>
    </row>
    <row r="32" spans="1:3" ht="20.100000000000001" customHeight="1" x14ac:dyDescent="0.25">
      <c r="A32" s="13">
        <v>22</v>
      </c>
      <c r="B32" s="49" t="s">
        <v>1075</v>
      </c>
      <c r="C32" s="13">
        <f>data!C184</f>
        <v>5762141.3200000003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1076</v>
      </c>
      <c r="C34" s="13">
        <f>data!D186</f>
        <v>5805780.1000000006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1077</v>
      </c>
      <c r="C38" s="13">
        <f>data!C188</f>
        <v>-469662.36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14307689.010000002</v>
      </c>
    </row>
    <row r="40" spans="1:3" ht="20.100000000000001" customHeight="1" x14ac:dyDescent="0.25">
      <c r="A40" s="13">
        <v>28</v>
      </c>
      <c r="B40" s="49" t="s">
        <v>1078</v>
      </c>
      <c r="C40" s="13">
        <f>data!D190</f>
        <v>13838026.650000002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1079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Swedish Issaquah</v>
      </c>
      <c r="B3" s="8"/>
      <c r="C3" s="8"/>
      <c r="E3" s="11"/>
      <c r="F3" s="12" t="str">
        <f>" FYE: "&amp;data!C82</f>
        <v xml:space="preserve"> FYE: 12/31/2016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1080</v>
      </c>
      <c r="D5" s="47"/>
      <c r="E5" s="47"/>
      <c r="F5" s="72" t="s">
        <v>1081</v>
      </c>
    </row>
    <row r="6" spans="1:13" ht="20.100000000000001" customHeight="1" x14ac:dyDescent="0.25">
      <c r="A6" s="19"/>
      <c r="B6" s="20"/>
      <c r="C6" s="18" t="s">
        <v>1082</v>
      </c>
      <c r="D6" s="18" t="s">
        <v>329</v>
      </c>
      <c r="E6" s="18" t="s">
        <v>1083</v>
      </c>
      <c r="F6" s="18" t="s">
        <v>1082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46315057.900000006</v>
      </c>
      <c r="D7" s="21">
        <f>data!C195</f>
        <v>0</v>
      </c>
      <c r="E7" s="21">
        <f>data!D195</f>
        <v>0</v>
      </c>
      <c r="F7" s="21">
        <f>data!E195</f>
        <v>46315057.900000006</v>
      </c>
    </row>
    <row r="8" spans="1:13" ht="20.100000000000001" customHeight="1" x14ac:dyDescent="0.25">
      <c r="A8" s="13">
        <v>2</v>
      </c>
      <c r="B8" s="14" t="s">
        <v>333</v>
      </c>
      <c r="C8" s="21" t="str">
        <f>data!B196</f>
        <v>0.00</v>
      </c>
      <c r="D8" s="21">
        <f>data!C196</f>
        <v>2123129.75</v>
      </c>
      <c r="E8" s="21">
        <f>data!D196</f>
        <v>0</v>
      </c>
      <c r="F8" s="21">
        <f>data!E196</f>
        <v>2123129.75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286549739.07999998</v>
      </c>
      <c r="D9" s="21">
        <f>data!C197</f>
        <v>3830019.3099999996</v>
      </c>
      <c r="E9" s="21">
        <f>data!D197</f>
        <v>0</v>
      </c>
      <c r="F9" s="21">
        <f>data!E197</f>
        <v>290379758.38999999</v>
      </c>
    </row>
    <row r="10" spans="1:13" ht="20.100000000000001" customHeight="1" x14ac:dyDescent="0.25">
      <c r="A10" s="13">
        <v>4</v>
      </c>
      <c r="B10" s="14" t="s">
        <v>1084</v>
      </c>
      <c r="C10" s="21" t="str">
        <f>data!B198</f>
        <v>0.00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1085</v>
      </c>
      <c r="C11" s="21">
        <f>data!B199</f>
        <v>618892.42000000004</v>
      </c>
      <c r="D11" s="21">
        <f>data!C199</f>
        <v>0</v>
      </c>
      <c r="E11" s="21">
        <f>data!D199</f>
        <v>0</v>
      </c>
      <c r="F11" s="21">
        <f>data!E199</f>
        <v>618892.42000000004</v>
      </c>
    </row>
    <row r="12" spans="1:13" ht="20.100000000000001" customHeight="1" x14ac:dyDescent="0.25">
      <c r="A12" s="13">
        <v>6</v>
      </c>
      <c r="B12" s="14" t="s">
        <v>1086</v>
      </c>
      <c r="C12" s="21">
        <f>data!B200</f>
        <v>90017187.930000007</v>
      </c>
      <c r="D12" s="21">
        <f>data!C200</f>
        <v>544687.12</v>
      </c>
      <c r="E12" s="21">
        <f>data!D200</f>
        <v>0</v>
      </c>
      <c r="F12" s="21">
        <f>data!E200</f>
        <v>90561875.050000012</v>
      </c>
    </row>
    <row r="13" spans="1:13" ht="20.100000000000001" customHeight="1" x14ac:dyDescent="0.25">
      <c r="A13" s="13">
        <v>7</v>
      </c>
      <c r="B13" s="14" t="s">
        <v>1087</v>
      </c>
      <c r="C13" s="21">
        <f>data!B201</f>
        <v>195333.3</v>
      </c>
      <c r="D13" s="21">
        <f>data!C201</f>
        <v>0</v>
      </c>
      <c r="E13" s="21">
        <f>data!D201</f>
        <v>0</v>
      </c>
      <c r="F13" s="21">
        <f>data!E201</f>
        <v>195333.3</v>
      </c>
    </row>
    <row r="14" spans="1:13" ht="20.100000000000001" customHeight="1" x14ac:dyDescent="0.25">
      <c r="A14" s="13">
        <v>8</v>
      </c>
      <c r="B14" s="14" t="s">
        <v>339</v>
      </c>
      <c r="C14" s="21" t="str">
        <f>data!B202</f>
        <v>0.00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1088</v>
      </c>
      <c r="C15" s="21">
        <f>data!B203</f>
        <v>187160.46999999881</v>
      </c>
      <c r="D15" s="21">
        <f>data!C203</f>
        <v>12684680.930000002</v>
      </c>
      <c r="E15" s="21">
        <f>data!D203</f>
        <v>12831737.49</v>
      </c>
      <c r="F15" s="21">
        <f>data!E203</f>
        <v>40103.910000000149</v>
      </c>
      <c r="M15" s="271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423883371.10000002</v>
      </c>
      <c r="D16" s="21">
        <f>data!C204</f>
        <v>19182517.109999999</v>
      </c>
      <c r="E16" s="21">
        <f>data!D204</f>
        <v>12831737.49</v>
      </c>
      <c r="F16" s="21">
        <f>data!E204</f>
        <v>430234150.72000003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1080</v>
      </c>
      <c r="D21" s="76" t="s">
        <v>203</v>
      </c>
      <c r="E21" s="25"/>
      <c r="F21" s="18" t="s">
        <v>1081</v>
      </c>
    </row>
    <row r="22" spans="1:6" ht="20.100000000000001" customHeight="1" x14ac:dyDescent="0.25">
      <c r="A22" s="75"/>
      <c r="B22" s="44"/>
      <c r="C22" s="18" t="s">
        <v>1082</v>
      </c>
      <c r="D22" s="18" t="s">
        <v>1089</v>
      </c>
      <c r="E22" s="18" t="s">
        <v>1083</v>
      </c>
      <c r="F22" s="18" t="s">
        <v>1082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61924.619999999995</v>
      </c>
      <c r="E24" s="21">
        <f>data!D209</f>
        <v>0</v>
      </c>
      <c r="F24" s="21">
        <f>data!E209</f>
        <v>61924.619999999995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39969013.780000001</v>
      </c>
      <c r="D25" s="21">
        <f>data!C210</f>
        <v>10345862.239999972</v>
      </c>
      <c r="E25" s="21">
        <f>data!D210</f>
        <v>2853</v>
      </c>
      <c r="F25" s="21">
        <f>data!E210</f>
        <v>50312023.019999973</v>
      </c>
    </row>
    <row r="26" spans="1:6" ht="20.100000000000001" customHeight="1" x14ac:dyDescent="0.25">
      <c r="A26" s="13">
        <v>14</v>
      </c>
      <c r="B26" s="14" t="s">
        <v>1084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1085</v>
      </c>
      <c r="C27" s="21">
        <f>data!B212</f>
        <v>154735.6799999997</v>
      </c>
      <c r="D27" s="21">
        <f>data!C212</f>
        <v>53404.089999999967</v>
      </c>
      <c r="E27" s="21">
        <f>data!D212</f>
        <v>0</v>
      </c>
      <c r="F27" s="21">
        <f>data!E212</f>
        <v>208139.76999999967</v>
      </c>
    </row>
    <row r="28" spans="1:6" ht="20.100000000000001" customHeight="1" x14ac:dyDescent="0.25">
      <c r="A28" s="13">
        <v>16</v>
      </c>
      <c r="B28" s="14" t="s">
        <v>1086</v>
      </c>
      <c r="C28" s="21">
        <f>data!B213</f>
        <v>58936089.530000001</v>
      </c>
      <c r="D28" s="21">
        <f>data!C213</f>
        <v>10695044.940000093</v>
      </c>
      <c r="E28" s="21">
        <f>data!D213</f>
        <v>-84</v>
      </c>
      <c r="F28" s="21">
        <f>data!E213</f>
        <v>69631218.470000088</v>
      </c>
    </row>
    <row r="29" spans="1:6" ht="20.100000000000001" customHeight="1" x14ac:dyDescent="0.25">
      <c r="A29" s="13">
        <v>17</v>
      </c>
      <c r="B29" s="14" t="s">
        <v>1087</v>
      </c>
      <c r="C29" s="21">
        <f>data!B214</f>
        <v>132789.72</v>
      </c>
      <c r="D29" s="21">
        <f>data!C214</f>
        <v>49653.499999999993</v>
      </c>
      <c r="E29" s="21">
        <f>data!D214</f>
        <v>0</v>
      </c>
      <c r="F29" s="21">
        <f>data!E214</f>
        <v>182443.22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1088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99192628.710000008</v>
      </c>
      <c r="D32" s="21">
        <f>data!C217</f>
        <v>21205889.390000064</v>
      </c>
      <c r="E32" s="21">
        <f>data!D217</f>
        <v>2769</v>
      </c>
      <c r="F32" s="21">
        <f>data!E217</f>
        <v>120395749.10000005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1090</v>
      </c>
      <c r="B1" s="6"/>
      <c r="C1" s="6"/>
      <c r="D1" s="169" t="s">
        <v>1091</v>
      </c>
    </row>
    <row r="2" spans="1:13" ht="20.100000000000001" customHeight="1" x14ac:dyDescent="0.25">
      <c r="A2" s="29" t="str">
        <f>"Hospital: "&amp;data!C84</f>
        <v>Hospital: Swedish Issaquah</v>
      </c>
      <c r="B2" s="30"/>
      <c r="C2" s="30"/>
      <c r="D2" s="31" t="str">
        <f>"FYE: "&amp;data!C82</f>
        <v>FYE: 12/31/2016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1092</v>
      </c>
      <c r="C4" s="41" t="s">
        <v>1093</v>
      </c>
      <c r="D4" s="54"/>
    </row>
    <row r="5" spans="1:13" ht="20.100000000000001" customHeight="1" x14ac:dyDescent="0.25">
      <c r="A5" s="102">
        <v>1</v>
      </c>
      <c r="B5" s="55"/>
      <c r="C5" s="22" t="s">
        <v>1259</v>
      </c>
      <c r="D5" s="14">
        <f>data!D221</f>
        <v>4824397.9899999993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165136877.41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50219754.020000003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-261552.76</v>
      </c>
    </row>
    <row r="11" spans="1:13" ht="20.100000000000001" customHeight="1" x14ac:dyDescent="0.25">
      <c r="A11" s="13">
        <v>7</v>
      </c>
      <c r="B11" s="55">
        <v>5850</v>
      </c>
      <c r="C11" s="14" t="s">
        <v>1094</v>
      </c>
      <c r="D11" s="14">
        <f>data!C227</f>
        <v>188769273.11000001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16035293.609999999</v>
      </c>
    </row>
    <row r="13" spans="1:13" ht="20.100000000000001" customHeight="1" x14ac:dyDescent="0.25">
      <c r="A13" s="23">
        <v>9</v>
      </c>
      <c r="B13" s="24"/>
      <c r="C13" s="14" t="s">
        <v>1095</v>
      </c>
      <c r="D13" s="14">
        <f>data!D229</f>
        <v>419899645.39000005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1096</v>
      </c>
      <c r="D16" s="140">
        <f>+data!C231</f>
        <v>269</v>
      </c>
      <c r="M16" s="271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2610539.61</v>
      </c>
    </row>
    <row r="19" spans="1:4" ht="20.100000000000001" customHeight="1" x14ac:dyDescent="0.25">
      <c r="A19" s="61">
        <v>15</v>
      </c>
      <c r="B19" s="55">
        <v>5910</v>
      </c>
      <c r="C19" s="22" t="s">
        <v>1097</v>
      </c>
      <c r="D19" s="14">
        <f>data!C234</f>
        <v>2681368.67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1098</v>
      </c>
      <c r="D22" s="14">
        <f>data!D236</f>
        <v>5291908.2799999993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1099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1100</v>
      </c>
      <c r="C27" s="56"/>
      <c r="D27" s="14">
        <f>data!D242</f>
        <v>430015951.66000003</v>
      </c>
    </row>
    <row r="28" spans="1:4" ht="20.100000000000001" customHeight="1" x14ac:dyDescent="0.25">
      <c r="A28" s="126">
        <v>24</v>
      </c>
      <c r="B28" s="65" t="s">
        <v>1101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1102</v>
      </c>
      <c r="B1" s="5"/>
      <c r="C1" s="6"/>
    </row>
    <row r="2" spans="1:13" ht="20.100000000000001" customHeight="1" x14ac:dyDescent="0.25">
      <c r="A2" s="4"/>
      <c r="B2" s="5"/>
      <c r="C2" s="167" t="s">
        <v>1103</v>
      </c>
    </row>
    <row r="3" spans="1:13" ht="20.100000000000001" customHeight="1" x14ac:dyDescent="0.25">
      <c r="A3" s="29" t="str">
        <f>"HOSPITAL: "&amp;data!C84</f>
        <v>HOSPITAL: Swedish Issaquah</v>
      </c>
      <c r="B3" s="30"/>
      <c r="C3" s="31" t="str">
        <f>" FYE: "&amp;data!C82</f>
        <v xml:space="preserve"> FYE: 12/31/2016</v>
      </c>
    </row>
    <row r="4" spans="1:13" ht="20.100000000000001" customHeight="1" x14ac:dyDescent="0.25">
      <c r="A4" s="32"/>
      <c r="B4" s="33" t="s">
        <v>1104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13392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90385717.040000007</v>
      </c>
    </row>
    <row r="9" spans="1:13" ht="20.100000000000001" customHeight="1" x14ac:dyDescent="0.25">
      <c r="A9" s="13">
        <v>5</v>
      </c>
      <c r="B9" s="14" t="s">
        <v>1105</v>
      </c>
      <c r="C9" s="21">
        <f>data!C253</f>
        <v>61671624.469999999</v>
      </c>
    </row>
    <row r="10" spans="1:13" ht="20.100000000000001" customHeight="1" x14ac:dyDescent="0.25">
      <c r="A10" s="13">
        <v>6</v>
      </c>
      <c r="B10" s="14" t="s">
        <v>1106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1107</v>
      </c>
      <c r="C11" s="21">
        <f>data!C255</f>
        <v>72034416.679999992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6259199.8100000005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667754.31999999995</v>
      </c>
    </row>
    <row r="15" spans="1:13" ht="20.100000000000001" customHeight="1" x14ac:dyDescent="0.25">
      <c r="A15" s="13">
        <v>11</v>
      </c>
      <c r="B15" s="14" t="s">
        <v>1108</v>
      </c>
      <c r="C15" s="21">
        <f>data!C259</f>
        <v>660583.92999999993</v>
      </c>
      <c r="M15" s="271"/>
    </row>
    <row r="16" spans="1:13" ht="20.100000000000001" customHeight="1" x14ac:dyDescent="0.25">
      <c r="A16" s="13">
        <v>12</v>
      </c>
      <c r="B16" s="14" t="s">
        <v>1109</v>
      </c>
      <c r="C16" s="21">
        <f>data!D260</f>
        <v>108349439.31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1110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1111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1112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46315057.899999999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2123129.75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290379758.38999999</v>
      </c>
    </row>
    <row r="28" spans="1:3" ht="20.100000000000001" customHeight="1" x14ac:dyDescent="0.25">
      <c r="A28" s="13">
        <v>24</v>
      </c>
      <c r="B28" s="14" t="s">
        <v>1113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618892.42000000004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90757208.349999994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40103.910000000003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430234150.71999997</v>
      </c>
    </row>
    <row r="34" spans="1:3" ht="20.100000000000001" customHeight="1" x14ac:dyDescent="0.25">
      <c r="A34" s="13">
        <v>30</v>
      </c>
      <c r="B34" s="14" t="s">
        <v>1114</v>
      </c>
      <c r="C34" s="21">
        <f>data!C276</f>
        <v>120395749.09999999</v>
      </c>
    </row>
    <row r="35" spans="1:3" ht="20.100000000000001" customHeight="1" x14ac:dyDescent="0.25">
      <c r="A35" s="13">
        <v>31</v>
      </c>
      <c r="B35" s="14" t="s">
        <v>1115</v>
      </c>
      <c r="C35" s="21">
        <f>data!D277</f>
        <v>309838401.62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1116</v>
      </c>
      <c r="C37" s="36"/>
    </row>
    <row r="38" spans="1:3" ht="20.100000000000001" customHeight="1" x14ac:dyDescent="0.25">
      <c r="A38" s="13">
        <v>34</v>
      </c>
      <c r="B38" s="14" t="s">
        <v>1117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1118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397056.33</v>
      </c>
    </row>
    <row r="42" spans="1:3" ht="20.100000000000001" customHeight="1" x14ac:dyDescent="0.25">
      <c r="A42" s="13">
        <v>38</v>
      </c>
      <c r="B42" s="14" t="s">
        <v>1119</v>
      </c>
      <c r="C42" s="21">
        <f>data!D283</f>
        <v>397056.33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1120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1121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1122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1123</v>
      </c>
      <c r="C50" s="21">
        <f>data!D292</f>
        <v>418584897.25999999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1124</v>
      </c>
      <c r="B53" s="5"/>
      <c r="C53" s="6"/>
    </row>
    <row r="54" spans="1:3" ht="20.100000000000001" customHeight="1" x14ac:dyDescent="0.25">
      <c r="A54" s="4"/>
      <c r="B54" s="5"/>
      <c r="C54" s="167" t="s">
        <v>1125</v>
      </c>
    </row>
    <row r="55" spans="1:3" ht="20.100000000000001" customHeight="1" x14ac:dyDescent="0.25">
      <c r="A55" s="29" t="str">
        <f>"HOSPITAL: "&amp;data!C84</f>
        <v>HOSPITAL: Swedish Issaquah</v>
      </c>
      <c r="B55" s="30"/>
      <c r="C55" s="31" t="str">
        <f>"FYE: "&amp;data!C82</f>
        <v>FYE: 12/31/2016</v>
      </c>
    </row>
    <row r="56" spans="1:3" ht="20.100000000000001" customHeight="1" x14ac:dyDescent="0.25">
      <c r="A56" s="42"/>
      <c r="B56" s="43" t="s">
        <v>1126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1127</v>
      </c>
      <c r="C59" s="21">
        <f>data!C305</f>
        <v>3617513.7600000007</v>
      </c>
    </row>
    <row r="60" spans="1:3" ht="20.100000000000001" customHeight="1" x14ac:dyDescent="0.25">
      <c r="A60" s="13">
        <v>4</v>
      </c>
      <c r="B60" s="14" t="s">
        <v>1128</v>
      </c>
      <c r="C60" s="21">
        <f>data!C306</f>
        <v>4010419.38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1129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1130</v>
      </c>
      <c r="C63" s="21">
        <f>data!C309</f>
        <v>1080783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7202916.1500000004</v>
      </c>
    </row>
    <row r="67" spans="1:3" ht="20.100000000000001" customHeight="1" x14ac:dyDescent="0.25">
      <c r="A67" s="13">
        <v>11</v>
      </c>
      <c r="B67" s="14" t="s">
        <v>1131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1132</v>
      </c>
      <c r="C68" s="21">
        <f>data!D314</f>
        <v>15911632.290000001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1133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1134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31079.360000000001</v>
      </c>
    </row>
    <row r="74" spans="1:3" ht="20.100000000000001" customHeight="1" x14ac:dyDescent="0.25">
      <c r="A74" s="13">
        <v>18</v>
      </c>
      <c r="B74" s="14" t="s">
        <v>1135</v>
      </c>
      <c r="C74" s="21">
        <f>data!D319</f>
        <v>31079.360000000001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1136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1137</v>
      </c>
      <c r="C80" s="21">
        <f>data!C324</f>
        <v>37082152.960000001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1138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273343227.50999999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310425380.46999997</v>
      </c>
    </row>
    <row r="85" spans="1:3" ht="20.100000000000001" customHeight="1" x14ac:dyDescent="0.25">
      <c r="A85" s="13">
        <v>29</v>
      </c>
      <c r="B85" s="14" t="s">
        <v>1139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1140</v>
      </c>
      <c r="C86" s="21">
        <f>data!D330</f>
        <v>310425380.46999997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1141</v>
      </c>
      <c r="C88" s="21">
        <f>data!C332</f>
        <v>92216805.140000403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1142</v>
      </c>
      <c r="C90" s="36"/>
    </row>
    <row r="91" spans="1:3" ht="20.100000000000001" customHeight="1" x14ac:dyDescent="0.25">
      <c r="A91" s="13">
        <v>35</v>
      </c>
      <c r="B91" s="14" t="s">
        <v>1143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1144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1145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1146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1147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1148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1149</v>
      </c>
      <c r="C101" s="21">
        <f>data!C332+data!C334+data!C335+data!C336+data!C337-data!C338</f>
        <v>92216805.140000403</v>
      </c>
    </row>
    <row r="102" spans="1:3" ht="20.100000000000001" customHeight="1" x14ac:dyDescent="0.25">
      <c r="A102" s="13">
        <v>46</v>
      </c>
      <c r="B102" s="14" t="s">
        <v>1150</v>
      </c>
      <c r="C102" s="21">
        <f>data!D339</f>
        <v>418584897.26000035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1151</v>
      </c>
      <c r="B105" s="5"/>
      <c r="C105" s="6"/>
    </row>
    <row r="106" spans="1:3" ht="20.100000000000001" customHeight="1" x14ac:dyDescent="0.25">
      <c r="A106" s="45"/>
      <c r="B106" s="8"/>
      <c r="C106" s="167" t="s">
        <v>1152</v>
      </c>
    </row>
    <row r="107" spans="1:3" ht="20.100000000000001" customHeight="1" x14ac:dyDescent="0.25">
      <c r="A107" s="29" t="str">
        <f>"HOSPITAL: "&amp;data!C84</f>
        <v>HOSPITAL: Swedish Issaquah</v>
      </c>
      <c r="B107" s="30"/>
      <c r="C107" s="31" t="str">
        <f>" FYE: "&amp;data!C82</f>
        <v xml:space="preserve"> FYE: 12/31/2016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1153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313963210.82999992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322953995.67999995</v>
      </c>
    </row>
    <row r="112" spans="1:3" ht="20.100000000000001" customHeight="1" x14ac:dyDescent="0.25">
      <c r="A112" s="13">
        <v>4</v>
      </c>
      <c r="B112" s="14" t="s">
        <v>1154</v>
      </c>
      <c r="C112" s="21">
        <f>data!D361</f>
        <v>636917206.50999987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1155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4824397.9899999993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419899645.38999987</v>
      </c>
    </row>
    <row r="117" spans="1:3" ht="20.100000000000001" customHeight="1" x14ac:dyDescent="0.25">
      <c r="A117" s="13">
        <v>9</v>
      </c>
      <c r="B117" s="14" t="s">
        <v>1156</v>
      </c>
      <c r="C117" s="48">
        <f>data!C365</f>
        <v>5291908.2799999993</v>
      </c>
    </row>
    <row r="118" spans="1:3" ht="20.100000000000001" customHeight="1" x14ac:dyDescent="0.25">
      <c r="A118" s="13">
        <v>10</v>
      </c>
      <c r="B118" s="14" t="s">
        <v>1157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1100</v>
      </c>
      <c r="C119" s="48">
        <f>data!D367</f>
        <v>430015951.65999985</v>
      </c>
    </row>
    <row r="120" spans="1:3" ht="20.100000000000001" customHeight="1" x14ac:dyDescent="0.25">
      <c r="A120" s="13">
        <v>12</v>
      </c>
      <c r="B120" s="14" t="s">
        <v>1158</v>
      </c>
      <c r="C120" s="48">
        <f>data!D368</f>
        <v>206901254.85000002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10603072.889999999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1159</v>
      </c>
      <c r="C125" s="48">
        <f>data!D372</f>
        <v>10603072.889999999</v>
      </c>
    </row>
    <row r="126" spans="1:3" ht="20.100000000000001" customHeight="1" x14ac:dyDescent="0.25">
      <c r="A126" s="13">
        <v>18</v>
      </c>
      <c r="B126" s="14" t="s">
        <v>1160</v>
      </c>
      <c r="C126" s="48">
        <f>data!D373</f>
        <v>217504327.74000001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1161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61945554.969999954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4367629.1400000006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5708750.4799999977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36203402.710000023</v>
      </c>
    </row>
    <row r="133" spans="1:3" ht="20.100000000000001" customHeight="1" x14ac:dyDescent="0.25">
      <c r="A133" s="13">
        <v>25</v>
      </c>
      <c r="B133" s="14" t="s">
        <v>1162</v>
      </c>
      <c r="C133" s="48">
        <f>data!C382</f>
        <v>1609801.6</v>
      </c>
    </row>
    <row r="134" spans="1:3" ht="20.100000000000001" customHeight="1" x14ac:dyDescent="0.25">
      <c r="A134" s="13">
        <v>26</v>
      </c>
      <c r="B134" s="14" t="s">
        <v>1163</v>
      </c>
      <c r="C134" s="48">
        <f>data!C383</f>
        <v>11076027.569999997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21205889.390000008</v>
      </c>
    </row>
    <row r="136" spans="1:3" ht="20.100000000000001" customHeight="1" x14ac:dyDescent="0.25">
      <c r="A136" s="13">
        <v>28</v>
      </c>
      <c r="B136" s="14" t="s">
        <v>1164</v>
      </c>
      <c r="C136" s="48">
        <f>data!C385</f>
        <v>3249278.21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161246.75999999998</v>
      </c>
    </row>
    <row r="138" spans="1:3" ht="20.100000000000001" customHeight="1" x14ac:dyDescent="0.25">
      <c r="A138" s="13">
        <v>30</v>
      </c>
      <c r="B138" s="14" t="s">
        <v>1165</v>
      </c>
      <c r="C138" s="48">
        <f>data!C387</f>
        <v>5805780.1000000006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13838026.650000002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69870062.031279922</v>
      </c>
    </row>
    <row r="141" spans="1:3" ht="20.100000000000001" customHeight="1" x14ac:dyDescent="0.25">
      <c r="A141" s="13">
        <v>34</v>
      </c>
      <c r="B141" s="14" t="s">
        <v>1166</v>
      </c>
      <c r="C141" s="48">
        <f>data!D390</f>
        <v>235041449.6112799</v>
      </c>
    </row>
    <row r="142" spans="1:3" ht="20.100000000000001" customHeight="1" x14ac:dyDescent="0.25">
      <c r="A142" s="13">
        <v>35</v>
      </c>
      <c r="B142" s="14" t="s">
        <v>1167</v>
      </c>
      <c r="C142" s="48">
        <f>data!D391</f>
        <v>-17537121.871279895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1168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1169</v>
      </c>
      <c r="C146" s="21">
        <f>data!D393</f>
        <v>-17537121.871279895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1170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1171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1172</v>
      </c>
      <c r="C151" s="48">
        <f>data!D396</f>
        <v>-17537121.871279895</v>
      </c>
    </row>
    <row r="152" spans="1:3" ht="20.100000000000001" customHeight="1" x14ac:dyDescent="0.25">
      <c r="A152" s="40">
        <v>45</v>
      </c>
      <c r="B152" s="49" t="s">
        <v>1173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1174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1175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Swedish Issaquah</v>
      </c>
      <c r="B4" s="77"/>
      <c r="C4" s="77"/>
      <c r="D4" s="77"/>
      <c r="E4" s="77"/>
      <c r="F4" s="77"/>
      <c r="G4" s="80"/>
      <c r="H4" s="79" t="str">
        <f>"FYE: "&amp;data!C82</f>
        <v>FYE: 12/31/2016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1176</v>
      </c>
      <c r="C6" s="88" t="s">
        <v>92</v>
      </c>
      <c r="D6" s="18" t="s">
        <v>1177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1178</v>
      </c>
      <c r="E7" s="18" t="s">
        <v>163</v>
      </c>
      <c r="F7" s="18" t="s">
        <v>1179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1180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5025.3068463994323</v>
      </c>
      <c r="D9" s="14">
        <f>data!D59</f>
        <v>0</v>
      </c>
      <c r="E9" s="14">
        <f>data!E59</f>
        <v>16602.693153600569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52.381923076923087</v>
      </c>
      <c r="D10" s="26">
        <f>data!D60</f>
        <v>0</v>
      </c>
      <c r="E10" s="26">
        <f>data!E60</f>
        <v>142.28712980769228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5205222.58</v>
      </c>
      <c r="D11" s="14">
        <f>data!D61</f>
        <v>0</v>
      </c>
      <c r="E11" s="14">
        <f>data!E61</f>
        <v>12742084.640000001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367007</v>
      </c>
      <c r="D12" s="14">
        <f>data!D62</f>
        <v>0</v>
      </c>
      <c r="E12" s="14">
        <f>data!E62</f>
        <v>898413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104277.76000000002</v>
      </c>
      <c r="D13" s="14">
        <f>data!D63</f>
        <v>0</v>
      </c>
      <c r="E13" s="14">
        <f>data!E63</f>
        <v>503003.12999999995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235013.86000000002</v>
      </c>
      <c r="D14" s="14">
        <f>data!D64</f>
        <v>0</v>
      </c>
      <c r="E14" s="14">
        <f>data!E64</f>
        <v>781596.95000000019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637.09</v>
      </c>
      <c r="D15" s="14">
        <f>data!D65</f>
        <v>0</v>
      </c>
      <c r="E15" s="14">
        <f>data!E65</f>
        <v>1335.08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0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258651.68999999997</v>
      </c>
      <c r="D16" s="14">
        <f>data!D66</f>
        <v>0</v>
      </c>
      <c r="E16" s="14">
        <f>data!E66</f>
        <v>269514.40000000002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206399</v>
      </c>
      <c r="D17" s="14">
        <f>data!D67</f>
        <v>0</v>
      </c>
      <c r="E17" s="14">
        <f>data!E67</f>
        <v>1572621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2032.2599999999998</v>
      </c>
      <c r="D18" s="14">
        <f>data!D68</f>
        <v>0</v>
      </c>
      <c r="E18" s="14">
        <f>data!E68</f>
        <v>390.24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20753.080000000005</v>
      </c>
      <c r="D19" s="14">
        <f>data!D69</f>
        <v>0</v>
      </c>
      <c r="E19" s="14">
        <f>data!E69</f>
        <v>131142.16000000003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-31349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1181</v>
      </c>
      <c r="C21" s="14">
        <f>data!C71</f>
        <v>6399994.3200000003</v>
      </c>
      <c r="D21" s="14">
        <f>data!D71</f>
        <v>0</v>
      </c>
      <c r="E21" s="14">
        <f>data!E71</f>
        <v>16868751.600000001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1182</v>
      </c>
      <c r="C23" s="48">
        <f>+data!M668</f>
        <v>8190830</v>
      </c>
      <c r="D23" s="48">
        <f>+data!M669</f>
        <v>0</v>
      </c>
      <c r="E23" s="48">
        <f>+data!M670</f>
        <v>31343864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1183</v>
      </c>
      <c r="C24" s="14">
        <f>data!C73</f>
        <v>24117979</v>
      </c>
      <c r="D24" s="14">
        <f>data!D73</f>
        <v>0</v>
      </c>
      <c r="E24" s="14">
        <f>data!E73</f>
        <v>49482578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1184</v>
      </c>
      <c r="C25" s="14">
        <f>data!C74</f>
        <v>1371237</v>
      </c>
      <c r="D25" s="14">
        <f>data!D74</f>
        <v>0</v>
      </c>
      <c r="E25" s="14">
        <f>data!E74</f>
        <v>3794249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1185</v>
      </c>
      <c r="C26" s="14">
        <f>data!C75</f>
        <v>25489216</v>
      </c>
      <c r="D26" s="14">
        <f>data!D75</f>
        <v>0</v>
      </c>
      <c r="E26" s="14">
        <f>data!E75</f>
        <v>53276827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1186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1187</v>
      </c>
      <c r="C28" s="14">
        <f>data!C76</f>
        <v>11154.317420000005</v>
      </c>
      <c r="D28" s="14">
        <f>data!D76</f>
        <v>0</v>
      </c>
      <c r="E28" s="14">
        <f>data!E76</f>
        <v>84988.176752000014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1188</v>
      </c>
      <c r="C29" s="14">
        <f>data!C77</f>
        <v>27504.888258247607</v>
      </c>
      <c r="D29" s="14">
        <f>data!D77</f>
        <v>0</v>
      </c>
      <c r="E29" s="14">
        <f>data!E77</f>
        <v>90871.111741752393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1189</v>
      </c>
      <c r="C30" s="14">
        <f>data!C78</f>
        <v>579.24671182169823</v>
      </c>
      <c r="D30" s="14">
        <f>data!D78</f>
        <v>0</v>
      </c>
      <c r="E30" s="14">
        <f>data!E78</f>
        <v>4413.4589391411891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1190</v>
      </c>
      <c r="C31" s="14">
        <f>data!C79</f>
        <v>2460.7924796026959</v>
      </c>
      <c r="D31" s="14">
        <f>data!D79</f>
        <v>0</v>
      </c>
      <c r="E31" s="14">
        <f>data!E79</f>
        <v>8130.0075203973038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29.065302884615384</v>
      </c>
      <c r="D32" s="84">
        <f>data!D80</f>
        <v>0</v>
      </c>
      <c r="E32" s="84">
        <f>data!E80</f>
        <v>79.735865384615394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1174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1191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Swedish Issaquah</v>
      </c>
      <c r="B36" s="77"/>
      <c r="C36" s="77"/>
      <c r="D36" s="77"/>
      <c r="E36" s="77"/>
      <c r="F36" s="77"/>
      <c r="G36" s="80"/>
      <c r="H36" s="79" t="str">
        <f>"FYE: "&amp;data!C82</f>
        <v>FYE: 12/31/2016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1176</v>
      </c>
      <c r="C38" s="25"/>
      <c r="D38" s="18" t="s">
        <v>100</v>
      </c>
      <c r="E38" s="18" t="s">
        <v>101</v>
      </c>
      <c r="F38" s="18" t="s">
        <v>1192</v>
      </c>
      <c r="G38" s="18" t="s">
        <v>103</v>
      </c>
      <c r="H38" s="18" t="s">
        <v>1193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1180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2517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1599</v>
      </c>
      <c r="I41" s="14">
        <f>data!P59</f>
        <v>612870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9.0151730769230785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37.561403846153844</v>
      </c>
      <c r="I42" s="26">
        <f>data!P60</f>
        <v>59.602663461538469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1125205.2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4078336.74</v>
      </c>
      <c r="I43" s="14">
        <f>data!P61</f>
        <v>5488234.4900000021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79335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287554</v>
      </c>
      <c r="I44" s="14">
        <f>data!P62</f>
        <v>386962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420000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1655272.2100000002</v>
      </c>
      <c r="I45" s="14">
        <f>data!P63</f>
        <v>508995.71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99249.939999999988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478422.53</v>
      </c>
      <c r="I46" s="14">
        <f>data!P64</f>
        <v>8457731.0999999978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250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50</v>
      </c>
      <c r="I47" s="14">
        <f>data!P65</f>
        <v>75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208.24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550.02</v>
      </c>
      <c r="I48" s="14">
        <f>data!P66</f>
        <v>702461.71999999986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181186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72908.789999999994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3373.79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16591.939999999999</v>
      </c>
      <c r="I51" s="14">
        <f>data!P69</f>
        <v>57072.08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-8434.06</v>
      </c>
    </row>
    <row r="53" spans="1:9" ht="20.100000000000001" customHeight="1" x14ac:dyDescent="0.25">
      <c r="A53" s="23">
        <v>16</v>
      </c>
      <c r="B53" s="48" t="s">
        <v>1181</v>
      </c>
      <c r="C53" s="14">
        <f>data!J71</f>
        <v>1727622.17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6516777.4400000004</v>
      </c>
      <c r="I53" s="14">
        <f>data!P71</f>
        <v>15847192.83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1182</v>
      </c>
      <c r="C55" s="48">
        <f>+data!M675</f>
        <v>1363657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5029449</v>
      </c>
      <c r="I55" s="48">
        <f>+data!M681</f>
        <v>14627320</v>
      </c>
    </row>
    <row r="56" spans="1:9" ht="20.100000000000001" customHeight="1" x14ac:dyDescent="0.25">
      <c r="A56" s="23">
        <v>19</v>
      </c>
      <c r="B56" s="48" t="s">
        <v>1183</v>
      </c>
      <c r="C56" s="14">
        <f>data!J73</f>
        <v>8179274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16367940.079999998</v>
      </c>
      <c r="I56" s="14">
        <f>data!P73</f>
        <v>60428160.709999993</v>
      </c>
    </row>
    <row r="57" spans="1:9" ht="20.100000000000001" customHeight="1" x14ac:dyDescent="0.25">
      <c r="A57" s="23">
        <v>20</v>
      </c>
      <c r="B57" s="48" t="s">
        <v>1184</v>
      </c>
      <c r="C57" s="14">
        <f>data!J74</f>
        <v>7486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744867</v>
      </c>
      <c r="I57" s="14">
        <f>data!P74</f>
        <v>80571731.879999995</v>
      </c>
    </row>
    <row r="58" spans="1:9" ht="20.100000000000001" customHeight="1" x14ac:dyDescent="0.25">
      <c r="A58" s="23">
        <v>21</v>
      </c>
      <c r="B58" s="48" t="s">
        <v>1185</v>
      </c>
      <c r="C58" s="14">
        <f>data!J75</f>
        <v>8186760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17112807.079999998</v>
      </c>
      <c r="I58" s="14">
        <f>data!P75</f>
        <v>140999892.58999997</v>
      </c>
    </row>
    <row r="59" spans="1:9" ht="20.100000000000001" customHeight="1" x14ac:dyDescent="0.25">
      <c r="A59" s="23" t="s">
        <v>1186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1187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9791.7140129999989</v>
      </c>
    </row>
    <row r="61" spans="1:9" ht="20.100000000000001" customHeight="1" x14ac:dyDescent="0.25">
      <c r="A61" s="23">
        <v>23</v>
      </c>
      <c r="B61" s="14" t="s">
        <v>1188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1189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508.48634941650175</v>
      </c>
    </row>
    <row r="63" spans="1:9" ht="20.100000000000001" customHeight="1" x14ac:dyDescent="0.25">
      <c r="A63" s="23">
        <v>25</v>
      </c>
      <c r="B63" s="14" t="s">
        <v>1190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6.4862259615384614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24.626432692307695</v>
      </c>
      <c r="I64" s="26">
        <f>data!P80</f>
        <v>32.912850961538467</v>
      </c>
    </row>
    <row r="65" spans="1:9" ht="20.100000000000001" customHeight="1" x14ac:dyDescent="0.25">
      <c r="A65" s="4" t="s">
        <v>1174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1194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Swedish Issaquah</v>
      </c>
      <c r="B68" s="77"/>
      <c r="C68" s="77"/>
      <c r="D68" s="77"/>
      <c r="E68" s="77"/>
      <c r="F68" s="77"/>
      <c r="G68" s="80"/>
      <c r="H68" s="79" t="str">
        <f>"FYE: "&amp;data!C82</f>
        <v>FYE: 12/31/2016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1176</v>
      </c>
      <c r="C70" s="18" t="s">
        <v>106</v>
      </c>
      <c r="D70" s="25"/>
      <c r="E70" s="18" t="s">
        <v>108</v>
      </c>
      <c r="F70" s="18" t="s">
        <v>1195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1196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1180</v>
      </c>
      <c r="C72" s="15" t="s">
        <v>1197</v>
      </c>
      <c r="D72" s="89" t="s">
        <v>1198</v>
      </c>
      <c r="E72" s="212"/>
      <c r="F72" s="212"/>
      <c r="G72" s="89" t="s">
        <v>1199</v>
      </c>
      <c r="H72" s="89" t="s">
        <v>1199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642274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23.992533653846156</v>
      </c>
      <c r="D74" s="26">
        <f>data!R60</f>
        <v>3.7142067307692308</v>
      </c>
      <c r="E74" s="26">
        <f>data!S60</f>
        <v>14.785956730769231</v>
      </c>
      <c r="F74" s="26">
        <f>data!T60</f>
        <v>3.6995721153846155</v>
      </c>
      <c r="G74" s="26">
        <f>data!U60</f>
        <v>2.565504807692307</v>
      </c>
      <c r="H74" s="26">
        <f>data!V60</f>
        <v>23.354495192307692</v>
      </c>
      <c r="I74" s="26">
        <f>data!W60</f>
        <v>6.7223701923076931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2873348.0199999996</v>
      </c>
      <c r="D75" s="14">
        <f>data!R61</f>
        <v>323752.86</v>
      </c>
      <c r="E75" s="14">
        <f>data!S61</f>
        <v>890125.30999999994</v>
      </c>
      <c r="F75" s="14">
        <f>data!T61</f>
        <v>402988.25999999995</v>
      </c>
      <c r="G75" s="14">
        <f>data!U61</f>
        <v>260641.92000000004</v>
      </c>
      <c r="H75" s="14">
        <f>data!V61</f>
        <v>2159815.0499999998</v>
      </c>
      <c r="I75" s="14">
        <f>data!W61</f>
        <v>781715.6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202593</v>
      </c>
      <c r="D76" s="14">
        <f>data!R62</f>
        <v>22827</v>
      </c>
      <c r="E76" s="14">
        <f>data!S62</f>
        <v>62761</v>
      </c>
      <c r="F76" s="14">
        <f>data!T62</f>
        <v>28414</v>
      </c>
      <c r="G76" s="14">
        <f>data!U62</f>
        <v>18377</v>
      </c>
      <c r="H76" s="14">
        <f>data!V62</f>
        <v>152283</v>
      </c>
      <c r="I76" s="14">
        <f>data!W62</f>
        <v>55117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7389.63</v>
      </c>
      <c r="D77" s="14">
        <f>data!R63</f>
        <v>9300</v>
      </c>
      <c r="E77" s="14">
        <f>data!S63</f>
        <v>0</v>
      </c>
      <c r="F77" s="14">
        <f>data!T63</f>
        <v>0</v>
      </c>
      <c r="G77" s="14">
        <f>data!U63</f>
        <v>645332.31000000006</v>
      </c>
      <c r="H77" s="14">
        <f>data!V63</f>
        <v>97372.13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89267.11</v>
      </c>
      <c r="D78" s="14">
        <f>data!R64</f>
        <v>279840.39</v>
      </c>
      <c r="E78" s="14">
        <f>data!S64</f>
        <v>10127918.91</v>
      </c>
      <c r="F78" s="14">
        <f>data!T64</f>
        <v>92341.68</v>
      </c>
      <c r="G78" s="14">
        <f>data!U64</f>
        <v>820680.50999999989</v>
      </c>
      <c r="H78" s="14">
        <f>data!V64</f>
        <v>1601874.8699999999</v>
      </c>
      <c r="I78" s="14">
        <f>data!W64</f>
        <v>225939.71000000002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600</v>
      </c>
      <c r="F79" s="14">
        <f>data!T65</f>
        <v>0</v>
      </c>
      <c r="G79" s="14">
        <f>data!U65</f>
        <v>300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716.06</v>
      </c>
      <c r="D80" s="14">
        <f>data!R66</f>
        <v>0</v>
      </c>
      <c r="E80" s="14">
        <f>data!S66</f>
        <v>527770.02</v>
      </c>
      <c r="F80" s="14">
        <f>data!T66</f>
        <v>105.4</v>
      </c>
      <c r="G80" s="14">
        <f>data!U66</f>
        <v>4194919.8099999996</v>
      </c>
      <c r="H80" s="14">
        <f>data!V66</f>
        <v>739203.5</v>
      </c>
      <c r="I80" s="14">
        <f>data!W66</f>
        <v>267964.09999999998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123714</v>
      </c>
      <c r="D81" s="14">
        <f>data!R67</f>
        <v>0</v>
      </c>
      <c r="E81" s="14">
        <f>data!S67</f>
        <v>172321</v>
      </c>
      <c r="F81" s="14">
        <f>data!T67</f>
        <v>0</v>
      </c>
      <c r="G81" s="14">
        <f>data!U67</f>
        <v>97793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23552.25</v>
      </c>
      <c r="F82" s="14">
        <f>data!T68</f>
        <v>0</v>
      </c>
      <c r="G82" s="14">
        <f>data!U68</f>
        <v>0</v>
      </c>
      <c r="H82" s="14">
        <f>data!V68</f>
        <v>77064.5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6215.08</v>
      </c>
      <c r="D83" s="14">
        <f>data!R69</f>
        <v>31.5</v>
      </c>
      <c r="E83" s="14">
        <f>data!S69</f>
        <v>24731.19</v>
      </c>
      <c r="F83" s="14">
        <f>data!T69</f>
        <v>5180.45</v>
      </c>
      <c r="G83" s="14">
        <f>data!U69</f>
        <v>317.04999999999995</v>
      </c>
      <c r="H83" s="14">
        <f>data!V69</f>
        <v>4420.49</v>
      </c>
      <c r="I83" s="14">
        <f>data!W69</f>
        <v>7639.58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-249.7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1181</v>
      </c>
      <c r="C85" s="14">
        <f>data!Q71</f>
        <v>3303242.8999999994</v>
      </c>
      <c r="D85" s="14">
        <f>data!R71</f>
        <v>635751.75</v>
      </c>
      <c r="E85" s="14">
        <f>data!S71</f>
        <v>11829779.68</v>
      </c>
      <c r="F85" s="14">
        <f>data!T71</f>
        <v>529029.78999999992</v>
      </c>
      <c r="G85" s="14">
        <f>data!U71</f>
        <v>6038111.8999999994</v>
      </c>
      <c r="H85" s="14">
        <f>data!V71</f>
        <v>4832033.54</v>
      </c>
      <c r="I85" s="14">
        <f>data!W71</f>
        <v>1338375.9900000002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1182</v>
      </c>
      <c r="C87" s="48">
        <f>+data!M682</f>
        <v>3681630</v>
      </c>
      <c r="D87" s="48">
        <f>+data!M683</f>
        <v>790413</v>
      </c>
      <c r="E87" s="48">
        <f>+data!M684</f>
        <v>10628695</v>
      </c>
      <c r="F87" s="48">
        <f>+data!M685</f>
        <v>434643</v>
      </c>
      <c r="G87" s="48">
        <f>+data!M686</f>
        <v>5435184</v>
      </c>
      <c r="H87" s="48">
        <f>+data!M687</f>
        <v>3861108</v>
      </c>
      <c r="I87" s="48">
        <f>+data!M688</f>
        <v>1094982</v>
      </c>
    </row>
    <row r="88" spans="1:9" ht="20.100000000000001" customHeight="1" x14ac:dyDescent="0.25">
      <c r="A88" s="23">
        <v>19</v>
      </c>
      <c r="B88" s="48" t="s">
        <v>1183</v>
      </c>
      <c r="C88" s="14">
        <f>data!Q73</f>
        <v>4802297</v>
      </c>
      <c r="D88" s="14">
        <f>data!R73</f>
        <v>17262311</v>
      </c>
      <c r="E88" s="14">
        <f>data!S73</f>
        <v>25879836.830000002</v>
      </c>
      <c r="F88" s="14">
        <f>data!T73</f>
        <v>846762.65</v>
      </c>
      <c r="G88" s="14">
        <f>data!U73</f>
        <v>17809012.5</v>
      </c>
      <c r="H88" s="14">
        <f>data!V73</f>
        <v>20234717.529999997</v>
      </c>
      <c r="I88" s="14">
        <f>data!W73</f>
        <v>1691445.5999999999</v>
      </c>
    </row>
    <row r="89" spans="1:9" ht="20.100000000000001" customHeight="1" x14ac:dyDescent="0.25">
      <c r="A89" s="23">
        <v>20</v>
      </c>
      <c r="B89" s="48" t="s">
        <v>1184</v>
      </c>
      <c r="C89" s="14">
        <f>data!Q74</f>
        <v>8414059.620000001</v>
      </c>
      <c r="D89" s="14">
        <f>data!R74</f>
        <v>19721260</v>
      </c>
      <c r="E89" s="14">
        <f>data!S74</f>
        <v>23856701.029999997</v>
      </c>
      <c r="F89" s="14">
        <f>data!T74</f>
        <v>2040032.5899999999</v>
      </c>
      <c r="G89" s="14">
        <f>data!U74</f>
        <v>11388190.5</v>
      </c>
      <c r="H89" s="14">
        <f>data!V74</f>
        <v>17645519.679999996</v>
      </c>
      <c r="I89" s="14">
        <f>data!W74</f>
        <v>12897494.790000001</v>
      </c>
    </row>
    <row r="90" spans="1:9" ht="20.100000000000001" customHeight="1" x14ac:dyDescent="0.25">
      <c r="A90" s="23">
        <v>21</v>
      </c>
      <c r="B90" s="48" t="s">
        <v>1185</v>
      </c>
      <c r="C90" s="14">
        <f>data!Q75</f>
        <v>13216356.620000001</v>
      </c>
      <c r="D90" s="14">
        <f>data!R75</f>
        <v>36983571</v>
      </c>
      <c r="E90" s="14">
        <f>data!S75</f>
        <v>49736537.859999999</v>
      </c>
      <c r="F90" s="14">
        <f>data!T75</f>
        <v>2886795.2399999998</v>
      </c>
      <c r="G90" s="14">
        <f>data!U75</f>
        <v>29197203</v>
      </c>
      <c r="H90" s="14">
        <f>data!V75</f>
        <v>37880237.209999993</v>
      </c>
      <c r="I90" s="14">
        <f>data!W75</f>
        <v>14588940.390000001</v>
      </c>
    </row>
    <row r="91" spans="1:9" ht="20.100000000000001" customHeight="1" x14ac:dyDescent="0.25">
      <c r="A91" s="23" t="s">
        <v>1186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1187</v>
      </c>
      <c r="C92" s="14">
        <f>data!Q76</f>
        <v>6685.7876709999991</v>
      </c>
      <c r="D92" s="14">
        <f>data!R76</f>
        <v>0</v>
      </c>
      <c r="E92" s="14">
        <f>data!S76</f>
        <v>9312.6123619999998</v>
      </c>
      <c r="F92" s="14">
        <f>data!T76</f>
        <v>0</v>
      </c>
      <c r="G92" s="14">
        <f>data!U76</f>
        <v>5284.9723669999994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1188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1189</v>
      </c>
      <c r="C94" s="14">
        <f>data!Q78</f>
        <v>347.19475684105089</v>
      </c>
      <c r="D94" s="14">
        <f>data!R78</f>
        <v>0</v>
      </c>
      <c r="E94" s="14">
        <f>data!S78</f>
        <v>483.60647147143823</v>
      </c>
      <c r="F94" s="14">
        <f>data!T78</f>
        <v>0</v>
      </c>
      <c r="G94" s="14">
        <f>data!U78</f>
        <v>274.45004031930137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1190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14.286913461538461</v>
      </c>
      <c r="D96" s="84">
        <f>data!R80</f>
        <v>0</v>
      </c>
      <c r="E96" s="84">
        <f>data!S80</f>
        <v>0</v>
      </c>
      <c r="F96" s="84">
        <f>data!T80</f>
        <v>3.4922403846153847</v>
      </c>
      <c r="G96" s="84">
        <f>data!U80</f>
        <v>0</v>
      </c>
      <c r="H96" s="84">
        <f>data!V80</f>
        <v>2.7552500000000002</v>
      </c>
      <c r="I96" s="84">
        <f>data!W80</f>
        <v>0</v>
      </c>
    </row>
    <row r="97" spans="1:9" ht="20.100000000000001" customHeight="1" x14ac:dyDescent="0.25">
      <c r="A97" s="4" t="s">
        <v>1174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1200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Swedish Issaquah</v>
      </c>
      <c r="B100" s="77"/>
      <c r="C100" s="77"/>
      <c r="D100" s="77"/>
      <c r="E100" s="77"/>
      <c r="F100" s="77"/>
      <c r="G100" s="80"/>
      <c r="H100" s="79" t="str">
        <f>"FYE: "&amp;data!C82</f>
        <v>FYE: 12/31/2016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1176</v>
      </c>
      <c r="C102" s="18" t="s">
        <v>1201</v>
      </c>
      <c r="D102" s="18" t="s">
        <v>1202</v>
      </c>
      <c r="E102" s="18" t="s">
        <v>1202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1180</v>
      </c>
      <c r="C104" s="89" t="s">
        <v>224</v>
      </c>
      <c r="D104" s="15" t="s">
        <v>1203</v>
      </c>
      <c r="E104" s="15" t="s">
        <v>1203</v>
      </c>
      <c r="F104" s="15" t="s">
        <v>1203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17.131524038461539</v>
      </c>
      <c r="D106" s="26">
        <f>data!Y60</f>
        <v>31.70099519230769</v>
      </c>
      <c r="E106" s="26">
        <f>data!Z60</f>
        <v>0</v>
      </c>
      <c r="F106" s="26">
        <f>data!AA60</f>
        <v>0.80802403846153847</v>
      </c>
      <c r="G106" s="26">
        <f>data!AB60</f>
        <v>17.104480769230769</v>
      </c>
      <c r="H106" s="26">
        <f>data!AC60</f>
        <v>15.503028846153846</v>
      </c>
      <c r="I106" s="26">
        <f>data!AD60</f>
        <v>0.22931730769230771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1772262.7899999998</v>
      </c>
      <c r="D107" s="14">
        <f>data!Y61</f>
        <v>2485505.86</v>
      </c>
      <c r="E107" s="14">
        <f>data!Z61</f>
        <v>0</v>
      </c>
      <c r="F107" s="14">
        <f>data!AA61</f>
        <v>94213.52</v>
      </c>
      <c r="G107" s="14">
        <f>data!AB61</f>
        <v>1900220.9400000002</v>
      </c>
      <c r="H107" s="14">
        <f>data!AC61</f>
        <v>1444565.53</v>
      </c>
      <c r="I107" s="14">
        <f>data!AD61</f>
        <v>28075.969999999998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124958</v>
      </c>
      <c r="D108" s="14">
        <f>data!Y62</f>
        <v>175247</v>
      </c>
      <c r="E108" s="14">
        <f>data!Z62</f>
        <v>0</v>
      </c>
      <c r="F108" s="14">
        <f>data!AA62</f>
        <v>6643</v>
      </c>
      <c r="G108" s="14">
        <f>data!AB62</f>
        <v>133980</v>
      </c>
      <c r="H108" s="14">
        <f>data!AC62</f>
        <v>101853</v>
      </c>
      <c r="I108" s="14">
        <f>data!AD62</f>
        <v>1980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1735</v>
      </c>
      <c r="E109" s="14">
        <f>data!Z63</f>
        <v>0</v>
      </c>
      <c r="F109" s="14">
        <f>data!AA63</f>
        <v>0</v>
      </c>
      <c r="G109" s="14">
        <f>data!AB63</f>
        <v>1092.5</v>
      </c>
      <c r="H109" s="14">
        <f>data!AC63</f>
        <v>31614.879999999997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455634.13999999996</v>
      </c>
      <c r="D110" s="14">
        <f>data!Y64</f>
        <v>563320.05000000005</v>
      </c>
      <c r="E110" s="14">
        <f>data!Z64</f>
        <v>0</v>
      </c>
      <c r="F110" s="14">
        <f>data!AA64</f>
        <v>101070.51999999999</v>
      </c>
      <c r="G110" s="14">
        <f>data!AB64</f>
        <v>7315827.9699999997</v>
      </c>
      <c r="H110" s="14">
        <f>data!AC64</f>
        <v>213216.01999999993</v>
      </c>
      <c r="I110" s="14">
        <f>data!AD64</f>
        <v>3729.51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600</v>
      </c>
      <c r="H111" s="14">
        <f>data!AC65</f>
        <v>5742.52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372031.23000000004</v>
      </c>
      <c r="D112" s="14">
        <f>data!Y66</f>
        <v>660395.16999999993</v>
      </c>
      <c r="E112" s="14">
        <f>data!Z66</f>
        <v>0</v>
      </c>
      <c r="F112" s="14">
        <f>data!AA66</f>
        <v>9671.69</v>
      </c>
      <c r="G112" s="14">
        <f>data!AB66</f>
        <v>105656.38000000002</v>
      </c>
      <c r="H112" s="14">
        <f>data!AC66</f>
        <v>-5020.5200000000023</v>
      </c>
      <c r="I112" s="14">
        <f>data!AD66</f>
        <v>321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285020</v>
      </c>
      <c r="E113" s="14">
        <f>data!Z67</f>
        <v>0</v>
      </c>
      <c r="F113" s="14">
        <f>data!AA67</f>
        <v>0</v>
      </c>
      <c r="G113" s="14">
        <f>data!AB67</f>
        <v>84815</v>
      </c>
      <c r="H113" s="14">
        <f>data!AC67</f>
        <v>31531</v>
      </c>
      <c r="I113" s="14">
        <f>data!AD67</f>
        <v>40935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77064.5</v>
      </c>
      <c r="E114" s="14">
        <f>data!Z68</f>
        <v>0</v>
      </c>
      <c r="F114" s="14">
        <f>data!AA68</f>
        <v>0</v>
      </c>
      <c r="G114" s="14">
        <f>data!AB68</f>
        <v>601272.47</v>
      </c>
      <c r="H114" s="14">
        <f>data!AC68</f>
        <v>8258.85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1872.45</v>
      </c>
      <c r="D115" s="14">
        <f>data!Y69</f>
        <v>16926.96</v>
      </c>
      <c r="E115" s="14">
        <f>data!Z69</f>
        <v>0</v>
      </c>
      <c r="F115" s="14">
        <f>data!AA69</f>
        <v>0</v>
      </c>
      <c r="G115" s="14">
        <f>data!AB69</f>
        <v>32264.19</v>
      </c>
      <c r="H115" s="14">
        <f>data!AC69</f>
        <v>10830.460000000001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-17621.62</v>
      </c>
      <c r="E116" s="14">
        <f>-data!Z70</f>
        <v>0</v>
      </c>
      <c r="F116" s="14">
        <f>-data!AA70</f>
        <v>0</v>
      </c>
      <c r="G116" s="14">
        <f>-data!AB70</f>
        <v>-26581.049999999996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1181</v>
      </c>
      <c r="C117" s="14">
        <f>data!X71</f>
        <v>2726758.61</v>
      </c>
      <c r="D117" s="14">
        <f>data!Y71</f>
        <v>4247592.92</v>
      </c>
      <c r="E117" s="14">
        <f>data!Z71</f>
        <v>0</v>
      </c>
      <c r="F117" s="14">
        <f>data!AA71</f>
        <v>211598.72999999998</v>
      </c>
      <c r="G117" s="14">
        <f>data!AB71</f>
        <v>10149148.4</v>
      </c>
      <c r="H117" s="14">
        <f>data!AC71</f>
        <v>1842591.74</v>
      </c>
      <c r="I117" s="14">
        <f>data!AD71</f>
        <v>75041.48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1182</v>
      </c>
      <c r="C119" s="48">
        <f>+data!M689</f>
        <v>2164309</v>
      </c>
      <c r="D119" s="48">
        <f>+data!M690</f>
        <v>5793466</v>
      </c>
      <c r="E119" s="48">
        <f>+data!M691</f>
        <v>0</v>
      </c>
      <c r="F119" s="48">
        <f>+data!M692</f>
        <v>177773</v>
      </c>
      <c r="G119" s="48">
        <f>+data!M693</f>
        <v>8627033</v>
      </c>
      <c r="H119" s="48">
        <f>+data!M694</f>
        <v>1750651</v>
      </c>
      <c r="I119" s="48">
        <f>+data!M695</f>
        <v>417778</v>
      </c>
    </row>
    <row r="120" spans="1:9" ht="20.100000000000001" customHeight="1" x14ac:dyDescent="0.25">
      <c r="A120" s="23">
        <v>19</v>
      </c>
      <c r="B120" s="48" t="s">
        <v>1183</v>
      </c>
      <c r="C120" s="14">
        <f>data!X73</f>
        <v>4917438.76</v>
      </c>
      <c r="D120" s="14">
        <f>data!Y73</f>
        <v>3475323.46</v>
      </c>
      <c r="E120" s="14">
        <f>data!Z73</f>
        <v>0</v>
      </c>
      <c r="F120" s="14">
        <f>data!AA73</f>
        <v>217402</v>
      </c>
      <c r="G120" s="14">
        <f>data!AB73</f>
        <v>23743494</v>
      </c>
      <c r="H120" s="14">
        <f>data!AC73</f>
        <v>12872241</v>
      </c>
      <c r="I120" s="14">
        <f>data!AD73</f>
        <v>659345</v>
      </c>
    </row>
    <row r="121" spans="1:9" ht="20.100000000000001" customHeight="1" x14ac:dyDescent="0.25">
      <c r="A121" s="23">
        <v>20</v>
      </c>
      <c r="B121" s="48" t="s">
        <v>1184</v>
      </c>
      <c r="C121" s="14">
        <f>data!X74</f>
        <v>16892820.52</v>
      </c>
      <c r="D121" s="14">
        <f>data!Y74</f>
        <v>23542550.300000004</v>
      </c>
      <c r="E121" s="14">
        <f>data!Z74</f>
        <v>0</v>
      </c>
      <c r="F121" s="14">
        <f>data!AA74</f>
        <v>2467707</v>
      </c>
      <c r="G121" s="14">
        <f>data!AB74</f>
        <v>28612141.449999999</v>
      </c>
      <c r="H121" s="14">
        <f>data!AC74</f>
        <v>3208673</v>
      </c>
      <c r="I121" s="14">
        <f>data!AD74</f>
        <v>4026</v>
      </c>
    </row>
    <row r="122" spans="1:9" ht="20.100000000000001" customHeight="1" x14ac:dyDescent="0.25">
      <c r="A122" s="23">
        <v>21</v>
      </c>
      <c r="B122" s="48" t="s">
        <v>1185</v>
      </c>
      <c r="C122" s="14">
        <f>data!X75</f>
        <v>21810259.280000001</v>
      </c>
      <c r="D122" s="14">
        <f>data!Y75</f>
        <v>27017873.760000005</v>
      </c>
      <c r="E122" s="14">
        <f>data!Z75</f>
        <v>0</v>
      </c>
      <c r="F122" s="14">
        <f>data!AA75</f>
        <v>2685109</v>
      </c>
      <c r="G122" s="14">
        <f>data!AB75</f>
        <v>52355635.450000003</v>
      </c>
      <c r="H122" s="14">
        <f>data!AC75</f>
        <v>16080914</v>
      </c>
      <c r="I122" s="14">
        <f>data!AD75</f>
        <v>663371</v>
      </c>
    </row>
    <row r="123" spans="1:9" ht="20.100000000000001" customHeight="1" x14ac:dyDescent="0.25">
      <c r="A123" s="23" t="s">
        <v>1186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1187</v>
      </c>
      <c r="C124" s="14">
        <f>data!X76</f>
        <v>0</v>
      </c>
      <c r="D124" s="14">
        <f>data!Y76</f>
        <v>15403.155785000004</v>
      </c>
      <c r="E124" s="14">
        <f>data!Z76</f>
        <v>0</v>
      </c>
      <c r="F124" s="14">
        <f>data!AA76</f>
        <v>0</v>
      </c>
      <c r="G124" s="14">
        <f>data!AB76</f>
        <v>4583.5959640000001</v>
      </c>
      <c r="H124" s="14">
        <f>data!AC76</f>
        <v>1704.0346560000003</v>
      </c>
      <c r="I124" s="14">
        <f>data!AD76</f>
        <v>2212.198864</v>
      </c>
    </row>
    <row r="125" spans="1:9" ht="20.100000000000001" customHeight="1" x14ac:dyDescent="0.25">
      <c r="A125" s="23">
        <v>23</v>
      </c>
      <c r="B125" s="14" t="s">
        <v>1188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1189</v>
      </c>
      <c r="C126" s="14">
        <f>data!X78</f>
        <v>0</v>
      </c>
      <c r="D126" s="14">
        <f>data!Y78</f>
        <v>799.89003398278919</v>
      </c>
      <c r="E126" s="14">
        <f>data!Z78</f>
        <v>0</v>
      </c>
      <c r="F126" s="14">
        <f>data!AA78</f>
        <v>0</v>
      </c>
      <c r="G126" s="14">
        <f>data!AB78</f>
        <v>238.02737455773482</v>
      </c>
      <c r="H126" s="14">
        <f>data!AC78</f>
        <v>88.490979246152605</v>
      </c>
      <c r="I126" s="14">
        <f>data!AD78</f>
        <v>114.88008361408954</v>
      </c>
    </row>
    <row r="127" spans="1:9" ht="20.100000000000001" customHeight="1" x14ac:dyDescent="0.25">
      <c r="A127" s="23">
        <v>25</v>
      </c>
      <c r="B127" s="14" t="s">
        <v>1190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1.4423076923076924E-3</v>
      </c>
      <c r="D128" s="26">
        <f>data!Y80</f>
        <v>1.0817307692307693E-3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0.22078365384615387</v>
      </c>
    </row>
    <row r="129" spans="1:9" ht="20.100000000000001" customHeight="1" x14ac:dyDescent="0.25">
      <c r="A129" s="4" t="s">
        <v>1174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1204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Swedish Issaquah</v>
      </c>
      <c r="B132" s="77"/>
      <c r="C132" s="77"/>
      <c r="D132" s="77"/>
      <c r="E132" s="77"/>
      <c r="F132" s="77"/>
      <c r="G132" s="80"/>
      <c r="H132" s="79" t="str">
        <f>"FYE: "&amp;data!C82</f>
        <v>FYE: 12/31/2016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1176</v>
      </c>
      <c r="C134" s="18" t="s">
        <v>96</v>
      </c>
      <c r="D134" s="18" t="s">
        <v>97</v>
      </c>
      <c r="E134" s="18" t="s">
        <v>118</v>
      </c>
      <c r="F134" s="25"/>
      <c r="G134" s="18" t="s">
        <v>1205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1180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1206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28743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18.35683653846154</v>
      </c>
      <c r="D138" s="26">
        <f>data!AF60</f>
        <v>0</v>
      </c>
      <c r="E138" s="26">
        <f>data!AG60</f>
        <v>47.381942307692306</v>
      </c>
      <c r="F138" s="26">
        <f>data!AH60</f>
        <v>0</v>
      </c>
      <c r="G138" s="26">
        <f>data!AI60</f>
        <v>0</v>
      </c>
      <c r="H138" s="26">
        <f>data!AJ60</f>
        <v>6.2015528846153849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1623315.53</v>
      </c>
      <c r="D139" s="14">
        <f>data!AF61</f>
        <v>0</v>
      </c>
      <c r="E139" s="14">
        <f>data!AG61</f>
        <v>4384385.63</v>
      </c>
      <c r="F139" s="14">
        <f>data!AH61</f>
        <v>0</v>
      </c>
      <c r="G139" s="14">
        <f>data!AI61</f>
        <v>0</v>
      </c>
      <c r="H139" s="14">
        <f>data!AJ61</f>
        <v>724308.99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114456</v>
      </c>
      <c r="D140" s="14">
        <f>data!AF62</f>
        <v>0</v>
      </c>
      <c r="E140" s="14">
        <f>data!AG62</f>
        <v>309132</v>
      </c>
      <c r="F140" s="14">
        <f>data!AH62</f>
        <v>0</v>
      </c>
      <c r="G140" s="14">
        <f>data!AI62</f>
        <v>0</v>
      </c>
      <c r="H140" s="14">
        <f>data!AJ62</f>
        <v>51069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749589.79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18515.61</v>
      </c>
      <c r="D142" s="14">
        <f>data!AF64</f>
        <v>0</v>
      </c>
      <c r="E142" s="14">
        <f>data!AG64</f>
        <v>850350.25999999989</v>
      </c>
      <c r="F142" s="14">
        <f>data!AH64</f>
        <v>0</v>
      </c>
      <c r="G142" s="14">
        <f>data!AI64</f>
        <v>0</v>
      </c>
      <c r="H142" s="14">
        <f>data!AJ64</f>
        <v>30281.33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1520.7299999999998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85.580000000000013</v>
      </c>
      <c r="D144" s="14">
        <f>data!AF66</f>
        <v>0</v>
      </c>
      <c r="E144" s="14">
        <f>data!AG66</f>
        <v>12743.9</v>
      </c>
      <c r="F144" s="14">
        <f>data!AH66</f>
        <v>0</v>
      </c>
      <c r="G144" s="14">
        <f>data!AI66</f>
        <v>0</v>
      </c>
      <c r="H144" s="14">
        <f>data!AJ66</f>
        <v>92.72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733292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8399.4700000000012</v>
      </c>
      <c r="D147" s="14">
        <f>data!AF69</f>
        <v>0</v>
      </c>
      <c r="E147" s="14">
        <f>data!AG69</f>
        <v>40376.35</v>
      </c>
      <c r="F147" s="14">
        <f>data!AH69</f>
        <v>0</v>
      </c>
      <c r="G147" s="14">
        <f>data!AI69</f>
        <v>0</v>
      </c>
      <c r="H147" s="14">
        <f>data!AJ69</f>
        <v>1525.31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-687.5</v>
      </c>
      <c r="D148" s="14">
        <f>-data!AF70</f>
        <v>0</v>
      </c>
      <c r="E148" s="14">
        <f>-data!AG70</f>
        <v>-46798.02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1181</v>
      </c>
      <c r="C149" s="14">
        <f>data!AE71</f>
        <v>1764084.6900000002</v>
      </c>
      <c r="D149" s="14">
        <f>data!AF71</f>
        <v>0</v>
      </c>
      <c r="E149" s="14">
        <f>data!AG71</f>
        <v>7034592.6400000006</v>
      </c>
      <c r="F149" s="14">
        <f>data!AH71</f>
        <v>0</v>
      </c>
      <c r="G149" s="14">
        <f>data!AI71</f>
        <v>0</v>
      </c>
      <c r="H149" s="14">
        <f>data!AJ71</f>
        <v>807277.35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1182</v>
      </c>
      <c r="C151" s="48">
        <f>+data!M696</f>
        <v>1356900</v>
      </c>
      <c r="D151" s="48">
        <f>+data!M697</f>
        <v>0</v>
      </c>
      <c r="E151" s="48">
        <f>+data!M698</f>
        <v>12316895</v>
      </c>
      <c r="F151" s="48">
        <f>+data!M699</f>
        <v>0</v>
      </c>
      <c r="G151" s="48">
        <f>+data!M700</f>
        <v>0</v>
      </c>
      <c r="H151" s="48">
        <f>+data!M701</f>
        <v>626407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1183</v>
      </c>
      <c r="C152" s="14">
        <f>data!AE73</f>
        <v>6013840.7799999993</v>
      </c>
      <c r="D152" s="14">
        <f>data!AF73</f>
        <v>0</v>
      </c>
      <c r="E152" s="14">
        <f>data!AG73</f>
        <v>14960679</v>
      </c>
      <c r="F152" s="14">
        <f>data!AH73</f>
        <v>0</v>
      </c>
      <c r="G152" s="14">
        <f>data!AI73</f>
        <v>0</v>
      </c>
      <c r="H152" s="14">
        <f>data!AJ73</f>
        <v>1228.67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1184</v>
      </c>
      <c r="C153" s="14">
        <f>data!AE74</f>
        <v>3115652.1</v>
      </c>
      <c r="D153" s="14">
        <f>data!AF74</f>
        <v>0</v>
      </c>
      <c r="E153" s="14">
        <f>data!AG74</f>
        <v>59508116</v>
      </c>
      <c r="F153" s="14">
        <f>data!AH74</f>
        <v>0</v>
      </c>
      <c r="G153" s="14">
        <f>data!AI74</f>
        <v>0</v>
      </c>
      <c r="H153" s="14">
        <f>data!AJ74</f>
        <v>3144892.22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1185</v>
      </c>
      <c r="C154" s="14">
        <f>data!AE75</f>
        <v>9129492.879999999</v>
      </c>
      <c r="D154" s="14">
        <f>data!AF75</f>
        <v>0</v>
      </c>
      <c r="E154" s="14">
        <f>data!AG75</f>
        <v>74468795</v>
      </c>
      <c r="F154" s="14">
        <f>data!AH75</f>
        <v>0</v>
      </c>
      <c r="G154" s="14">
        <f>data!AI75</f>
        <v>0</v>
      </c>
      <c r="H154" s="14">
        <f>data!AJ75</f>
        <v>3146120.89</v>
      </c>
      <c r="I154" s="14">
        <f>data!AK75</f>
        <v>0</v>
      </c>
    </row>
    <row r="155" spans="1:9" ht="20.100000000000001" customHeight="1" x14ac:dyDescent="0.25">
      <c r="A155" s="23" t="s">
        <v>1186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1187</v>
      </c>
      <c r="C156" s="14">
        <f>data!AE76</f>
        <v>0</v>
      </c>
      <c r="D156" s="14">
        <f>data!AF76</f>
        <v>0</v>
      </c>
      <c r="E156" s="14">
        <f>data!AG76</f>
        <v>39628.843089999988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1188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1189</v>
      </c>
      <c r="C158" s="14">
        <f>data!AE78</f>
        <v>0</v>
      </c>
      <c r="D158" s="14">
        <f>data!AF78</f>
        <v>0</v>
      </c>
      <c r="E158" s="14">
        <f>data!AG78</f>
        <v>2057.9365091423506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1190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25.576235576923075</v>
      </c>
      <c r="F160" s="26">
        <f>data!AH80</f>
        <v>0</v>
      </c>
      <c r="G160" s="26">
        <f>data!AI80</f>
        <v>0</v>
      </c>
      <c r="H160" s="26">
        <f>data!AJ80</f>
        <v>2.1740961538461541</v>
      </c>
      <c r="I160" s="26">
        <f>data!AK80</f>
        <v>0</v>
      </c>
    </row>
    <row r="161" spans="1:9" ht="20.100000000000001" customHeight="1" x14ac:dyDescent="0.25">
      <c r="A161" s="4" t="s">
        <v>1174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1207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Swedish Issaquah</v>
      </c>
      <c r="B164" s="77"/>
      <c r="C164" s="77"/>
      <c r="D164" s="77"/>
      <c r="E164" s="77"/>
      <c r="F164" s="77"/>
      <c r="G164" s="80"/>
      <c r="H164" s="79" t="str">
        <f>"FYE: "&amp;data!C82</f>
        <v>FYE: 12/31/2016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1176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1208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1209</v>
      </c>
      <c r="F167" s="18" t="s">
        <v>182</v>
      </c>
      <c r="G167" s="18" t="s">
        <v>121</v>
      </c>
      <c r="H167" s="88" t="s">
        <v>1210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1180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1181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1182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1183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1184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1185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1186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1187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1188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1189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1190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1174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1211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Swedish Issaquah</v>
      </c>
      <c r="B196" s="77"/>
      <c r="C196" s="77"/>
      <c r="D196" s="77"/>
      <c r="E196" s="77"/>
      <c r="F196" s="77"/>
      <c r="G196" s="80"/>
      <c r="H196" s="79" t="str">
        <f>"FYE: "&amp;data!C82</f>
        <v>FYE: 12/31/2016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1176</v>
      </c>
      <c r="C198" s="25"/>
      <c r="D198" s="18" t="s">
        <v>130</v>
      </c>
      <c r="E198" s="18" t="s">
        <v>131</v>
      </c>
      <c r="F198" s="18" t="s">
        <v>132</v>
      </c>
      <c r="G198" s="18" t="s">
        <v>1212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1213</v>
      </c>
      <c r="E199" s="18" t="s">
        <v>1214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1180</v>
      </c>
      <c r="C200" s="15" t="s">
        <v>226</v>
      </c>
      <c r="D200" s="15" t="s">
        <v>1213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118376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22.358471153846157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1129226.8999999999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79619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10504.789999999999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273480.55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1223.78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32762.870000000003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217304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6468.2199999999993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23050.86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-164158.79999999999</v>
      </c>
    </row>
    <row r="213" spans="1:9" ht="20.100000000000001" customHeight="1" x14ac:dyDescent="0.25">
      <c r="A213" s="23">
        <v>16</v>
      </c>
      <c r="B213" s="48" t="s">
        <v>1181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1609482.1700000002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1182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1183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-96.739999999990687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1184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4588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1185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4491.2600000000093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1186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1187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11743.641523999999</v>
      </c>
    </row>
    <row r="221" spans="1:9" ht="20.100000000000001" customHeight="1" x14ac:dyDescent="0.25">
      <c r="A221" s="23">
        <v>23</v>
      </c>
      <c r="B221" s="14" t="s">
        <v>1188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1189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1190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1174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1215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Swedish Issaquah</v>
      </c>
      <c r="B228" s="77"/>
      <c r="C228" s="77"/>
      <c r="D228" s="77"/>
      <c r="E228" s="77"/>
      <c r="F228" s="77"/>
      <c r="G228" s="80"/>
      <c r="H228" s="79" t="str">
        <f>"FYE: "&amp;data!C82</f>
        <v>FYE: 12/31/2016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1176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1216</v>
      </c>
      <c r="F231" s="18" t="s">
        <v>1217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1180</v>
      </c>
      <c r="C232" s="15" t="s">
        <v>1218</v>
      </c>
      <c r="D232" s="15" t="s">
        <v>1219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1146016.9638239993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12.511341346153845</v>
      </c>
      <c r="D234" s="26">
        <f>data!BA60</f>
        <v>1.1483701923076921</v>
      </c>
      <c r="E234" s="26">
        <f>data!BB60</f>
        <v>13.503067307692309</v>
      </c>
      <c r="F234" s="26">
        <f>data!BC60</f>
        <v>0</v>
      </c>
      <c r="G234" s="26">
        <f>data!BD60</f>
        <v>0</v>
      </c>
      <c r="H234" s="26">
        <f>data!BE60</f>
        <v>26.963995192307692</v>
      </c>
      <c r="I234" s="26">
        <f>data!BF60</f>
        <v>32.835860576923075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614426.68000000005</v>
      </c>
      <c r="D235" s="14">
        <f>data!BA61</f>
        <v>51797.369999999995</v>
      </c>
      <c r="E235" s="14">
        <f>data!BB61</f>
        <v>1150820.5399999998</v>
      </c>
      <c r="F235" s="14">
        <f>data!BC61</f>
        <v>0</v>
      </c>
      <c r="G235" s="14">
        <f>data!BD61</f>
        <v>0</v>
      </c>
      <c r="H235" s="14">
        <f>data!BE61</f>
        <v>1755230.8599999999</v>
      </c>
      <c r="I235" s="14">
        <f>data!BF61</f>
        <v>1508530.2199999997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43322</v>
      </c>
      <c r="D236" s="14">
        <f>data!BA62</f>
        <v>3652</v>
      </c>
      <c r="E236" s="14">
        <f>data!BB62</f>
        <v>81142</v>
      </c>
      <c r="F236" s="14">
        <f>data!BC62</f>
        <v>0</v>
      </c>
      <c r="G236" s="14">
        <f>data!BD62</f>
        <v>0</v>
      </c>
      <c r="H236" s="14">
        <f>data!BE62</f>
        <v>123757</v>
      </c>
      <c r="I236" s="14">
        <f>data!BF62</f>
        <v>106363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600</v>
      </c>
      <c r="H237" s="14">
        <f>data!BE63</f>
        <v>12590.52</v>
      </c>
      <c r="I237" s="14">
        <f>data!BF63</f>
        <v>600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575082.63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-863174.02</v>
      </c>
      <c r="H238" s="14">
        <f>data!BE64</f>
        <v>409628.63</v>
      </c>
      <c r="I238" s="14">
        <f>data!BF64</f>
        <v>169231.15000000002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1029.53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1198889.9500000002</v>
      </c>
      <c r="I239" s="14">
        <f>data!BF65</f>
        <v>380684.10999999993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2680.9900000000002</v>
      </c>
      <c r="D240" s="14">
        <f>data!BA66</f>
        <v>732913.66999999993</v>
      </c>
      <c r="E240" s="14">
        <f>data!BB66</f>
        <v>0</v>
      </c>
      <c r="F240" s="14">
        <f>data!BC66</f>
        <v>0</v>
      </c>
      <c r="G240" s="14">
        <f>data!BD66</f>
        <v>206969.33000000002</v>
      </c>
      <c r="H240" s="14">
        <f>data!BE66</f>
        <v>1417412.7399999995</v>
      </c>
      <c r="I240" s="14">
        <f>data!BF66</f>
        <v>91260.65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1667</v>
      </c>
      <c r="F241" s="14">
        <f>data!BC67</f>
        <v>0</v>
      </c>
      <c r="G241" s="14">
        <f>data!BD67</f>
        <v>211859</v>
      </c>
      <c r="H241" s="14">
        <f>data!BE67</f>
        <v>12619987</v>
      </c>
      <c r="I241" s="14">
        <f>data!BF67</f>
        <v>77415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20.95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13295.349999999999</v>
      </c>
      <c r="I243" s="14">
        <f>data!BF69</f>
        <v>3854.25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-881138.7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-135834.99</v>
      </c>
      <c r="I244" s="14">
        <f>-data!BF70</f>
        <v>-24775</v>
      </c>
    </row>
    <row r="245" spans="1:9" ht="20.100000000000001" customHeight="1" x14ac:dyDescent="0.25">
      <c r="A245" s="23">
        <v>16</v>
      </c>
      <c r="B245" s="48" t="s">
        <v>1181</v>
      </c>
      <c r="C245" s="14">
        <f>data!AZ71</f>
        <v>355424.08000000007</v>
      </c>
      <c r="D245" s="14">
        <f>data!BA71</f>
        <v>788363.03999999992</v>
      </c>
      <c r="E245" s="14">
        <f>data!BB71</f>
        <v>1233629.5399999998</v>
      </c>
      <c r="F245" s="14">
        <f>data!BC71</f>
        <v>0</v>
      </c>
      <c r="G245" s="14">
        <f>data!BD71</f>
        <v>-443745.68999999994</v>
      </c>
      <c r="H245" s="14">
        <f>data!BE71</f>
        <v>17414957.060000002</v>
      </c>
      <c r="I245" s="14">
        <f>data!BF71</f>
        <v>2313163.3799999994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1182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1183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1184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1185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1186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1187</v>
      </c>
      <c r="C252" s="85">
        <f>data!AZ76</f>
        <v>0</v>
      </c>
      <c r="D252" s="85">
        <f>data!BA76</f>
        <v>0</v>
      </c>
      <c r="E252" s="85">
        <f>data!BB76</f>
        <v>90.09393</v>
      </c>
      <c r="F252" s="85">
        <f>data!BC76</f>
        <v>0</v>
      </c>
      <c r="G252" s="85">
        <f>data!BD76</f>
        <v>11449.356216999997</v>
      </c>
      <c r="H252" s="85">
        <f>data!BE76</f>
        <v>682014.27962599939</v>
      </c>
      <c r="I252" s="85">
        <f>data!BF76</f>
        <v>4183.7166940000006</v>
      </c>
    </row>
    <row r="253" spans="1:9" ht="20.100000000000001" customHeight="1" x14ac:dyDescent="0.25">
      <c r="A253" s="23">
        <v>23</v>
      </c>
      <c r="B253" s="14" t="s">
        <v>1188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1189</v>
      </c>
      <c r="C254" s="213" t="str">
        <f>IF(data!AZ78&gt;0,data!AZ78,"")</f>
        <v>x</v>
      </c>
      <c r="D254" s="85">
        <f>data!BA78</f>
        <v>0</v>
      </c>
      <c r="E254" s="85">
        <f>data!BB78</f>
        <v>4.6786020822773242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1190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1174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1220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Swedish Issaquah</v>
      </c>
      <c r="B260" s="77"/>
      <c r="C260" s="77"/>
      <c r="D260" s="77"/>
      <c r="E260" s="77"/>
      <c r="F260" s="77"/>
      <c r="G260" s="80"/>
      <c r="H260" s="79" t="str">
        <f>"FYE: "&amp;data!C82</f>
        <v>FYE: 12/31/2016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1176</v>
      </c>
      <c r="C262" s="18" t="s">
        <v>1221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1222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1223</v>
      </c>
    </row>
    <row r="264" spans="1:9" ht="20.100000000000001" customHeight="1" x14ac:dyDescent="0.25">
      <c r="A264" s="23">
        <v>3</v>
      </c>
      <c r="B264" s="14" t="s">
        <v>1180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22.273879807692307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1110304.1400000001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78285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600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23259.7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1000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2852.3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1181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1216301.1400000001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1182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1183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1184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1185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1186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1187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1188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1189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1190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1174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1224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Swedish Issaquah</v>
      </c>
      <c r="B292" s="77"/>
      <c r="C292" s="77"/>
      <c r="D292" s="77"/>
      <c r="E292" s="77"/>
      <c r="F292" s="77"/>
      <c r="G292" s="80"/>
      <c r="H292" s="79" t="str">
        <f>"FYE: "&amp;data!C82</f>
        <v>FYE: 12/31/2016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1176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1225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1180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6.3368990384615387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0.40700480769230768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1020195.6900000001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28562.549999999996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71931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2014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870031.49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600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1043023.7599999999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33689.17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8987.1299999999992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185316.16999999998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2570.33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378584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27749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2377709.2800000007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1249117.55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7570.3600000000006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-1776965.0899999996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1181</v>
      </c>
      <c r="C309" s="14">
        <f>data!BN71</f>
        <v>5427930.9800000004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102755.40999999999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1182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1183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1184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1185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1186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1187</v>
      </c>
      <c r="C316" s="85">
        <f>data!BN76</f>
        <v>20459.610332000007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1499.6279959999999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1188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1189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77.876086266044453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1190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1174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1226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Swedish Issaquah</v>
      </c>
      <c r="B324" s="77"/>
      <c r="C324" s="77"/>
      <c r="D324" s="77"/>
      <c r="E324" s="77"/>
      <c r="F324" s="77"/>
      <c r="G324" s="80"/>
      <c r="H324" s="79" t="str">
        <f>"FYE: "&amp;data!C82</f>
        <v>FYE: 12/31/2016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1176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1225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1180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5.4610576923076923</v>
      </c>
      <c r="F330" s="26">
        <f>data!BX60</f>
        <v>0</v>
      </c>
      <c r="G330" s="26">
        <f>data!BY60</f>
        <v>7.1201875000000001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462688.93000000005</v>
      </c>
      <c r="F331" s="86">
        <f>data!BX61</f>
        <v>0</v>
      </c>
      <c r="G331" s="86">
        <f>data!BY61</f>
        <v>823435.57000000007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32623</v>
      </c>
      <c r="F332" s="86">
        <f>data!BX62</f>
        <v>0</v>
      </c>
      <c r="G332" s="86">
        <f>data!BY62</f>
        <v>58058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35021.050000000003</v>
      </c>
      <c r="F333" s="86">
        <f>data!BX63</f>
        <v>0</v>
      </c>
      <c r="G333" s="86">
        <f>data!BY63</f>
        <v>250</v>
      </c>
      <c r="H333" s="86">
        <f>data!BZ63</f>
        <v>0</v>
      </c>
      <c r="I333" s="86">
        <f>data!CA63</f>
        <v>37368.509999999995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8849.93</v>
      </c>
      <c r="F334" s="86">
        <f>data!BX64</f>
        <v>0</v>
      </c>
      <c r="G334" s="86">
        <f>data!BY64</f>
        <v>3759.04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2786.2599999999993</v>
      </c>
      <c r="F335" s="86">
        <f>data!BX65</f>
        <v>0</v>
      </c>
      <c r="G335" s="86">
        <f>data!BY65</f>
        <v>751.58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2050.46</v>
      </c>
      <c r="F336" s="86">
        <f>data!BX66</f>
        <v>0</v>
      </c>
      <c r="G336" s="86">
        <f>data!BY66</f>
        <v>12222.37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4332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26783.170000000002</v>
      </c>
      <c r="F339" s="86">
        <f>data!BX69</f>
        <v>0</v>
      </c>
      <c r="G339" s="86">
        <f>data!BY69</f>
        <v>1236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-11760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1181</v>
      </c>
      <c r="C341" s="14">
        <f>data!BU71</f>
        <v>0</v>
      </c>
      <c r="D341" s="14">
        <f>data!BV71</f>
        <v>0</v>
      </c>
      <c r="E341" s="14">
        <f>data!BW71</f>
        <v>559042.80000000016</v>
      </c>
      <c r="F341" s="14">
        <f>data!BX71</f>
        <v>0</v>
      </c>
      <c r="G341" s="14">
        <f>data!BY71</f>
        <v>904044.56</v>
      </c>
      <c r="H341" s="14">
        <f>data!BZ71</f>
        <v>0</v>
      </c>
      <c r="I341" s="14">
        <f>data!CA71</f>
        <v>37368.509999999995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1182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1183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1184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1185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1186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1187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234.11505099999999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1188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1189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12.157657736776073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1190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1174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1227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Swedish Issaquah</v>
      </c>
      <c r="B356" s="77"/>
      <c r="C356" s="77"/>
      <c r="D356" s="77"/>
      <c r="E356" s="77"/>
      <c r="F356" s="77"/>
      <c r="G356" s="80"/>
      <c r="H356" s="79" t="str">
        <f>"FYE: "&amp;data!C82</f>
        <v>FYE: 12/31/2016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1176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1228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1180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28.944038461538465</v>
      </c>
      <c r="E362" s="217"/>
      <c r="F362" s="211"/>
      <c r="G362" s="211"/>
      <c r="H362" s="211"/>
      <c r="I362" s="87">
        <f>data!CE60</f>
        <v>713.96480769230755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1502010.09</v>
      </c>
      <c r="E363" s="218"/>
      <c r="F363" s="219"/>
      <c r="G363" s="219"/>
      <c r="H363" s="219"/>
      <c r="I363" s="86">
        <f>data!CE61</f>
        <v>61945554.969999999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105903</v>
      </c>
      <c r="E364" s="218"/>
      <c r="F364" s="219"/>
      <c r="G364" s="219"/>
      <c r="H364" s="219"/>
      <c r="I364" s="86">
        <f>data!CE62</f>
        <v>4367630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5609.07</v>
      </c>
      <c r="E365" s="218"/>
      <c r="F365" s="219"/>
      <c r="G365" s="219"/>
      <c r="H365" s="219"/>
      <c r="I365" s="86">
        <f>data!CE63</f>
        <v>5708750.4799999995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1684749.2</v>
      </c>
      <c r="E366" s="218"/>
      <c r="F366" s="219"/>
      <c r="G366" s="219"/>
      <c r="H366" s="219"/>
      <c r="I366" s="86">
        <f>data!CE64</f>
        <v>36203402.710000008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3338.84</v>
      </c>
      <c r="E367" s="218"/>
      <c r="F367" s="219"/>
      <c r="G367" s="219"/>
      <c r="H367" s="219"/>
      <c r="I367" s="86">
        <f>data!CE65</f>
        <v>1609801.6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271825.87999999995</v>
      </c>
      <c r="E368" s="218"/>
      <c r="F368" s="219"/>
      <c r="G368" s="219"/>
      <c r="H368" s="219"/>
      <c r="I368" s="86">
        <f>data!CE66</f>
        <v>11076027.570000002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4137365</v>
      </c>
      <c r="E369" s="218"/>
      <c r="F369" s="219"/>
      <c r="G369" s="219"/>
      <c r="H369" s="219"/>
      <c r="I369" s="86">
        <f>data!CE67</f>
        <v>21205889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2556.85</v>
      </c>
      <c r="E370" s="218"/>
      <c r="F370" s="219"/>
      <c r="G370" s="219"/>
      <c r="H370" s="219"/>
      <c r="I370" s="86">
        <f>data!CE68</f>
        <v>3249278.2100000009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68152617.661280304</v>
      </c>
      <c r="E371" s="86">
        <f>data!CD69</f>
        <v>19805053.510000002</v>
      </c>
      <c r="F371" s="219"/>
      <c r="G371" s="219"/>
      <c r="H371" s="219"/>
      <c r="I371" s="86">
        <f>data!CE69</f>
        <v>89675115.541280314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-7476719.3599999985</v>
      </c>
      <c r="E372" s="229">
        <f>data!CD70</f>
        <v>0</v>
      </c>
      <c r="F372" s="220"/>
      <c r="G372" s="220"/>
      <c r="H372" s="220"/>
      <c r="I372" s="14">
        <f>-data!CE70</f>
        <v>-10603072.889999997</v>
      </c>
    </row>
    <row r="373" spans="1:9" ht="20.100000000000001" customHeight="1" x14ac:dyDescent="0.25">
      <c r="A373" s="23">
        <v>16</v>
      </c>
      <c r="B373" s="48" t="s">
        <v>1181</v>
      </c>
      <c r="C373" s="86">
        <f>data!CB71</f>
        <v>0</v>
      </c>
      <c r="D373" s="86">
        <f>data!CC71</f>
        <v>68389256.231280312</v>
      </c>
      <c r="E373" s="86">
        <f>data!CD71</f>
        <v>19805053.510000002</v>
      </c>
      <c r="F373" s="219"/>
      <c r="G373" s="219"/>
      <c r="H373" s="219"/>
      <c r="I373" s="14">
        <f>data!CE71</f>
        <v>224438377.19128036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1182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1183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313963210.82999998</v>
      </c>
    </row>
    <row r="377" spans="1:9" ht="20.100000000000001" customHeight="1" x14ac:dyDescent="0.25">
      <c r="A377" s="23">
        <v>20</v>
      </c>
      <c r="B377" s="48" t="s">
        <v>1184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322953995.68000007</v>
      </c>
    </row>
    <row r="378" spans="1:9" ht="20.100000000000001" customHeight="1" x14ac:dyDescent="0.25">
      <c r="A378" s="23">
        <v>21</v>
      </c>
      <c r="B378" s="48" t="s">
        <v>1185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636917206.50999999</v>
      </c>
    </row>
    <row r="379" spans="1:9" ht="20.100000000000001" customHeight="1" x14ac:dyDescent="0.25">
      <c r="A379" s="23" t="s">
        <v>1186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1187</v>
      </c>
      <c r="C380" s="85">
        <f>data!CB76</f>
        <v>0</v>
      </c>
      <c r="D380" s="85">
        <f>data!CC76</f>
        <v>223593.11350999997</v>
      </c>
      <c r="E380" s="214"/>
      <c r="F380" s="211"/>
      <c r="G380" s="211"/>
      <c r="H380" s="211"/>
      <c r="I380" s="14">
        <f>data!CE76</f>
        <v>1146016.9638239993</v>
      </c>
    </row>
    <row r="381" spans="1:9" ht="20.100000000000001" customHeight="1" x14ac:dyDescent="0.25">
      <c r="A381" s="23">
        <v>23</v>
      </c>
      <c r="B381" s="14" t="s">
        <v>1188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118376</v>
      </c>
    </row>
    <row r="382" spans="1:9" ht="20.100000000000001" customHeight="1" x14ac:dyDescent="0.25">
      <c r="A382" s="23">
        <v>24</v>
      </c>
      <c r="B382" s="14" t="s">
        <v>1189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10000.380595639394</v>
      </c>
    </row>
    <row r="383" spans="1:9" ht="20.100000000000001" customHeight="1" x14ac:dyDescent="0.25">
      <c r="A383" s="23">
        <v>25</v>
      </c>
      <c r="B383" s="14" t="s">
        <v>1190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10590.8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221.33472115384615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Swedish Issaquah Year End Report</dc:title>
  <dc:subject>2016 Swedish Issaquah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2017-05-02T18:38:28Z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