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A3F356E4-89E0-4273-8930-D0FF197F049D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0" i="1" l="1"/>
  <c r="C80" i="1"/>
  <c r="E80" i="1"/>
  <c r="AR80" i="1"/>
  <c r="P80" i="1"/>
  <c r="AJ78" i="1" l="1"/>
  <c r="AR78" i="1"/>
  <c r="C234" i="1" l="1"/>
  <c r="BN76" i="1" l="1"/>
  <c r="AJ76" i="1"/>
  <c r="BN69" i="1" l="1"/>
  <c r="BN68" i="1"/>
  <c r="AJ69" i="1"/>
  <c r="U69" i="1"/>
  <c r="BY69" i="1"/>
  <c r="BR69" i="1"/>
  <c r="BE69" i="1"/>
  <c r="AY69" i="1"/>
  <c r="AR69" i="1"/>
  <c r="AG69" i="1"/>
  <c r="AB69" i="1"/>
  <c r="P69" i="1"/>
  <c r="AC76" i="1" l="1"/>
  <c r="AC51" i="1"/>
  <c r="AJ65" i="1" l="1"/>
  <c r="BE65" i="1"/>
  <c r="P65" i="1"/>
  <c r="AJ63" i="1"/>
  <c r="AJ60" i="1"/>
  <c r="BY61" i="1"/>
  <c r="BS61" i="1"/>
  <c r="BO61" i="1"/>
  <c r="AJ61" i="1"/>
  <c r="BN61" i="1"/>
  <c r="BK61" i="1"/>
  <c r="AY61" i="1"/>
  <c r="AR61" i="1"/>
  <c r="AG61" i="1"/>
  <c r="AE61" i="1"/>
  <c r="AB61" i="1"/>
  <c r="U61" i="1"/>
  <c r="P61" i="1"/>
  <c r="O61" i="1"/>
  <c r="U60" i="1"/>
  <c r="BN60" i="1"/>
  <c r="BX60" i="1"/>
  <c r="BY60" i="1"/>
  <c r="BX61" i="1"/>
  <c r="AG80" i="1"/>
  <c r="AJ80" i="1"/>
  <c r="Y68" i="1"/>
  <c r="AB68" i="1"/>
  <c r="AJ68" i="1"/>
  <c r="BN66" i="1" l="1"/>
  <c r="BY66" i="1"/>
  <c r="BS66" i="1"/>
  <c r="BR66" i="1"/>
  <c r="AR66" i="1"/>
  <c r="AJ66" i="1"/>
  <c r="BK66" i="1"/>
  <c r="BJ66" i="1"/>
  <c r="BE66" i="1"/>
  <c r="AY66" i="1"/>
  <c r="AG66" i="1"/>
  <c r="AL66" i="1"/>
  <c r="AK66" i="1"/>
  <c r="AC66" i="1"/>
  <c r="AB66" i="1"/>
  <c r="W66" i="1"/>
  <c r="Y66" i="1"/>
  <c r="X66" i="1"/>
  <c r="U66" i="1"/>
  <c r="S66" i="1"/>
  <c r="P66" i="1"/>
  <c r="O66" i="1"/>
  <c r="AE66" i="1"/>
  <c r="AE68" i="1"/>
  <c r="BO66" i="1"/>
  <c r="BY51" i="1"/>
  <c r="BY61" i="10"/>
  <c r="BX69" i="1"/>
  <c r="BY60" i="10"/>
  <c r="BW69" i="1"/>
  <c r="BW61" i="1"/>
  <c r="BR60" i="1"/>
  <c r="BK60" i="1"/>
  <c r="AR60" i="1"/>
  <c r="P60" i="1"/>
  <c r="AG60" i="1"/>
  <c r="AB60" i="1"/>
  <c r="Y60" i="1"/>
  <c r="O60" i="1"/>
  <c r="O60" i="10"/>
  <c r="AJ79" i="1" l="1"/>
  <c r="P79" i="1"/>
  <c r="Y59" i="1" l="1"/>
  <c r="CF79" i="10"/>
  <c r="CE79" i="10"/>
  <c r="E77" i="1" l="1"/>
  <c r="B138" i="1" l="1"/>
  <c r="C258" i="1" l="1"/>
  <c r="C157" i="1"/>
  <c r="B157" i="1"/>
  <c r="O73" i="1"/>
  <c r="E73" i="1" l="1"/>
  <c r="B141" i="1"/>
  <c r="AY51" i="1" l="1"/>
  <c r="AY68" i="1"/>
  <c r="AY64" i="1"/>
  <c r="AY60" i="1"/>
  <c r="C139" i="1" l="1"/>
  <c r="B139" i="1"/>
  <c r="C227" i="1" l="1"/>
  <c r="C197" i="1" l="1"/>
  <c r="C389" i="1"/>
  <c r="BP61" i="1" l="1"/>
  <c r="BS60" i="1"/>
  <c r="BR61" i="1"/>
  <c r="BV60" i="1"/>
  <c r="BV61" i="1"/>
  <c r="AJ59" i="1"/>
  <c r="B142" i="1" l="1"/>
  <c r="C142" i="1"/>
  <c r="D141" i="1"/>
  <c r="C141" i="1"/>
  <c r="BA61" i="1" l="1"/>
  <c r="AR59" i="1"/>
  <c r="AG59" i="1"/>
  <c r="AL59" i="1"/>
  <c r="AK59" i="1"/>
  <c r="AE60" i="1"/>
  <c r="AE59" i="1"/>
  <c r="AC60" i="1"/>
  <c r="AC61" i="1"/>
  <c r="Y61" i="1"/>
  <c r="U59" i="1"/>
  <c r="W59" i="1"/>
  <c r="X59" i="1"/>
  <c r="S61" i="1"/>
  <c r="C306" i="1"/>
  <c r="C378" i="1"/>
  <c r="C360" i="1"/>
  <c r="AB74" i="1" l="1"/>
  <c r="AB73" i="1"/>
  <c r="AJ74" i="1"/>
  <c r="AG74" i="1"/>
  <c r="AG73" i="1"/>
  <c r="AE74" i="1"/>
  <c r="AC74" i="1"/>
  <c r="Y74" i="1"/>
  <c r="Y73" i="1"/>
  <c r="U74" i="1"/>
  <c r="P74" i="1"/>
  <c r="P73" i="1"/>
  <c r="O74" i="1"/>
  <c r="BS64" i="1"/>
  <c r="BN64" i="1"/>
  <c r="AJ64" i="1"/>
  <c r="BY64" i="1"/>
  <c r="Y64" i="1"/>
  <c r="X64" i="1"/>
  <c r="W64" i="1"/>
  <c r="BP64" i="1" l="1"/>
  <c r="AG64" i="1"/>
  <c r="AE64" i="1"/>
  <c r="AB64" i="1"/>
  <c r="P64" i="1"/>
  <c r="O64" i="1"/>
  <c r="C176" i="1"/>
  <c r="C175" i="1"/>
  <c r="U68" i="1"/>
  <c r="AC68" i="1"/>
  <c r="AJ51" i="1" l="1"/>
  <c r="BR51" i="1"/>
  <c r="Y51" i="1"/>
  <c r="P51" i="1"/>
  <c r="C172" i="1" l="1"/>
  <c r="C168" i="1" l="1"/>
  <c r="E61" i="1" l="1"/>
  <c r="E74" i="1"/>
  <c r="C61" i="1" l="1"/>
  <c r="C74" i="1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E545" i="10"/>
  <c r="D545" i="10"/>
  <c r="B545" i="10"/>
  <c r="F545" i="10" s="1"/>
  <c r="F544" i="10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F538" i="10" s="1"/>
  <c r="D537" i="10"/>
  <c r="B537" i="10"/>
  <c r="F537" i="10" s="1"/>
  <c r="E536" i="10"/>
  <c r="D536" i="10"/>
  <c r="B536" i="10"/>
  <c r="F536" i="10" s="1"/>
  <c r="F535" i="10"/>
  <c r="E535" i="10"/>
  <c r="D535" i="10"/>
  <c r="B535" i="10"/>
  <c r="H535" i="10" s="1"/>
  <c r="E534" i="10"/>
  <c r="D534" i="10"/>
  <c r="B534" i="10"/>
  <c r="F534" i="10" s="1"/>
  <c r="H533" i="10"/>
  <c r="E533" i="10"/>
  <c r="D533" i="10"/>
  <c r="B533" i="10"/>
  <c r="F533" i="10" s="1"/>
  <c r="E532" i="10"/>
  <c r="D532" i="10"/>
  <c r="B532" i="10"/>
  <c r="F532" i="10" s="1"/>
  <c r="D531" i="10"/>
  <c r="B531" i="10"/>
  <c r="D530" i="10"/>
  <c r="B530" i="10"/>
  <c r="E529" i="10"/>
  <c r="D529" i="10"/>
  <c r="B529" i="10"/>
  <c r="F529" i="10" s="1"/>
  <c r="E528" i="10"/>
  <c r="D528" i="10"/>
  <c r="B528" i="10"/>
  <c r="F528" i="10" s="1"/>
  <c r="F527" i="10"/>
  <c r="E527" i="10"/>
  <c r="D527" i="10"/>
  <c r="B527" i="10"/>
  <c r="H527" i="10" s="1"/>
  <c r="D526" i="10"/>
  <c r="B526" i="10"/>
  <c r="F526" i="10" s="1"/>
  <c r="H525" i="10"/>
  <c r="E525" i="10"/>
  <c r="D525" i="10"/>
  <c r="B525" i="10"/>
  <c r="F525" i="10" s="1"/>
  <c r="D524" i="10"/>
  <c r="B524" i="10"/>
  <c r="F524" i="10" s="1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F519" i="10" s="1"/>
  <c r="D518" i="10"/>
  <c r="B518" i="10"/>
  <c r="F518" i="10" s="1"/>
  <c r="D517" i="10"/>
  <c r="F517" i="10" s="1"/>
  <c r="B517" i="10"/>
  <c r="E516" i="10"/>
  <c r="D516" i="10"/>
  <c r="B516" i="10"/>
  <c r="F516" i="10" s="1"/>
  <c r="E515" i="10"/>
  <c r="D515" i="10"/>
  <c r="B515" i="10"/>
  <c r="D514" i="10"/>
  <c r="B514" i="10"/>
  <c r="F513" i="10"/>
  <c r="B513" i="10"/>
  <c r="H513" i="10" s="1"/>
  <c r="F512" i="10"/>
  <c r="B512" i="10"/>
  <c r="E511" i="10"/>
  <c r="D511" i="10"/>
  <c r="B511" i="10"/>
  <c r="F511" i="10" s="1"/>
  <c r="E510" i="10"/>
  <c r="D510" i="10"/>
  <c r="B510" i="10"/>
  <c r="F510" i="10" s="1"/>
  <c r="D509" i="10"/>
  <c r="B509" i="10"/>
  <c r="F509" i="10" s="1"/>
  <c r="E508" i="10"/>
  <c r="D508" i="10"/>
  <c r="B508" i="10"/>
  <c r="H507" i="10"/>
  <c r="E507" i="10"/>
  <c r="D507" i="10"/>
  <c r="B507" i="10"/>
  <c r="F507" i="10" s="1"/>
  <c r="E506" i="10"/>
  <c r="D506" i="10"/>
  <c r="B506" i="10"/>
  <c r="F506" i="10" s="1"/>
  <c r="F505" i="10"/>
  <c r="E505" i="10"/>
  <c r="D505" i="10"/>
  <c r="B505" i="10"/>
  <c r="H505" i="10" s="1"/>
  <c r="E504" i="10"/>
  <c r="D504" i="10"/>
  <c r="B504" i="10"/>
  <c r="F504" i="10" s="1"/>
  <c r="E503" i="10"/>
  <c r="D503" i="10"/>
  <c r="B503" i="10"/>
  <c r="F503" i="10" s="1"/>
  <c r="E502" i="10"/>
  <c r="D502" i="10"/>
  <c r="B502" i="10"/>
  <c r="F502" i="10" s="1"/>
  <c r="F501" i="10"/>
  <c r="E501" i="10"/>
  <c r="D501" i="10"/>
  <c r="B501" i="10"/>
  <c r="H501" i="10" s="1"/>
  <c r="E500" i="10"/>
  <c r="D500" i="10"/>
  <c r="B500" i="10"/>
  <c r="F500" i="10" s="1"/>
  <c r="H499" i="10"/>
  <c r="E499" i="10"/>
  <c r="D499" i="10"/>
  <c r="B499" i="10"/>
  <c r="F499" i="10" s="1"/>
  <c r="D498" i="10"/>
  <c r="B498" i="10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8" i="10"/>
  <c r="B438" i="10"/>
  <c r="B437" i="10"/>
  <c r="B436" i="10"/>
  <c r="D435" i="10"/>
  <c r="B435" i="10"/>
  <c r="B434" i="10"/>
  <c r="B433" i="10"/>
  <c r="B432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A412" i="10"/>
  <c r="C389" i="10"/>
  <c r="C378" i="10"/>
  <c r="B427" i="10" s="1"/>
  <c r="D372" i="10"/>
  <c r="D368" i="10"/>
  <c r="D367" i="10"/>
  <c r="C448" i="10" s="1"/>
  <c r="D361" i="10"/>
  <c r="B465" i="10" s="1"/>
  <c r="D329" i="10"/>
  <c r="C325" i="10"/>
  <c r="D328" i="10" s="1"/>
  <c r="D330" i="10" s="1"/>
  <c r="D319" i="10"/>
  <c r="C307" i="10"/>
  <c r="C306" i="10"/>
  <c r="D290" i="10"/>
  <c r="D283" i="10"/>
  <c r="D275" i="10"/>
  <c r="D277" i="10" s="1"/>
  <c r="D265" i="10"/>
  <c r="D260" i="10"/>
  <c r="D240" i="10"/>
  <c r="B447" i="10" s="1"/>
  <c r="D236" i="10"/>
  <c r="B446" i="10" s="1"/>
  <c r="C227" i="10"/>
  <c r="D229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C203" i="10"/>
  <c r="E203" i="10" s="1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8" i="10" s="1"/>
  <c r="D177" i="10"/>
  <c r="D434" i="10" s="1"/>
  <c r="C168" i="10"/>
  <c r="D173" i="10" s="1"/>
  <c r="D428" i="10" s="1"/>
  <c r="C157" i="10"/>
  <c r="B157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B142" i="10"/>
  <c r="E142" i="10" s="1"/>
  <c r="C141" i="10"/>
  <c r="B141" i="10"/>
  <c r="E141" i="10" s="1"/>
  <c r="D463" i="10" s="1"/>
  <c r="E140" i="10"/>
  <c r="D139" i="10"/>
  <c r="B139" i="10"/>
  <c r="B138" i="10"/>
  <c r="E138" i="10" s="1"/>
  <c r="C414" i="10" s="1"/>
  <c r="E127" i="10"/>
  <c r="D111" i="10"/>
  <c r="B415" i="10" s="1"/>
  <c r="C111" i="10"/>
  <c r="B414" i="10" s="1"/>
  <c r="AJ80" i="10"/>
  <c r="CE80" i="10" s="1"/>
  <c r="L612" i="10" s="1"/>
  <c r="J612" i="10"/>
  <c r="CE78" i="10"/>
  <c r="I612" i="10" s="1"/>
  <c r="CE77" i="10"/>
  <c r="G612" i="10" s="1"/>
  <c r="BY76" i="10"/>
  <c r="BR76" i="10"/>
  <c r="BN76" i="10"/>
  <c r="BF76" i="10"/>
  <c r="BE76" i="10"/>
  <c r="AY76" i="10"/>
  <c r="AR76" i="10"/>
  <c r="AJ76" i="10"/>
  <c r="AC76" i="10"/>
  <c r="U76" i="10"/>
  <c r="AV75" i="10"/>
  <c r="AU75" i="10"/>
  <c r="AT75" i="10"/>
  <c r="AS75" i="10"/>
  <c r="AQ75" i="10"/>
  <c r="AP75" i="10"/>
  <c r="AO75" i="10"/>
  <c r="AN75" i="10"/>
  <c r="AM75" i="10"/>
  <c r="AL75" i="10"/>
  <c r="AK75" i="10"/>
  <c r="AI75" i="10"/>
  <c r="AH75" i="10"/>
  <c r="AG75" i="10"/>
  <c r="AF75" i="10"/>
  <c r="AD75" i="10"/>
  <c r="AB75" i="10"/>
  <c r="AA75" i="10"/>
  <c r="Z75" i="10"/>
  <c r="X75" i="10"/>
  <c r="W75" i="10"/>
  <c r="V75" i="10"/>
  <c r="U75" i="10"/>
  <c r="T75" i="10"/>
  <c r="S75" i="10"/>
  <c r="R75" i="10"/>
  <c r="Q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R74" i="10"/>
  <c r="AR75" i="10" s="1"/>
  <c r="AJ74" i="10"/>
  <c r="AG74" i="10"/>
  <c r="AE74" i="10"/>
  <c r="AC74" i="10"/>
  <c r="Y74" i="10"/>
  <c r="U74" i="10"/>
  <c r="P74" i="10"/>
  <c r="O74" i="10"/>
  <c r="CE74" i="10" s="1"/>
  <c r="C464" i="10" s="1"/>
  <c r="E74" i="10"/>
  <c r="AJ73" i="10"/>
  <c r="AJ75" i="10" s="1"/>
  <c r="AG73" i="10"/>
  <c r="AE73" i="10"/>
  <c r="AE75" i="10" s="1"/>
  <c r="AC73" i="10"/>
  <c r="Y73" i="10"/>
  <c r="Y75" i="10" s="1"/>
  <c r="P73" i="10"/>
  <c r="O73" i="10"/>
  <c r="O75" i="10" s="1"/>
  <c r="E73" i="10"/>
  <c r="CD71" i="10"/>
  <c r="C575" i="10" s="1"/>
  <c r="CE70" i="10"/>
  <c r="BY69" i="10"/>
  <c r="BX69" i="10"/>
  <c r="BW69" i="10"/>
  <c r="BV69" i="10"/>
  <c r="BR69" i="10"/>
  <c r="BP69" i="10"/>
  <c r="BO69" i="10"/>
  <c r="BN69" i="10"/>
  <c r="BL69" i="10"/>
  <c r="BK69" i="10"/>
  <c r="BJ69" i="10"/>
  <c r="BH69" i="10"/>
  <c r="BF69" i="10"/>
  <c r="BE69" i="10"/>
  <c r="BD69" i="10"/>
  <c r="AY69" i="10"/>
  <c r="AK69" i="10"/>
  <c r="AJ69" i="10"/>
  <c r="AE69" i="10"/>
  <c r="U69" i="10"/>
  <c r="S69" i="10"/>
  <c r="P69" i="10"/>
  <c r="O69" i="10"/>
  <c r="BO68" i="10"/>
  <c r="BN68" i="10"/>
  <c r="BE68" i="10"/>
  <c r="AR68" i="10"/>
  <c r="AJ68" i="10"/>
  <c r="AE68" i="10"/>
  <c r="AB68" i="10"/>
  <c r="Y68" i="10"/>
  <c r="U68" i="10"/>
  <c r="BY66" i="10"/>
  <c r="BS66" i="10"/>
  <c r="BR66" i="10"/>
  <c r="BP66" i="10"/>
  <c r="BO66" i="10"/>
  <c r="BN66" i="10"/>
  <c r="BJ66" i="10"/>
  <c r="BE66" i="10"/>
  <c r="BB66" i="10"/>
  <c r="BA66" i="10"/>
  <c r="AY66" i="10"/>
  <c r="AR66" i="10"/>
  <c r="AJ66" i="10"/>
  <c r="AE66" i="10"/>
  <c r="AC66" i="10"/>
  <c r="AB66" i="10"/>
  <c r="X66" i="10"/>
  <c r="U66" i="10"/>
  <c r="S66" i="10"/>
  <c r="R66" i="10"/>
  <c r="P66" i="10"/>
  <c r="O66" i="10"/>
  <c r="BO65" i="10"/>
  <c r="BH65" i="10"/>
  <c r="BE65" i="10"/>
  <c r="AJ65" i="10"/>
  <c r="CE65" i="10" s="1"/>
  <c r="C431" i="10" s="1"/>
  <c r="BY64" i="10"/>
  <c r="BS64" i="10"/>
  <c r="BR64" i="10"/>
  <c r="BO64" i="10"/>
  <c r="BN64" i="10"/>
  <c r="BL64" i="10"/>
  <c r="BE64" i="10"/>
  <c r="AY64" i="10"/>
  <c r="AR64" i="10"/>
  <c r="AL64" i="10"/>
  <c r="AK64" i="10"/>
  <c r="AJ64" i="10"/>
  <c r="AG64" i="10"/>
  <c r="AE64" i="10"/>
  <c r="AB64" i="10"/>
  <c r="U64" i="10"/>
  <c r="R64" i="10"/>
  <c r="P64" i="10"/>
  <c r="O64" i="10"/>
  <c r="BO63" i="10"/>
  <c r="BN63" i="10"/>
  <c r="BJ63" i="10"/>
  <c r="AJ63" i="10"/>
  <c r="U63" i="10"/>
  <c r="CE63" i="10" s="1"/>
  <c r="C429" i="10" s="1"/>
  <c r="BS61" i="10"/>
  <c r="BR61" i="10"/>
  <c r="BO61" i="10"/>
  <c r="BN61" i="10"/>
  <c r="BK61" i="10"/>
  <c r="BE61" i="10"/>
  <c r="BB61" i="10"/>
  <c r="AY61" i="10"/>
  <c r="AR61" i="10"/>
  <c r="AJ61" i="10"/>
  <c r="AG61" i="10"/>
  <c r="AE61" i="10"/>
  <c r="AC61" i="10"/>
  <c r="AB61" i="10"/>
  <c r="Y61" i="10"/>
  <c r="U61" i="10"/>
  <c r="S61" i="10"/>
  <c r="P61" i="10"/>
  <c r="O61" i="10"/>
  <c r="E61" i="10"/>
  <c r="C61" i="10"/>
  <c r="BR60" i="10"/>
  <c r="BO60" i="10"/>
  <c r="BN60" i="10"/>
  <c r="AY60" i="10"/>
  <c r="AR60" i="10"/>
  <c r="AJ60" i="10"/>
  <c r="AG60" i="10"/>
  <c r="AE60" i="10"/>
  <c r="AB60" i="10"/>
  <c r="Y60" i="10"/>
  <c r="U60" i="10"/>
  <c r="P60" i="10"/>
  <c r="AR59" i="10"/>
  <c r="E537" i="10" s="1"/>
  <c r="AL59" i="10"/>
  <c r="E531" i="10" s="1"/>
  <c r="AK59" i="10"/>
  <c r="E530" i="10" s="1"/>
  <c r="AG59" i="10"/>
  <c r="E526" i="10" s="1"/>
  <c r="AE59" i="10"/>
  <c r="E524" i="10" s="1"/>
  <c r="Y59" i="10"/>
  <c r="E518" i="10" s="1"/>
  <c r="X59" i="10"/>
  <c r="E517" i="10" s="1"/>
  <c r="U59" i="10"/>
  <c r="E514" i="10" s="1"/>
  <c r="P59" i="10"/>
  <c r="E509" i="10" s="1"/>
  <c r="E59" i="10"/>
  <c r="B53" i="10"/>
  <c r="BY51" i="10"/>
  <c r="BR51" i="10"/>
  <c r="BO51" i="10"/>
  <c r="BN51" i="10"/>
  <c r="AJ51" i="10"/>
  <c r="Y51" i="10"/>
  <c r="P51" i="10"/>
  <c r="CE51" i="10" s="1"/>
  <c r="B49" i="10"/>
  <c r="CE47" i="10"/>
  <c r="D390" i="10" l="1"/>
  <c r="B441" i="10" s="1"/>
  <c r="D464" i="10"/>
  <c r="E217" i="10"/>
  <c r="C478" i="10" s="1"/>
  <c r="F497" i="10"/>
  <c r="H504" i="10"/>
  <c r="H511" i="10"/>
  <c r="H538" i="10"/>
  <c r="CE64" i="10"/>
  <c r="F612" i="10" s="1"/>
  <c r="D292" i="10"/>
  <c r="D341" i="10" s="1"/>
  <c r="C481" i="10" s="1"/>
  <c r="B476" i="10"/>
  <c r="F498" i="10"/>
  <c r="H520" i="10"/>
  <c r="F523" i="10"/>
  <c r="CE60" i="10"/>
  <c r="H612" i="10" s="1"/>
  <c r="AC75" i="10"/>
  <c r="CE75" i="10" s="1"/>
  <c r="K612" i="10" s="1"/>
  <c r="H500" i="10"/>
  <c r="E139" i="10"/>
  <c r="C415" i="10" s="1"/>
  <c r="F522" i="10"/>
  <c r="H534" i="10"/>
  <c r="P75" i="10"/>
  <c r="CE68" i="10"/>
  <c r="C434" i="10" s="1"/>
  <c r="E204" i="10"/>
  <c r="C476" i="10" s="1"/>
  <c r="D242" i="10"/>
  <c r="B448" i="10" s="1"/>
  <c r="D373" i="10"/>
  <c r="D391" i="10" s="1"/>
  <c r="D393" i="10" s="1"/>
  <c r="D396" i="10" s="1"/>
  <c r="F508" i="10"/>
  <c r="F539" i="10"/>
  <c r="CE66" i="10"/>
  <c r="C432" i="10" s="1"/>
  <c r="CE73" i="10"/>
  <c r="C463" i="10" s="1"/>
  <c r="D314" i="10"/>
  <c r="D339" i="10" s="1"/>
  <c r="C482" i="10" s="1"/>
  <c r="F514" i="10"/>
  <c r="H519" i="10"/>
  <c r="F530" i="10"/>
  <c r="B445" i="10"/>
  <c r="CE61" i="10"/>
  <c r="B439" i="10"/>
  <c r="B440" i="10" s="1"/>
  <c r="C458" i="10"/>
  <c r="D465" i="10"/>
  <c r="E498" i="10"/>
  <c r="D415" i="10"/>
  <c r="CE69" i="10"/>
  <c r="C440" i="10" s="1"/>
  <c r="C439" i="10"/>
  <c r="CE76" i="10"/>
  <c r="F515" i="10"/>
  <c r="F531" i="10"/>
  <c r="C468" i="10"/>
  <c r="H502" i="10"/>
  <c r="H506" i="10"/>
  <c r="H528" i="10"/>
  <c r="H532" i="10"/>
  <c r="H536" i="10"/>
  <c r="H540" i="10"/>
  <c r="H545" i="10"/>
  <c r="CF77" i="10"/>
  <c r="B575" i="1"/>
  <c r="F493" i="1"/>
  <c r="D493" i="1"/>
  <c r="B493" i="1"/>
  <c r="C430" i="10" l="1"/>
  <c r="C465" i="10"/>
  <c r="CF76" i="10"/>
  <c r="BZ52" i="10" s="1"/>
  <c r="BZ67" i="10" s="1"/>
  <c r="BN52" i="10"/>
  <c r="BN67" i="10" s="1"/>
  <c r="BF52" i="10"/>
  <c r="BF67" i="10" s="1"/>
  <c r="BB52" i="10"/>
  <c r="BB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J52" i="10"/>
  <c r="J67" i="10" s="1"/>
  <c r="F52" i="10"/>
  <c r="F67" i="10" s="1"/>
  <c r="CC52" i="10"/>
  <c r="CC67" i="10" s="1"/>
  <c r="BY52" i="10"/>
  <c r="BY67" i="10" s="1"/>
  <c r="BQ52" i="10"/>
  <c r="BQ67" i="10" s="1"/>
  <c r="BM52" i="10"/>
  <c r="BM67" i="10" s="1"/>
  <c r="AO52" i="10"/>
  <c r="AO67" i="10" s="1"/>
  <c r="AK52" i="10"/>
  <c r="AK67" i="10" s="1"/>
  <c r="AC52" i="10"/>
  <c r="AC67" i="10" s="1"/>
  <c r="Y52" i="10"/>
  <c r="Y67" i="10" s="1"/>
  <c r="Q52" i="10"/>
  <c r="Q67" i="10" s="1"/>
  <c r="I52" i="10"/>
  <c r="I67" i="10" s="1"/>
  <c r="BH52" i="10"/>
  <c r="BH67" i="10" s="1"/>
  <c r="AZ52" i="10"/>
  <c r="AZ67" i="10" s="1"/>
  <c r="AN52" i="10"/>
  <c r="AN67" i="10" s="1"/>
  <c r="AF52" i="10"/>
  <c r="AF67" i="10" s="1"/>
  <c r="T52" i="10"/>
  <c r="T67" i="10" s="1"/>
  <c r="H52" i="10"/>
  <c r="H67" i="10" s="1"/>
  <c r="D612" i="10"/>
  <c r="BS52" i="10"/>
  <c r="BS67" i="10" s="1"/>
  <c r="BK52" i="10"/>
  <c r="BK67" i="10" s="1"/>
  <c r="BC52" i="10"/>
  <c r="BC67" i="10" s="1"/>
  <c r="AU52" i="10"/>
  <c r="AU67" i="10" s="1"/>
  <c r="AI52" i="10"/>
  <c r="AI67" i="10" s="1"/>
  <c r="AA52" i="10"/>
  <c r="AA67" i="10" s="1"/>
  <c r="C52" i="10"/>
  <c r="BU52" i="10"/>
  <c r="BU67" i="10" s="1"/>
  <c r="BI52" i="10"/>
  <c r="BI67" i="10" s="1"/>
  <c r="BA52" i="10"/>
  <c r="BA67" i="10" s="1"/>
  <c r="AS52" i="10"/>
  <c r="AS67" i="10" s="1"/>
  <c r="AG52" i="10"/>
  <c r="AG67" i="10" s="1"/>
  <c r="U52" i="10"/>
  <c r="U67" i="10" s="1"/>
  <c r="E52" i="10"/>
  <c r="E67" i="10" s="1"/>
  <c r="CB52" i="10"/>
  <c r="CB67" i="10" s="1"/>
  <c r="BP52" i="10"/>
  <c r="BP67" i="10" s="1"/>
  <c r="BD52" i="10"/>
  <c r="BD67" i="10" s="1"/>
  <c r="AR52" i="10"/>
  <c r="AR67" i="10" s="1"/>
  <c r="AB52" i="10"/>
  <c r="AB67" i="10" s="1"/>
  <c r="L52" i="10"/>
  <c r="L67" i="10" s="1"/>
  <c r="BO52" i="10"/>
  <c r="BO67" i="10" s="1"/>
  <c r="AQ52" i="10"/>
  <c r="AQ67" i="10" s="1"/>
  <c r="O52" i="10"/>
  <c r="O67" i="10" s="1"/>
  <c r="BL52" i="10"/>
  <c r="BL67" i="10" s="1"/>
  <c r="AV52" i="10"/>
  <c r="AV67" i="10" s="1"/>
  <c r="AJ52" i="10"/>
  <c r="AJ67" i="10" s="1"/>
  <c r="X52" i="10"/>
  <c r="X67" i="10" s="1"/>
  <c r="P52" i="10"/>
  <c r="P67" i="10" s="1"/>
  <c r="D52" i="10"/>
  <c r="D67" i="10" s="1"/>
  <c r="BW52" i="10"/>
  <c r="BW67" i="10" s="1"/>
  <c r="BG52" i="10"/>
  <c r="BG67" i="10" s="1"/>
  <c r="AY52" i="10"/>
  <c r="AY67" i="10" s="1"/>
  <c r="AM52" i="10"/>
  <c r="AM67" i="10" s="1"/>
  <c r="AE52" i="10"/>
  <c r="AE67" i="10" s="1"/>
  <c r="W52" i="10"/>
  <c r="W67" i="10" s="1"/>
  <c r="G52" i="10"/>
  <c r="G67" i="10" s="1"/>
  <c r="C427" i="10"/>
  <c r="CA48" i="10"/>
  <c r="CA62" i="10" s="1"/>
  <c r="BW48" i="10"/>
  <c r="BW62" i="10" s="1"/>
  <c r="BW71" i="10" s="1"/>
  <c r="BS48" i="10"/>
  <c r="BS62" i="10" s="1"/>
  <c r="BO48" i="10"/>
  <c r="BO62" i="10" s="1"/>
  <c r="BO71" i="10" s="1"/>
  <c r="M797" i="10" s="1"/>
  <c r="BK48" i="10"/>
  <c r="BK62" i="10" s="1"/>
  <c r="BG48" i="10"/>
  <c r="BG62" i="10" s="1"/>
  <c r="BG71" i="10" s="1"/>
  <c r="BC48" i="10"/>
  <c r="BC62" i="10" s="1"/>
  <c r="BC71" i="10" s="1"/>
  <c r="AY48" i="10"/>
  <c r="AY62" i="10" s="1"/>
  <c r="AU48" i="10"/>
  <c r="AU62" i="10" s="1"/>
  <c r="AQ48" i="10"/>
  <c r="AQ62" i="10" s="1"/>
  <c r="AQ71" i="10" s="1"/>
  <c r="M773" i="10" s="1"/>
  <c r="AM48" i="10"/>
  <c r="AM62" i="10" s="1"/>
  <c r="AI48" i="10"/>
  <c r="AI62" i="10" s="1"/>
  <c r="E765" i="10" s="1"/>
  <c r="AE48" i="10"/>
  <c r="AE62" i="10" s="1"/>
  <c r="AE71" i="10" s="1"/>
  <c r="AA48" i="10"/>
  <c r="AA62" i="10" s="1"/>
  <c r="AA71" i="10" s="1"/>
  <c r="W48" i="10"/>
  <c r="W62" i="10" s="1"/>
  <c r="S48" i="10"/>
  <c r="S62" i="10" s="1"/>
  <c r="O48" i="10"/>
  <c r="O62" i="10" s="1"/>
  <c r="K48" i="10"/>
  <c r="K62" i="10" s="1"/>
  <c r="G48" i="10"/>
  <c r="G62" i="10" s="1"/>
  <c r="G71" i="10" s="1"/>
  <c r="C48" i="10"/>
  <c r="BV48" i="10"/>
  <c r="BV62" i="10" s="1"/>
  <c r="BR48" i="10"/>
  <c r="BR62" i="10" s="1"/>
  <c r="BJ48" i="10"/>
  <c r="BJ62" i="10" s="1"/>
  <c r="BF48" i="10"/>
  <c r="BF62" i="10" s="1"/>
  <c r="AX48" i="10"/>
  <c r="AX62" i="10" s="1"/>
  <c r="AL48" i="10"/>
  <c r="AL62" i="10" s="1"/>
  <c r="AL71" i="10" s="1"/>
  <c r="AD48" i="10"/>
  <c r="AD62" i="10" s="1"/>
  <c r="V48" i="10"/>
  <c r="V62" i="10" s="1"/>
  <c r="N48" i="10"/>
  <c r="N62" i="10" s="1"/>
  <c r="F48" i="10"/>
  <c r="F62" i="10" s="1"/>
  <c r="F71" i="10" s="1"/>
  <c r="BU48" i="10"/>
  <c r="BU62" i="10" s="1"/>
  <c r="BI48" i="10"/>
  <c r="BI62" i="10" s="1"/>
  <c r="BI71" i="10" s="1"/>
  <c r="BA48" i="10"/>
  <c r="BA62" i="10" s="1"/>
  <c r="AO48" i="10"/>
  <c r="AO62" i="10" s="1"/>
  <c r="AO71" i="10" s="1"/>
  <c r="AC48" i="10"/>
  <c r="AC62" i="10" s="1"/>
  <c r="AC71" i="10" s="1"/>
  <c r="U48" i="10"/>
  <c r="U62" i="10" s="1"/>
  <c r="U71" i="10" s="1"/>
  <c r="M48" i="10"/>
  <c r="M62" i="10" s="1"/>
  <c r="E48" i="10"/>
  <c r="E62" i="10" s="1"/>
  <c r="E71" i="10" s="1"/>
  <c r="M735" i="10" s="1"/>
  <c r="CB48" i="10"/>
  <c r="CB62" i="10" s="1"/>
  <c r="BT48" i="10"/>
  <c r="BT62" i="10" s="1"/>
  <c r="BL48" i="10"/>
  <c r="BL62" i="10" s="1"/>
  <c r="BL71" i="10" s="1"/>
  <c r="AZ48" i="10"/>
  <c r="AZ62" i="10" s="1"/>
  <c r="AZ71" i="10" s="1"/>
  <c r="AR48" i="10"/>
  <c r="AR62" i="10" s="1"/>
  <c r="AJ48" i="10"/>
  <c r="AJ62" i="10" s="1"/>
  <c r="AB48" i="10"/>
  <c r="AB62" i="10" s="1"/>
  <c r="T48" i="10"/>
  <c r="T62" i="10" s="1"/>
  <c r="T71" i="10" s="1"/>
  <c r="H48" i="10"/>
  <c r="H62" i="10" s="1"/>
  <c r="BZ48" i="10"/>
  <c r="BZ62" i="10" s="1"/>
  <c r="BN48" i="10"/>
  <c r="BN62" i="10" s="1"/>
  <c r="BB48" i="10"/>
  <c r="BB62" i="10" s="1"/>
  <c r="BB71" i="10" s="1"/>
  <c r="AT48" i="10"/>
  <c r="AT62" i="10" s="1"/>
  <c r="AP48" i="10"/>
  <c r="AP62" i="10" s="1"/>
  <c r="AH48" i="10"/>
  <c r="AH62" i="10" s="1"/>
  <c r="AH71" i="10" s="1"/>
  <c r="Z48" i="10"/>
  <c r="Z62" i="10" s="1"/>
  <c r="Z71" i="10" s="1"/>
  <c r="M756" i="10" s="1"/>
  <c r="R48" i="10"/>
  <c r="R62" i="10" s="1"/>
  <c r="J48" i="10"/>
  <c r="J62" i="10" s="1"/>
  <c r="BY48" i="10"/>
  <c r="BY62" i="10" s="1"/>
  <c r="BM48" i="10"/>
  <c r="BM62" i="10" s="1"/>
  <c r="BM71" i="10" s="1"/>
  <c r="AW48" i="10"/>
  <c r="AW62" i="10" s="1"/>
  <c r="AG48" i="10"/>
  <c r="AG62" i="10" s="1"/>
  <c r="Q48" i="10"/>
  <c r="Q62" i="10" s="1"/>
  <c r="Q71" i="10" s="1"/>
  <c r="BD48" i="10"/>
  <c r="BD62" i="10" s="1"/>
  <c r="AF48" i="10"/>
  <c r="AF62" i="10" s="1"/>
  <c r="L48" i="10"/>
  <c r="L62" i="10" s="1"/>
  <c r="L71" i="10" s="1"/>
  <c r="CC48" i="10"/>
  <c r="CC62" i="10" s="1"/>
  <c r="CC71" i="10" s="1"/>
  <c r="M811" i="10" s="1"/>
  <c r="BQ48" i="10"/>
  <c r="BQ62" i="10" s="1"/>
  <c r="BQ71" i="10" s="1"/>
  <c r="M799" i="10" s="1"/>
  <c r="BE48" i="10"/>
  <c r="BE62" i="10" s="1"/>
  <c r="AS48" i="10"/>
  <c r="AS62" i="10" s="1"/>
  <c r="AK48" i="10"/>
  <c r="AK62" i="10" s="1"/>
  <c r="Y48" i="10"/>
  <c r="Y62" i="10" s="1"/>
  <c r="I48" i="10"/>
  <c r="I62" i="10" s="1"/>
  <c r="BX48" i="10"/>
  <c r="BX62" i="10" s="1"/>
  <c r="BP48" i="10"/>
  <c r="BP62" i="10" s="1"/>
  <c r="BP71" i="10" s="1"/>
  <c r="BH48" i="10"/>
  <c r="BH62" i="10" s="1"/>
  <c r="BH71" i="10" s="1"/>
  <c r="AV48" i="10"/>
  <c r="AV62" i="10" s="1"/>
  <c r="AN48" i="10"/>
  <c r="AN62" i="10" s="1"/>
  <c r="AN71" i="10" s="1"/>
  <c r="X48" i="10"/>
  <c r="X62" i="10" s="1"/>
  <c r="P48" i="10"/>
  <c r="P62" i="10" s="1"/>
  <c r="P71" i="10" s="1"/>
  <c r="M746" i="10" s="1"/>
  <c r="D48" i="10"/>
  <c r="D62" i="10" s="1"/>
  <c r="D71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K814" i="10" s="1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769" i="10"/>
  <c r="E785" i="10"/>
  <c r="E801" i="10"/>
  <c r="E761" i="10"/>
  <c r="E809" i="10"/>
  <c r="E777" i="10"/>
  <c r="E742" i="10"/>
  <c r="E738" i="10"/>
  <c r="D815" i="10"/>
  <c r="E781" i="10"/>
  <c r="E787" i="10"/>
  <c r="E734" i="10"/>
  <c r="BI729" i="10"/>
  <c r="R815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D816" i="1" s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N748" i="1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2" i="1"/>
  <c r="N755" i="1"/>
  <c r="N761" i="1"/>
  <c r="N762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1" i="1"/>
  <c r="B438" i="1"/>
  <c r="B440" i="1" s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N766" i="1"/>
  <c r="N743" i="1"/>
  <c r="N769" i="1"/>
  <c r="N758" i="1"/>
  <c r="F12" i="6"/>
  <c r="C469" i="1"/>
  <c r="F8" i="6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CF77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22" i="1"/>
  <c r="CD71" i="1"/>
  <c r="N757" i="1"/>
  <c r="K816" i="1"/>
  <c r="C615" i="1"/>
  <c r="V815" i="1"/>
  <c r="C120" i="8"/>
  <c r="E372" i="9"/>
  <c r="I372" i="9"/>
  <c r="M816" i="1"/>
  <c r="G612" i="1"/>
  <c r="N753" i="1" l="1"/>
  <c r="N777" i="1"/>
  <c r="Y71" i="10"/>
  <c r="M755" i="10" s="1"/>
  <c r="BD71" i="10"/>
  <c r="M786" i="10" s="1"/>
  <c r="BV71" i="10"/>
  <c r="M804" i="10" s="1"/>
  <c r="AV71" i="10"/>
  <c r="M778" i="10" s="1"/>
  <c r="AD71" i="10"/>
  <c r="M760" i="10" s="1"/>
  <c r="AM71" i="10"/>
  <c r="M769" i="10" s="1"/>
  <c r="BR52" i="10"/>
  <c r="BR67" i="10" s="1"/>
  <c r="BR71" i="10" s="1"/>
  <c r="N760" i="1"/>
  <c r="D186" i="9"/>
  <c r="E797" i="10"/>
  <c r="BV52" i="10"/>
  <c r="BV67" i="10" s="1"/>
  <c r="BY71" i="10"/>
  <c r="M807" i="10" s="1"/>
  <c r="BN71" i="10"/>
  <c r="M796" i="10" s="1"/>
  <c r="BA71" i="10"/>
  <c r="M783" i="10" s="1"/>
  <c r="AX71" i="10"/>
  <c r="M780" i="10" s="1"/>
  <c r="AU71" i="10"/>
  <c r="M777" i="10" s="1"/>
  <c r="C90" i="9"/>
  <c r="BT71" i="10"/>
  <c r="M802" i="10" s="1"/>
  <c r="AY71" i="10"/>
  <c r="M781" i="10" s="1"/>
  <c r="M52" i="10"/>
  <c r="M67" i="10" s="1"/>
  <c r="M71" i="10" s="1"/>
  <c r="K52" i="10"/>
  <c r="K67" i="10" s="1"/>
  <c r="K71" i="10" s="1"/>
  <c r="CA52" i="10"/>
  <c r="CA67" i="10" s="1"/>
  <c r="CA71" i="10" s="1"/>
  <c r="BT52" i="10"/>
  <c r="BT67" i="10" s="1"/>
  <c r="AW52" i="10"/>
  <c r="AW67" i="10" s="1"/>
  <c r="AW71" i="10" s="1"/>
  <c r="N52" i="10"/>
  <c r="N67" i="10" s="1"/>
  <c r="N71" i="10" s="1"/>
  <c r="AT52" i="10"/>
  <c r="AT67" i="10" s="1"/>
  <c r="AT71" i="10" s="1"/>
  <c r="N765" i="1"/>
  <c r="AF71" i="10"/>
  <c r="M762" i="10" s="1"/>
  <c r="S52" i="10"/>
  <c r="S67" i="10" s="1"/>
  <c r="S71" i="10" s="1"/>
  <c r="BX52" i="10"/>
  <c r="BX67" i="10" s="1"/>
  <c r="BX71" i="10" s="1"/>
  <c r="BE52" i="10"/>
  <c r="BE67" i="10" s="1"/>
  <c r="BE71" i="10" s="1"/>
  <c r="R52" i="10"/>
  <c r="R67" i="10" s="1"/>
  <c r="R71" i="10" s="1"/>
  <c r="AX52" i="10"/>
  <c r="AX67" i="10" s="1"/>
  <c r="I380" i="9"/>
  <c r="F815" i="1"/>
  <c r="I381" i="9"/>
  <c r="Q816" i="1"/>
  <c r="B10" i="4"/>
  <c r="C417" i="1"/>
  <c r="I366" i="9"/>
  <c r="D13" i="7"/>
  <c r="F10" i="4"/>
  <c r="BQ48" i="1"/>
  <c r="BQ62" i="1" s="1"/>
  <c r="F300" i="9" s="1"/>
  <c r="AG48" i="1"/>
  <c r="AG62" i="1" s="1"/>
  <c r="E140" i="9" s="1"/>
  <c r="AZ48" i="1"/>
  <c r="AZ62" i="1" s="1"/>
  <c r="C236" i="9" s="1"/>
  <c r="BP48" i="1"/>
  <c r="BP62" i="1" s="1"/>
  <c r="E799" i="1" s="1"/>
  <c r="Z48" i="1"/>
  <c r="Z62" i="1" s="1"/>
  <c r="E757" i="1" s="1"/>
  <c r="BW48" i="1"/>
  <c r="BW62" i="1" s="1"/>
  <c r="E806" i="1" s="1"/>
  <c r="F48" i="1"/>
  <c r="F62" i="1" s="1"/>
  <c r="F12" i="9" s="1"/>
  <c r="N48" i="1"/>
  <c r="N62" i="1" s="1"/>
  <c r="G44" i="9" s="1"/>
  <c r="BJ48" i="1"/>
  <c r="BJ62" i="1" s="1"/>
  <c r="F268" i="9" s="1"/>
  <c r="Q48" i="1"/>
  <c r="Q62" i="1" s="1"/>
  <c r="E748" i="1" s="1"/>
  <c r="AB48" i="1"/>
  <c r="AB62" i="1" s="1"/>
  <c r="G108" i="9" s="1"/>
  <c r="D815" i="1"/>
  <c r="AF48" i="1"/>
  <c r="AF62" i="1" s="1"/>
  <c r="E763" i="1" s="1"/>
  <c r="BT48" i="1"/>
  <c r="BT62" i="1" s="1"/>
  <c r="E803" i="1" s="1"/>
  <c r="C48" i="1"/>
  <c r="C62" i="1" s="1"/>
  <c r="E734" i="1" s="1"/>
  <c r="K48" i="1"/>
  <c r="K62" i="1" s="1"/>
  <c r="E742" i="1" s="1"/>
  <c r="BE48" i="1"/>
  <c r="BE62" i="1" s="1"/>
  <c r="H236" i="9" s="1"/>
  <c r="AN48" i="1"/>
  <c r="AN62" i="1" s="1"/>
  <c r="E172" i="9" s="1"/>
  <c r="BY48" i="1"/>
  <c r="BY62" i="1" s="1"/>
  <c r="G332" i="9" s="1"/>
  <c r="AI48" i="1"/>
  <c r="AI62" i="1" s="1"/>
  <c r="E766" i="1" s="1"/>
  <c r="BU48" i="1"/>
  <c r="BU62" i="1" s="1"/>
  <c r="E804" i="1" s="1"/>
  <c r="BS48" i="1"/>
  <c r="BS62" i="1" s="1"/>
  <c r="E802" i="1" s="1"/>
  <c r="AX48" i="1"/>
  <c r="AX62" i="1" s="1"/>
  <c r="E781" i="1" s="1"/>
  <c r="BO48" i="1"/>
  <c r="BO62" i="1" s="1"/>
  <c r="D300" i="9" s="1"/>
  <c r="AK48" i="1"/>
  <c r="AK62" i="1" s="1"/>
  <c r="E768" i="1" s="1"/>
  <c r="C33" i="8"/>
  <c r="B476" i="1"/>
  <c r="D330" i="1"/>
  <c r="C86" i="8" s="1"/>
  <c r="B441" i="1"/>
  <c r="G122" i="9"/>
  <c r="N768" i="1"/>
  <c r="I377" i="9"/>
  <c r="N747" i="1"/>
  <c r="H58" i="9"/>
  <c r="C434" i="1"/>
  <c r="G816" i="1"/>
  <c r="C430" i="1"/>
  <c r="J48" i="1"/>
  <c r="J62" i="1" s="1"/>
  <c r="C44" i="9" s="1"/>
  <c r="AD48" i="1"/>
  <c r="AD62" i="1" s="1"/>
  <c r="I108" i="9" s="1"/>
  <c r="AP48" i="1"/>
  <c r="AP62" i="1" s="1"/>
  <c r="E773" i="1" s="1"/>
  <c r="BH48" i="1"/>
  <c r="BH62" i="1" s="1"/>
  <c r="BR48" i="1"/>
  <c r="BR62" i="1" s="1"/>
  <c r="E801" i="1" s="1"/>
  <c r="CA48" i="1"/>
  <c r="CA62" i="1" s="1"/>
  <c r="I332" i="9" s="1"/>
  <c r="AA48" i="1"/>
  <c r="AA62" i="1" s="1"/>
  <c r="F108" i="9" s="1"/>
  <c r="BM48" i="1"/>
  <c r="BM62" i="1" s="1"/>
  <c r="I268" i="9" s="1"/>
  <c r="BA48" i="1"/>
  <c r="BA62" i="1" s="1"/>
  <c r="D236" i="9" s="1"/>
  <c r="BI48" i="1"/>
  <c r="BI62" i="1" s="1"/>
  <c r="AU48" i="1"/>
  <c r="AU62" i="1" s="1"/>
  <c r="E778" i="1" s="1"/>
  <c r="R48" i="1"/>
  <c r="R62" i="1" s="1"/>
  <c r="AH48" i="1"/>
  <c r="AH62" i="1" s="1"/>
  <c r="E765" i="1" s="1"/>
  <c r="AR48" i="1"/>
  <c r="AR62" i="1" s="1"/>
  <c r="BB48" i="1"/>
  <c r="BB62" i="1" s="1"/>
  <c r="E236" i="9" s="1"/>
  <c r="BV48" i="1"/>
  <c r="BV62" i="1" s="1"/>
  <c r="D332" i="9" s="1"/>
  <c r="CC48" i="1"/>
  <c r="CC62" i="1" s="1"/>
  <c r="E812" i="1" s="1"/>
  <c r="AO48" i="1"/>
  <c r="AO62" i="1" s="1"/>
  <c r="E772" i="1" s="1"/>
  <c r="E48" i="1"/>
  <c r="E62" i="1" s="1"/>
  <c r="E12" i="9" s="1"/>
  <c r="O48" i="1"/>
  <c r="O62" i="1" s="1"/>
  <c r="E746" i="1" s="1"/>
  <c r="G48" i="1"/>
  <c r="G62" i="1" s="1"/>
  <c r="G12" i="9" s="1"/>
  <c r="D48" i="1"/>
  <c r="D62" i="1" s="1"/>
  <c r="D12" i="9" s="1"/>
  <c r="AS48" i="1"/>
  <c r="AS62" i="1" s="1"/>
  <c r="V48" i="1"/>
  <c r="V62" i="1" s="1"/>
  <c r="E753" i="1" s="1"/>
  <c r="AJ48" i="1"/>
  <c r="AJ62" i="1" s="1"/>
  <c r="E767" i="1" s="1"/>
  <c r="AT48" i="1"/>
  <c r="AT62" i="1" s="1"/>
  <c r="D204" i="9" s="1"/>
  <c r="BD48" i="1"/>
  <c r="BD62" i="1" s="1"/>
  <c r="BL48" i="1"/>
  <c r="BL62" i="1" s="1"/>
  <c r="H268" i="9" s="1"/>
  <c r="AY48" i="1"/>
  <c r="AY62" i="1" s="1"/>
  <c r="E782" i="1" s="1"/>
  <c r="I48" i="1"/>
  <c r="I62" i="1" s="1"/>
  <c r="I12" i="9" s="1"/>
  <c r="AW48" i="1"/>
  <c r="AW62" i="1" s="1"/>
  <c r="G204" i="9" s="1"/>
  <c r="U48" i="1"/>
  <c r="U62" i="1" s="1"/>
  <c r="L48" i="1"/>
  <c r="L62" i="1" s="1"/>
  <c r="W48" i="1"/>
  <c r="W62" i="1" s="1"/>
  <c r="I76" i="9" s="1"/>
  <c r="AL48" i="1"/>
  <c r="AL62" i="1" s="1"/>
  <c r="C172" i="9" s="1"/>
  <c r="AV48" i="1"/>
  <c r="AV62" i="1" s="1"/>
  <c r="F204" i="9" s="1"/>
  <c r="BF48" i="1"/>
  <c r="BF62" i="1" s="1"/>
  <c r="E789" i="1" s="1"/>
  <c r="BN48" i="1"/>
  <c r="BN62" i="1" s="1"/>
  <c r="C300" i="9" s="1"/>
  <c r="BX48" i="1"/>
  <c r="BX62" i="1" s="1"/>
  <c r="BG48" i="1"/>
  <c r="BG62" i="1" s="1"/>
  <c r="AE48" i="1"/>
  <c r="AE62" i="1" s="1"/>
  <c r="C140" i="9" s="1"/>
  <c r="X48" i="1"/>
  <c r="X62" i="1" s="1"/>
  <c r="C108" i="9" s="1"/>
  <c r="C690" i="10"/>
  <c r="C518" i="10"/>
  <c r="B518" i="1"/>
  <c r="C638" i="10"/>
  <c r="C558" i="10"/>
  <c r="B558" i="1"/>
  <c r="C685" i="10"/>
  <c r="C513" i="10"/>
  <c r="G513" i="10" s="1"/>
  <c r="B513" i="1"/>
  <c r="C499" i="10"/>
  <c r="G499" i="10" s="1"/>
  <c r="C671" i="10"/>
  <c r="B499" i="1"/>
  <c r="C643" i="10"/>
  <c r="C568" i="10"/>
  <c r="B568" i="1"/>
  <c r="M795" i="10"/>
  <c r="X71" i="10"/>
  <c r="C561" i="10"/>
  <c r="C621" i="10"/>
  <c r="B561" i="1"/>
  <c r="AK71" i="10"/>
  <c r="C620" i="10"/>
  <c r="C574" i="10"/>
  <c r="B574" i="1"/>
  <c r="C682" i="10"/>
  <c r="C510" i="10"/>
  <c r="B510" i="1"/>
  <c r="C645" i="10"/>
  <c r="C570" i="10"/>
  <c r="B570" i="1"/>
  <c r="C699" i="10"/>
  <c r="C527" i="10"/>
  <c r="G527" i="10" s="1"/>
  <c r="B527" i="1"/>
  <c r="C559" i="10"/>
  <c r="C619" i="10"/>
  <c r="B559" i="1"/>
  <c r="AB71" i="10"/>
  <c r="C637" i="10"/>
  <c r="C557" i="10"/>
  <c r="B557" i="1"/>
  <c r="C630" i="10"/>
  <c r="C546" i="10"/>
  <c r="B546" i="1"/>
  <c r="B567" i="1"/>
  <c r="O71" i="10"/>
  <c r="C696" i="10"/>
  <c r="C524" i="10"/>
  <c r="B524" i="1"/>
  <c r="C712" i="10"/>
  <c r="C540" i="10"/>
  <c r="G540" i="10" s="1"/>
  <c r="B540" i="1"/>
  <c r="BK71" i="10"/>
  <c r="C67" i="10"/>
  <c r="C636" i="10"/>
  <c r="C553" i="10"/>
  <c r="B553" i="1"/>
  <c r="C624" i="10"/>
  <c r="C549" i="10"/>
  <c r="B549" i="1"/>
  <c r="C632" i="10"/>
  <c r="C547" i="10"/>
  <c r="B547" i="1"/>
  <c r="C628" i="10"/>
  <c r="C545" i="10"/>
  <c r="G545" i="10" s="1"/>
  <c r="B545" i="1"/>
  <c r="C706" i="10"/>
  <c r="C534" i="10"/>
  <c r="G534" i="10" s="1"/>
  <c r="B534" i="1"/>
  <c r="C520" i="10"/>
  <c r="G520" i="10" s="1"/>
  <c r="C692" i="10"/>
  <c r="B520" i="1"/>
  <c r="C552" i="10"/>
  <c r="C618" i="10"/>
  <c r="B552" i="1"/>
  <c r="E789" i="10"/>
  <c r="F814" i="10"/>
  <c r="E736" i="10"/>
  <c r="E735" i="10"/>
  <c r="T814" i="10"/>
  <c r="H814" i="10"/>
  <c r="R814" i="10"/>
  <c r="P814" i="10"/>
  <c r="M757" i="10"/>
  <c r="M790" i="10"/>
  <c r="M794" i="10"/>
  <c r="M798" i="10"/>
  <c r="C705" i="10"/>
  <c r="C533" i="10"/>
  <c r="G533" i="10" s="1"/>
  <c r="B533" i="1"/>
  <c r="AS71" i="10"/>
  <c r="C677" i="10"/>
  <c r="C505" i="10"/>
  <c r="G505" i="10" s="1"/>
  <c r="B505" i="1"/>
  <c r="AG71" i="10"/>
  <c r="J71" i="10"/>
  <c r="AP71" i="10"/>
  <c r="BZ71" i="10"/>
  <c r="AJ71" i="10"/>
  <c r="C640" i="10"/>
  <c r="C565" i="10"/>
  <c r="B565" i="1"/>
  <c r="C686" i="10"/>
  <c r="C514" i="10"/>
  <c r="B514" i="1"/>
  <c r="C634" i="10"/>
  <c r="C554" i="10"/>
  <c r="B554" i="1"/>
  <c r="V71" i="10"/>
  <c r="BF71" i="10"/>
  <c r="CE48" i="10"/>
  <c r="C62" i="10"/>
  <c r="AI71" i="10"/>
  <c r="C625" i="10"/>
  <c r="C544" i="10"/>
  <c r="B544" i="1"/>
  <c r="C560" i="10"/>
  <c r="C627" i="10"/>
  <c r="B560" i="1"/>
  <c r="BJ52" i="10"/>
  <c r="BJ67" i="10" s="1"/>
  <c r="C681" i="10"/>
  <c r="C509" i="10"/>
  <c r="B509" i="1"/>
  <c r="C623" i="10"/>
  <c r="C562" i="10"/>
  <c r="B562" i="1"/>
  <c r="C691" i="10"/>
  <c r="C519" i="10"/>
  <c r="G519" i="10" s="1"/>
  <c r="B519" i="1"/>
  <c r="C498" i="10"/>
  <c r="C670" i="10"/>
  <c r="B498" i="1"/>
  <c r="C703" i="10"/>
  <c r="C531" i="10"/>
  <c r="B531" i="1"/>
  <c r="C708" i="10"/>
  <c r="C536" i="10"/>
  <c r="G536" i="10" s="1"/>
  <c r="B536" i="1"/>
  <c r="E773" i="10"/>
  <c r="E805" i="10"/>
  <c r="M736" i="10"/>
  <c r="M750" i="10"/>
  <c r="M771" i="10"/>
  <c r="M784" i="10"/>
  <c r="M789" i="10"/>
  <c r="M805" i="10"/>
  <c r="C669" i="10"/>
  <c r="C497" i="10"/>
  <c r="G497" i="10" s="1"/>
  <c r="B497" i="1"/>
  <c r="C713" i="10"/>
  <c r="C541" i="10"/>
  <c r="B541" i="1"/>
  <c r="I71" i="10"/>
  <c r="H71" i="10"/>
  <c r="AR71" i="10"/>
  <c r="CB71" i="10"/>
  <c r="C694" i="10"/>
  <c r="C522" i="10"/>
  <c r="B522" i="1"/>
  <c r="BU71" i="10"/>
  <c r="C695" i="10"/>
  <c r="C523" i="10"/>
  <c r="G523" i="10" s="1"/>
  <c r="B523" i="1"/>
  <c r="BJ71" i="10"/>
  <c r="C500" i="10"/>
  <c r="G500" i="10" s="1"/>
  <c r="C672" i="10"/>
  <c r="B500" i="1"/>
  <c r="W71" i="10"/>
  <c r="C704" i="10"/>
  <c r="C532" i="10"/>
  <c r="G532" i="10" s="1"/>
  <c r="B532" i="1"/>
  <c r="C633" i="10"/>
  <c r="C548" i="10"/>
  <c r="B548" i="1"/>
  <c r="BS71" i="10"/>
  <c r="E373" i="9"/>
  <c r="C575" i="1"/>
  <c r="E752" i="10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D108" i="9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M749" i="10" l="1"/>
  <c r="C684" i="10"/>
  <c r="C512" i="10"/>
  <c r="B512" i="1"/>
  <c r="M741" i="10"/>
  <c r="C504" i="10"/>
  <c r="G504" i="10" s="1"/>
  <c r="C676" i="10"/>
  <c r="B504" i="1"/>
  <c r="M806" i="10"/>
  <c r="C644" i="10"/>
  <c r="C569" i="10"/>
  <c r="B569" i="1"/>
  <c r="M743" i="10"/>
  <c r="C678" i="10"/>
  <c r="C506" i="10"/>
  <c r="G506" i="10" s="1"/>
  <c r="B506" i="1"/>
  <c r="C572" i="10"/>
  <c r="C647" i="10"/>
  <c r="M809" i="10"/>
  <c r="B572" i="1"/>
  <c r="M776" i="10"/>
  <c r="B539" i="1"/>
  <c r="C711" i="10"/>
  <c r="C539" i="10"/>
  <c r="G539" i="10" s="1"/>
  <c r="M744" i="10"/>
  <c r="C507" i="10"/>
  <c r="G507" i="10" s="1"/>
  <c r="B507" i="1"/>
  <c r="C679" i="10"/>
  <c r="M748" i="10"/>
  <c r="C683" i="10"/>
  <c r="C511" i="10"/>
  <c r="G511" i="10" s="1"/>
  <c r="B511" i="1"/>
  <c r="F511" i="1" s="1"/>
  <c r="M779" i="10"/>
  <c r="C542" i="10"/>
  <c r="B542" i="1"/>
  <c r="C631" i="10"/>
  <c r="M787" i="10"/>
  <c r="C614" i="10"/>
  <c r="C550" i="10"/>
  <c r="G550" i="10" s="1"/>
  <c r="B550" i="1"/>
  <c r="F550" i="1" s="1"/>
  <c r="M800" i="10"/>
  <c r="C563" i="10"/>
  <c r="C626" i="10"/>
  <c r="B563" i="1"/>
  <c r="B525" i="1"/>
  <c r="C642" i="10"/>
  <c r="C525" i="10"/>
  <c r="G525" i="10" s="1"/>
  <c r="C567" i="10"/>
  <c r="C697" i="10"/>
  <c r="B543" i="1"/>
  <c r="C616" i="10"/>
  <c r="C543" i="10"/>
  <c r="T52" i="1"/>
  <c r="T67" i="1" s="1"/>
  <c r="T71" i="1" s="1"/>
  <c r="AA52" i="1"/>
  <c r="AA67" i="1" s="1"/>
  <c r="AA71" i="1" s="1"/>
  <c r="C692" i="1" s="1"/>
  <c r="F52" i="1"/>
  <c r="F67" i="1" s="1"/>
  <c r="J737" i="1" s="1"/>
  <c r="D52" i="1"/>
  <c r="D67" i="1" s="1"/>
  <c r="J735" i="1" s="1"/>
  <c r="BQ52" i="1"/>
  <c r="BQ67" i="1" s="1"/>
  <c r="BQ71" i="1" s="1"/>
  <c r="C623" i="1" s="1"/>
  <c r="AX52" i="1"/>
  <c r="AX67" i="1" s="1"/>
  <c r="J781" i="1" s="1"/>
  <c r="M52" i="1"/>
  <c r="M67" i="1" s="1"/>
  <c r="M71" i="1" s="1"/>
  <c r="F53" i="9" s="1"/>
  <c r="AY52" i="1"/>
  <c r="AY67" i="1" s="1"/>
  <c r="AY71" i="1" s="1"/>
  <c r="I213" i="9" s="1"/>
  <c r="BD52" i="1"/>
  <c r="BD67" i="1" s="1"/>
  <c r="J787" i="1" s="1"/>
  <c r="AF52" i="1"/>
  <c r="AF67" i="1" s="1"/>
  <c r="AF71" i="1" s="1"/>
  <c r="C525" i="1" s="1"/>
  <c r="G525" i="1" s="1"/>
  <c r="BE52" i="1"/>
  <c r="BE67" i="1" s="1"/>
  <c r="J788" i="1" s="1"/>
  <c r="BN52" i="1"/>
  <c r="BN67" i="1" s="1"/>
  <c r="BN71" i="1" s="1"/>
  <c r="C559" i="1" s="1"/>
  <c r="BY52" i="1"/>
  <c r="BY67" i="1" s="1"/>
  <c r="BY71" i="1" s="1"/>
  <c r="G341" i="9" s="1"/>
  <c r="BP52" i="1"/>
  <c r="BP67" i="1" s="1"/>
  <c r="J799" i="1" s="1"/>
  <c r="AW52" i="1"/>
  <c r="AW67" i="1" s="1"/>
  <c r="AW71" i="1" s="1"/>
  <c r="P52" i="1"/>
  <c r="P67" i="1" s="1"/>
  <c r="I49" i="9" s="1"/>
  <c r="BR52" i="1"/>
  <c r="BR67" i="1" s="1"/>
  <c r="BR71" i="1" s="1"/>
  <c r="C563" i="1" s="1"/>
  <c r="BV52" i="1"/>
  <c r="BV67" i="1" s="1"/>
  <c r="BV71" i="1" s="1"/>
  <c r="C642" i="1" s="1"/>
  <c r="CB52" i="1"/>
  <c r="CB67" i="1" s="1"/>
  <c r="CB71" i="1" s="1"/>
  <c r="C573" i="1" s="1"/>
  <c r="BF52" i="1"/>
  <c r="BF67" i="1" s="1"/>
  <c r="BF71" i="1" s="1"/>
  <c r="I245" i="9" s="1"/>
  <c r="G52" i="1"/>
  <c r="G67" i="1" s="1"/>
  <c r="J738" i="1" s="1"/>
  <c r="AK52" i="1"/>
  <c r="AK67" i="1" s="1"/>
  <c r="J768" i="1" s="1"/>
  <c r="BM52" i="1"/>
  <c r="BM67" i="1" s="1"/>
  <c r="I273" i="9" s="1"/>
  <c r="AM52" i="1"/>
  <c r="AM67" i="1" s="1"/>
  <c r="J770" i="1" s="1"/>
  <c r="J52" i="1"/>
  <c r="J67" i="1" s="1"/>
  <c r="C49" i="9" s="1"/>
  <c r="E305" i="9"/>
  <c r="E745" i="1"/>
  <c r="G140" i="9"/>
  <c r="E764" i="1"/>
  <c r="E800" i="1"/>
  <c r="E332" i="9"/>
  <c r="G300" i="9"/>
  <c r="E204" i="9"/>
  <c r="C76" i="9"/>
  <c r="E793" i="1"/>
  <c r="E300" i="9"/>
  <c r="E754" i="1"/>
  <c r="E798" i="1"/>
  <c r="E738" i="1"/>
  <c r="E108" i="9"/>
  <c r="E783" i="1"/>
  <c r="H204" i="9"/>
  <c r="F44" i="9"/>
  <c r="E779" i="1"/>
  <c r="F172" i="9"/>
  <c r="E771" i="1"/>
  <c r="E741" i="1"/>
  <c r="E785" i="1"/>
  <c r="E737" i="1"/>
  <c r="E758" i="1"/>
  <c r="E756" i="1"/>
  <c r="E808" i="1"/>
  <c r="H140" i="9"/>
  <c r="H300" i="9"/>
  <c r="D364" i="9"/>
  <c r="G172" i="9"/>
  <c r="E740" i="1"/>
  <c r="C332" i="9"/>
  <c r="I300" i="9"/>
  <c r="E761" i="1"/>
  <c r="C12" i="9"/>
  <c r="E769" i="1"/>
  <c r="E784" i="1"/>
  <c r="E796" i="1"/>
  <c r="D44" i="9"/>
  <c r="E759" i="1"/>
  <c r="I236" i="9"/>
  <c r="H44" i="9"/>
  <c r="E777" i="1"/>
  <c r="I140" i="9"/>
  <c r="D140" i="9"/>
  <c r="E788" i="1"/>
  <c r="D339" i="1"/>
  <c r="C482" i="1" s="1"/>
  <c r="V52" i="1"/>
  <c r="V67" i="1" s="1"/>
  <c r="J753" i="1" s="1"/>
  <c r="AG52" i="1"/>
  <c r="AG67" i="1" s="1"/>
  <c r="E145" i="9" s="1"/>
  <c r="BX52" i="1"/>
  <c r="BX67" i="1" s="1"/>
  <c r="BX71" i="1" s="1"/>
  <c r="E735" i="1"/>
  <c r="CE62" i="1"/>
  <c r="I364" i="9" s="1"/>
  <c r="E811" i="1"/>
  <c r="E805" i="1"/>
  <c r="AN52" i="1"/>
  <c r="AN67" i="1" s="1"/>
  <c r="E177" i="9" s="1"/>
  <c r="AB52" i="1"/>
  <c r="AB67" i="1" s="1"/>
  <c r="J759" i="1" s="1"/>
  <c r="BO52" i="1"/>
  <c r="BO67" i="1" s="1"/>
  <c r="BO71" i="1" s="1"/>
  <c r="C627" i="1" s="1"/>
  <c r="H71" i="1"/>
  <c r="H21" i="9" s="1"/>
  <c r="BT52" i="1"/>
  <c r="BT67" i="1" s="1"/>
  <c r="AJ52" i="1"/>
  <c r="AJ67" i="1" s="1"/>
  <c r="AJ71" i="1" s="1"/>
  <c r="H149" i="9" s="1"/>
  <c r="AH52" i="1"/>
  <c r="AH67" i="1" s="1"/>
  <c r="J765" i="1" s="1"/>
  <c r="I204" i="9"/>
  <c r="H76" i="9"/>
  <c r="C268" i="9"/>
  <c r="E790" i="1"/>
  <c r="E780" i="1"/>
  <c r="E755" i="1"/>
  <c r="E736" i="1"/>
  <c r="E797" i="1"/>
  <c r="F140" i="9"/>
  <c r="E795" i="1"/>
  <c r="E762" i="1"/>
  <c r="E807" i="1"/>
  <c r="F332" i="9"/>
  <c r="I172" i="9"/>
  <c r="E775" i="1"/>
  <c r="CE48" i="1"/>
  <c r="D76" i="9"/>
  <c r="E749" i="1"/>
  <c r="E791" i="1"/>
  <c r="D268" i="9"/>
  <c r="E810" i="1"/>
  <c r="E743" i="1"/>
  <c r="E44" i="9"/>
  <c r="E776" i="1"/>
  <c r="C204" i="9"/>
  <c r="E792" i="1"/>
  <c r="E268" i="9"/>
  <c r="H172" i="9"/>
  <c r="G76" i="9"/>
  <c r="E752" i="1"/>
  <c r="G236" i="9"/>
  <c r="E787" i="1"/>
  <c r="H522" i="10"/>
  <c r="G522" i="10"/>
  <c r="C673" i="10"/>
  <c r="C501" i="10"/>
  <c r="G501" i="10" s="1"/>
  <c r="B501" i="1"/>
  <c r="H501" i="1" s="1"/>
  <c r="M738" i="10"/>
  <c r="C674" i="10"/>
  <c r="C502" i="10"/>
  <c r="G502" i="10" s="1"/>
  <c r="B502" i="1"/>
  <c r="M739" i="10"/>
  <c r="G531" i="10"/>
  <c r="H531" i="10"/>
  <c r="G498" i="10"/>
  <c r="H498" i="10" s="1"/>
  <c r="G509" i="10"/>
  <c r="H509" i="10"/>
  <c r="C687" i="10"/>
  <c r="C515" i="10"/>
  <c r="B515" i="1"/>
  <c r="M752" i="10"/>
  <c r="C707" i="10"/>
  <c r="C535" i="10"/>
  <c r="G535" i="10" s="1"/>
  <c r="B535" i="1"/>
  <c r="M772" i="10"/>
  <c r="G546" i="10"/>
  <c r="H546" i="10"/>
  <c r="C693" i="10"/>
  <c r="C521" i="10"/>
  <c r="B521" i="1"/>
  <c r="M758" i="10"/>
  <c r="C702" i="10"/>
  <c r="C530" i="10"/>
  <c r="B530" i="1"/>
  <c r="M767" i="10"/>
  <c r="C689" i="10"/>
  <c r="C517" i="10"/>
  <c r="B517" i="1"/>
  <c r="M754" i="10"/>
  <c r="C700" i="10"/>
  <c r="C528" i="10"/>
  <c r="G528" i="10" s="1"/>
  <c r="B528" i="1"/>
  <c r="F528" i="1" s="1"/>
  <c r="M765" i="10"/>
  <c r="C71" i="10"/>
  <c r="CE62" i="10"/>
  <c r="E815" i="10" s="1"/>
  <c r="G514" i="10"/>
  <c r="H514" i="10" s="1"/>
  <c r="C503" i="10"/>
  <c r="C675" i="10"/>
  <c r="B503" i="1"/>
  <c r="M740" i="10"/>
  <c r="CE52" i="10"/>
  <c r="C680" i="10"/>
  <c r="C508" i="10"/>
  <c r="B508" i="1"/>
  <c r="M745" i="10"/>
  <c r="C688" i="10"/>
  <c r="C516" i="10"/>
  <c r="B516" i="1"/>
  <c r="M753" i="10"/>
  <c r="C555" i="10"/>
  <c r="C617" i="10"/>
  <c r="B555" i="1"/>
  <c r="M792" i="10"/>
  <c r="C641" i="10"/>
  <c r="C566" i="10"/>
  <c r="B566" i="1"/>
  <c r="M803" i="10"/>
  <c r="C573" i="10"/>
  <c r="C622" i="10"/>
  <c r="B573" i="1"/>
  <c r="M810" i="10"/>
  <c r="C701" i="10"/>
  <c r="C529" i="10"/>
  <c r="B529" i="1"/>
  <c r="M766" i="10"/>
  <c r="C698" i="10"/>
  <c r="C526" i="10"/>
  <c r="B526" i="1"/>
  <c r="M763" i="10"/>
  <c r="C710" i="10"/>
  <c r="C538" i="10"/>
  <c r="G538" i="10" s="1"/>
  <c r="B538" i="1"/>
  <c r="M775" i="10"/>
  <c r="CE67" i="10"/>
  <c r="C433" i="10" s="1"/>
  <c r="C635" i="10"/>
  <c r="C556" i="10"/>
  <c r="B556" i="1"/>
  <c r="M793" i="10"/>
  <c r="G518" i="10"/>
  <c r="H518" i="10" s="1"/>
  <c r="C639" i="10"/>
  <c r="C564" i="10"/>
  <c r="B564" i="1"/>
  <c r="M801" i="10"/>
  <c r="C709" i="10"/>
  <c r="C537" i="10"/>
  <c r="B537" i="1"/>
  <c r="M774" i="10"/>
  <c r="D615" i="10"/>
  <c r="G544" i="10"/>
  <c r="H544" i="10" s="1"/>
  <c r="G512" i="10"/>
  <c r="H512" i="10"/>
  <c r="C551" i="10"/>
  <c r="C629" i="10"/>
  <c r="B551" i="1"/>
  <c r="M788" i="10"/>
  <c r="C646" i="10"/>
  <c r="C648" i="10" s="1"/>
  <c r="M716" i="10" s="1"/>
  <c r="C571" i="10"/>
  <c r="B571" i="1"/>
  <c r="M808" i="10"/>
  <c r="G524" i="10"/>
  <c r="H524" i="10" s="1"/>
  <c r="G510" i="10"/>
  <c r="H510" i="10"/>
  <c r="F76" i="9"/>
  <c r="E751" i="1"/>
  <c r="H17" i="9"/>
  <c r="J739" i="1"/>
  <c r="J806" i="10"/>
  <c r="J776" i="10"/>
  <c r="J755" i="10"/>
  <c r="N815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707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531" i="1" s="1"/>
  <c r="G531" i="1" s="1"/>
  <c r="CC52" i="1"/>
  <c r="CC67" i="1" s="1"/>
  <c r="CC71" i="1" s="1"/>
  <c r="D373" i="9" s="1"/>
  <c r="AC52" i="1"/>
  <c r="AC67" i="1" s="1"/>
  <c r="AC71" i="1" s="1"/>
  <c r="C694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688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AZ52" i="1"/>
  <c r="AZ67" i="1" s="1"/>
  <c r="AZ71" i="1" s="1"/>
  <c r="C545" i="1" s="1"/>
  <c r="G545" i="1" s="1"/>
  <c r="N52" i="1"/>
  <c r="N67" i="1" s="1"/>
  <c r="N71" i="1" s="1"/>
  <c r="G53" i="9" s="1"/>
  <c r="CA52" i="1"/>
  <c r="CA67" i="1" s="1"/>
  <c r="CA71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E341" i="9" s="1"/>
  <c r="BI52" i="1"/>
  <c r="BI67" i="1" s="1"/>
  <c r="BI71" i="1" s="1"/>
  <c r="K52" i="1"/>
  <c r="K67" i="1" s="1"/>
  <c r="K71" i="1" s="1"/>
  <c r="D465" i="1"/>
  <c r="F505" i="1"/>
  <c r="H505" i="1"/>
  <c r="F499" i="1"/>
  <c r="H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F277" i="9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H528" i="1"/>
  <c r="F520" i="1"/>
  <c r="H520" i="1"/>
  <c r="D341" i="1"/>
  <c r="C481" i="1" s="1"/>
  <c r="C50" i="8"/>
  <c r="F81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113" i="9"/>
  <c r="J758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E814" i="10" l="1"/>
  <c r="H550" i="10"/>
  <c r="J751" i="1"/>
  <c r="G241" i="9"/>
  <c r="F17" i="9"/>
  <c r="G337" i="9"/>
  <c r="C369" i="9"/>
  <c r="J808" i="1"/>
  <c r="F71" i="1"/>
  <c r="C499" i="1" s="1"/>
  <c r="G499" i="1" s="1"/>
  <c r="J801" i="1"/>
  <c r="G305" i="9"/>
  <c r="J744" i="1"/>
  <c r="F49" i="9"/>
  <c r="J811" i="1"/>
  <c r="G209" i="9"/>
  <c r="J71" i="1"/>
  <c r="C503" i="1" s="1"/>
  <c r="G503" i="1" s="1"/>
  <c r="D177" i="9"/>
  <c r="J741" i="1"/>
  <c r="BM71" i="1"/>
  <c r="C558" i="1" s="1"/>
  <c r="H209" i="9"/>
  <c r="J796" i="1"/>
  <c r="F305" i="9"/>
  <c r="C305" i="9"/>
  <c r="J800" i="1"/>
  <c r="H241" i="9"/>
  <c r="J805" i="1"/>
  <c r="BE71" i="1"/>
  <c r="C550" i="1" s="1"/>
  <c r="G550" i="1" s="1"/>
  <c r="D337" i="9"/>
  <c r="AM71" i="1"/>
  <c r="C532" i="1" s="1"/>
  <c r="G532" i="1" s="1"/>
  <c r="D145" i="9"/>
  <c r="BP71" i="1"/>
  <c r="E309" i="9" s="1"/>
  <c r="AX71" i="1"/>
  <c r="C616" i="1" s="1"/>
  <c r="J797" i="1"/>
  <c r="J789" i="1"/>
  <c r="I145" i="9"/>
  <c r="P71" i="1"/>
  <c r="C681" i="1" s="1"/>
  <c r="J747" i="1"/>
  <c r="BD71" i="1"/>
  <c r="C549" i="1" s="1"/>
  <c r="I241" i="9"/>
  <c r="D71" i="1"/>
  <c r="C497" i="1" s="1"/>
  <c r="G497" i="1" s="1"/>
  <c r="AK71" i="1"/>
  <c r="C530" i="1" s="1"/>
  <c r="G530" i="1" s="1"/>
  <c r="G71" i="1"/>
  <c r="C672" i="1" s="1"/>
  <c r="D17" i="9"/>
  <c r="I209" i="9"/>
  <c r="G17" i="9"/>
  <c r="H145" i="9"/>
  <c r="J780" i="1"/>
  <c r="J782" i="1"/>
  <c r="J763" i="1"/>
  <c r="D305" i="9"/>
  <c r="C562" i="1"/>
  <c r="C506" i="1"/>
  <c r="G506" i="1" s="1"/>
  <c r="C102" i="8"/>
  <c r="C567" i="1"/>
  <c r="C678" i="1"/>
  <c r="F309" i="9"/>
  <c r="C626" i="1"/>
  <c r="G309" i="9"/>
  <c r="C574" i="1"/>
  <c r="C535" i="1"/>
  <c r="G535" i="1" s="1"/>
  <c r="C645" i="1"/>
  <c r="D341" i="9"/>
  <c r="C428" i="1"/>
  <c r="C570" i="1"/>
  <c r="C520" i="1"/>
  <c r="G520" i="1" s="1"/>
  <c r="I117" i="9"/>
  <c r="C523" i="1"/>
  <c r="G523" i="1" s="1"/>
  <c r="C708" i="1"/>
  <c r="D149" i="9"/>
  <c r="C697" i="1"/>
  <c r="C673" i="1"/>
  <c r="H181" i="9"/>
  <c r="C501" i="1"/>
  <c r="G501" i="1" s="1"/>
  <c r="F117" i="9"/>
  <c r="C547" i="1"/>
  <c r="E816" i="1"/>
  <c r="C373" i="9"/>
  <c r="I85" i="9"/>
  <c r="C643" i="1"/>
  <c r="C568" i="1"/>
  <c r="C632" i="1"/>
  <c r="C703" i="1"/>
  <c r="C701" i="1"/>
  <c r="C529" i="1"/>
  <c r="G529" i="1" s="1"/>
  <c r="C516" i="1"/>
  <c r="C619" i="1"/>
  <c r="C309" i="9"/>
  <c r="C181" i="9"/>
  <c r="J767" i="1"/>
  <c r="D309" i="9"/>
  <c r="J798" i="1"/>
  <c r="C560" i="1"/>
  <c r="C617" i="1"/>
  <c r="H117" i="9"/>
  <c r="V71" i="1"/>
  <c r="C515" i="1" s="1"/>
  <c r="G515" i="1" s="1"/>
  <c r="H81" i="9"/>
  <c r="C555" i="1"/>
  <c r="C620" i="1"/>
  <c r="F213" i="9"/>
  <c r="F337" i="9"/>
  <c r="AG71" i="1"/>
  <c r="J764" i="1"/>
  <c r="G181" i="9"/>
  <c r="C628" i="1"/>
  <c r="J807" i="1"/>
  <c r="C713" i="1"/>
  <c r="C245" i="9"/>
  <c r="C700" i="1"/>
  <c r="C528" i="1"/>
  <c r="G528" i="1" s="1"/>
  <c r="C679" i="1"/>
  <c r="C622" i="1"/>
  <c r="C507" i="1"/>
  <c r="G507" i="1" s="1"/>
  <c r="C522" i="1"/>
  <c r="G522" i="1" s="1"/>
  <c r="C519" i="1"/>
  <c r="G519" i="1" s="1"/>
  <c r="E815" i="1"/>
  <c r="C670" i="1"/>
  <c r="C498" i="1"/>
  <c r="E21" i="9"/>
  <c r="F181" i="9"/>
  <c r="C534" i="1"/>
  <c r="G534" i="1" s="1"/>
  <c r="C706" i="1"/>
  <c r="E213" i="9"/>
  <c r="C540" i="1"/>
  <c r="G540" i="1" s="1"/>
  <c r="C712" i="1"/>
  <c r="C518" i="1"/>
  <c r="G518" i="1" s="1"/>
  <c r="D117" i="9"/>
  <c r="C690" i="1"/>
  <c r="C637" i="1"/>
  <c r="C557" i="1"/>
  <c r="H277" i="9"/>
  <c r="C546" i="1"/>
  <c r="G546" i="1" s="1"/>
  <c r="D245" i="9"/>
  <c r="C630" i="1"/>
  <c r="C117" i="9"/>
  <c r="C517" i="1"/>
  <c r="G517" i="1" s="1"/>
  <c r="C689" i="1"/>
  <c r="C647" i="1"/>
  <c r="I341" i="9"/>
  <c r="C572" i="1"/>
  <c r="I21" i="9"/>
  <c r="E117" i="9"/>
  <c r="F145" i="9"/>
  <c r="AH71" i="1"/>
  <c r="C524" i="1"/>
  <c r="C696" i="1"/>
  <c r="C149" i="9"/>
  <c r="C539" i="1"/>
  <c r="G539" i="1" s="1"/>
  <c r="C551" i="1"/>
  <c r="C508" i="1"/>
  <c r="G508" i="1" s="1"/>
  <c r="C674" i="1"/>
  <c r="C85" i="9"/>
  <c r="C682" i="1"/>
  <c r="C510" i="1"/>
  <c r="G510" i="1" s="1"/>
  <c r="C641" i="1"/>
  <c r="C566" i="1"/>
  <c r="C341" i="9"/>
  <c r="J803" i="1"/>
  <c r="BT71" i="1"/>
  <c r="I305" i="9"/>
  <c r="G113" i="9"/>
  <c r="AB71" i="1"/>
  <c r="D213" i="9"/>
  <c r="C629" i="1"/>
  <c r="C680" i="1"/>
  <c r="C676" i="1"/>
  <c r="D53" i="9"/>
  <c r="C504" i="1"/>
  <c r="G504" i="1" s="1"/>
  <c r="C639" i="1"/>
  <c r="H309" i="9"/>
  <c r="C564" i="1"/>
  <c r="J771" i="1"/>
  <c r="AN71" i="1"/>
  <c r="C544" i="1"/>
  <c r="C625" i="1"/>
  <c r="C710" i="1"/>
  <c r="C213" i="9"/>
  <c r="C538" i="1"/>
  <c r="G538" i="1" s="1"/>
  <c r="C636" i="1"/>
  <c r="D277" i="9"/>
  <c r="C553" i="1"/>
  <c r="C569" i="1"/>
  <c r="F341" i="9"/>
  <c r="C644" i="1"/>
  <c r="C277" i="9"/>
  <c r="C618" i="1"/>
  <c r="C552" i="1"/>
  <c r="E53" i="9"/>
  <c r="C677" i="1"/>
  <c r="C505" i="1"/>
  <c r="G505" i="1" s="1"/>
  <c r="C537" i="1"/>
  <c r="G537" i="1" s="1"/>
  <c r="I181" i="9"/>
  <c r="C709" i="1"/>
  <c r="C554" i="1"/>
  <c r="C634" i="1"/>
  <c r="E277" i="9"/>
  <c r="C511" i="1"/>
  <c r="C683" i="1"/>
  <c r="D85" i="9"/>
  <c r="G213" i="9"/>
  <c r="C631" i="1"/>
  <c r="C542" i="1"/>
  <c r="G85" i="9"/>
  <c r="C514" i="1"/>
  <c r="G514" i="1" s="1"/>
  <c r="C686" i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712" i="10"/>
  <c r="D708" i="10"/>
  <c r="D704" i="10"/>
  <c r="D700" i="10"/>
  <c r="D696" i="10"/>
  <c r="D692" i="10"/>
  <c r="D688" i="10"/>
  <c r="D701" i="10"/>
  <c r="D687" i="10"/>
  <c r="D682" i="10"/>
  <c r="D678" i="10"/>
  <c r="D674" i="10"/>
  <c r="D670" i="10"/>
  <c r="D647" i="10"/>
  <c r="D646" i="10"/>
  <c r="D645" i="10"/>
  <c r="D713" i="10"/>
  <c r="D709" i="10"/>
  <c r="D705" i="10"/>
  <c r="D681" i="10"/>
  <c r="D680" i="10"/>
  <c r="D679" i="10"/>
  <c r="D628" i="10"/>
  <c r="D622" i="10"/>
  <c r="D620" i="10"/>
  <c r="D618" i="10"/>
  <c r="D697" i="10"/>
  <c r="D693" i="10"/>
  <c r="D689" i="10"/>
  <c r="D677" i="10"/>
  <c r="D676" i="10"/>
  <c r="D675" i="10"/>
  <c r="D644" i="10"/>
  <c r="D642" i="10"/>
  <c r="D617" i="10"/>
  <c r="D685" i="10"/>
  <c r="D684" i="10"/>
  <c r="D683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19" i="10"/>
  <c r="D673" i="10"/>
  <c r="D672" i="10"/>
  <c r="D671" i="10"/>
  <c r="D629" i="10"/>
  <c r="D627" i="10"/>
  <c r="D626" i="10"/>
  <c r="D625" i="10"/>
  <c r="D621" i="10"/>
  <c r="D616" i="10"/>
  <c r="D669" i="10"/>
  <c r="D623" i="10"/>
  <c r="D668" i="10"/>
  <c r="D643" i="10"/>
  <c r="C428" i="10"/>
  <c r="C441" i="10" s="1"/>
  <c r="CE71" i="10"/>
  <c r="G515" i="10"/>
  <c r="H515" i="10"/>
  <c r="G537" i="10"/>
  <c r="H537" i="10" s="1"/>
  <c r="G526" i="10"/>
  <c r="H526" i="10" s="1"/>
  <c r="G503" i="10"/>
  <c r="H503" i="10"/>
  <c r="C668" i="10"/>
  <c r="C715" i="10" s="1"/>
  <c r="C496" i="10"/>
  <c r="B496" i="1"/>
  <c r="F496" i="1" s="1"/>
  <c r="M733" i="10"/>
  <c r="M814" i="10" s="1"/>
  <c r="G517" i="10"/>
  <c r="H517" i="10"/>
  <c r="H530" i="10"/>
  <c r="G530" i="10"/>
  <c r="G529" i="10"/>
  <c r="H529" i="10"/>
  <c r="G508" i="10"/>
  <c r="H508" i="10" s="1"/>
  <c r="G521" i="10"/>
  <c r="H521" i="10"/>
  <c r="H516" i="10"/>
  <c r="G516" i="10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D181" i="9" l="1"/>
  <c r="C53" i="9"/>
  <c r="C675" i="1"/>
  <c r="C671" i="1"/>
  <c r="F21" i="9"/>
  <c r="C509" i="1"/>
  <c r="G509" i="1" s="1"/>
  <c r="C638" i="1"/>
  <c r="I53" i="9"/>
  <c r="C500" i="1"/>
  <c r="G500" i="1" s="1"/>
  <c r="C621" i="1"/>
  <c r="C561" i="1"/>
  <c r="I277" i="9"/>
  <c r="H550" i="1"/>
  <c r="C704" i="1"/>
  <c r="C614" i="1"/>
  <c r="D615" i="1" s="1"/>
  <c r="D633" i="1" s="1"/>
  <c r="C669" i="1"/>
  <c r="C624" i="1"/>
  <c r="D21" i="9"/>
  <c r="C543" i="1"/>
  <c r="H245" i="9"/>
  <c r="H213" i="9"/>
  <c r="G21" i="9"/>
  <c r="C702" i="1"/>
  <c r="G245" i="9"/>
  <c r="H530" i="1"/>
  <c r="I149" i="9"/>
  <c r="H546" i="1"/>
  <c r="H510" i="1"/>
  <c r="H518" i="1"/>
  <c r="G516" i="1"/>
  <c r="H516" i="1"/>
  <c r="H517" i="1"/>
  <c r="H522" i="1"/>
  <c r="H85" i="9"/>
  <c r="H515" i="1"/>
  <c r="C687" i="1"/>
  <c r="H512" i="1"/>
  <c r="C526" i="1"/>
  <c r="E149" i="9"/>
  <c r="C698" i="1"/>
  <c r="H503" i="1"/>
  <c r="H514" i="1"/>
  <c r="G117" i="9"/>
  <c r="C521" i="1"/>
  <c r="G521" i="1" s="1"/>
  <c r="C693" i="1"/>
  <c r="C699" i="1"/>
  <c r="F149" i="9"/>
  <c r="C527" i="1"/>
  <c r="G527" i="1" s="1"/>
  <c r="C668" i="1"/>
  <c r="C21" i="9"/>
  <c r="C496" i="1"/>
  <c r="C705" i="1"/>
  <c r="E181" i="9"/>
  <c r="C533" i="1"/>
  <c r="G533" i="1" s="1"/>
  <c r="H508" i="1"/>
  <c r="C640" i="1"/>
  <c r="C565" i="1"/>
  <c r="I309" i="9"/>
  <c r="G498" i="1"/>
  <c r="H498" i="1" s="1"/>
  <c r="G524" i="1"/>
  <c r="H524" i="1" s="1"/>
  <c r="G544" i="1"/>
  <c r="H544" i="1" s="1"/>
  <c r="G511" i="1"/>
  <c r="H511" i="1"/>
  <c r="H496" i="10"/>
  <c r="G496" i="10"/>
  <c r="D715" i="10"/>
  <c r="E623" i="10"/>
  <c r="C716" i="10"/>
  <c r="M815" i="10"/>
  <c r="E612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H509" i="1" l="1"/>
  <c r="C648" i="1"/>
  <c r="M716" i="1" s="1"/>
  <c r="Y816" i="1" s="1"/>
  <c r="D672" i="1"/>
  <c r="D622" i="1"/>
  <c r="D683" i="1"/>
  <c r="D630" i="1"/>
  <c r="D627" i="1"/>
  <c r="D646" i="1"/>
  <c r="D628" i="1"/>
  <c r="D641" i="1"/>
  <c r="D702" i="1"/>
  <c r="D687" i="1"/>
  <c r="D618" i="1"/>
  <c r="D676" i="1"/>
  <c r="D691" i="1"/>
  <c r="D682" i="1"/>
  <c r="D619" i="1"/>
  <c r="D712" i="1"/>
  <c r="D617" i="1"/>
  <c r="D647" i="1"/>
  <c r="D692" i="1"/>
  <c r="D621" i="1"/>
  <c r="D674" i="1"/>
  <c r="D713" i="1"/>
  <c r="D706" i="1"/>
  <c r="D678" i="1"/>
  <c r="D680" i="1"/>
  <c r="D677" i="1"/>
  <c r="D635" i="1"/>
  <c r="D632" i="1"/>
  <c r="D709" i="1"/>
  <c r="D705" i="1"/>
  <c r="D625" i="1"/>
  <c r="D689" i="1"/>
  <c r="D669" i="1"/>
  <c r="D637" i="1"/>
  <c r="D697" i="1"/>
  <c r="D623" i="1"/>
  <c r="D679" i="1"/>
  <c r="D620" i="1"/>
  <c r="D671" i="1"/>
  <c r="D636" i="1"/>
  <c r="D693" i="1"/>
  <c r="D643" i="1"/>
  <c r="D696" i="1"/>
  <c r="D670" i="1"/>
  <c r="D629" i="1"/>
  <c r="D694" i="1"/>
  <c r="D716" i="1"/>
  <c r="D686" i="1"/>
  <c r="D699" i="1"/>
  <c r="D645" i="1"/>
  <c r="D644" i="1"/>
  <c r="D688" i="1"/>
  <c r="D668" i="1"/>
  <c r="D638" i="1"/>
  <c r="D707" i="1"/>
  <c r="D642" i="1"/>
  <c r="D675" i="1"/>
  <c r="D704" i="1"/>
  <c r="D639" i="1"/>
  <c r="D695" i="1"/>
  <c r="D626" i="1"/>
  <c r="D701" i="1"/>
  <c r="D703" i="1"/>
  <c r="D711" i="1"/>
  <c r="D698" i="1"/>
  <c r="D685" i="1"/>
  <c r="D681" i="1"/>
  <c r="D708" i="1"/>
  <c r="D710" i="1"/>
  <c r="D640" i="1"/>
  <c r="D634" i="1"/>
  <c r="D616" i="1"/>
  <c r="D690" i="1"/>
  <c r="D684" i="1"/>
  <c r="D631" i="1"/>
  <c r="D700" i="1"/>
  <c r="D673" i="1"/>
  <c r="D624" i="1"/>
  <c r="H521" i="1"/>
  <c r="G526" i="1"/>
  <c r="H526" i="1" s="1"/>
  <c r="G496" i="1"/>
  <c r="H496" i="1" s="1"/>
  <c r="I373" i="9"/>
  <c r="C716" i="1"/>
  <c r="C715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3" i="10"/>
  <c r="E679" i="10"/>
  <c r="E675" i="10"/>
  <c r="E671" i="10"/>
  <c r="E644" i="10"/>
  <c r="E643" i="10"/>
  <c r="E642" i="10"/>
  <c r="E641" i="10"/>
  <c r="E678" i="10"/>
  <c r="E677" i="10"/>
  <c r="E676" i="10"/>
  <c r="E646" i="10"/>
  <c r="E627" i="10"/>
  <c r="E674" i="10"/>
  <c r="E673" i="10"/>
  <c r="E672" i="10"/>
  <c r="E710" i="10"/>
  <c r="E706" i="10"/>
  <c r="E702" i="10"/>
  <c r="E684" i="10"/>
  <c r="E645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4" i="10"/>
  <c r="E690" i="10"/>
  <c r="E682" i="10"/>
  <c r="E681" i="10"/>
  <c r="E680" i="10"/>
  <c r="E629" i="10"/>
  <c r="E626" i="10"/>
  <c r="E625" i="10"/>
  <c r="E686" i="10"/>
  <c r="E670" i="10"/>
  <c r="E669" i="10"/>
  <c r="E668" i="10"/>
  <c r="E647" i="10"/>
  <c r="E628" i="10"/>
  <c r="C433" i="1"/>
  <c r="C441" i="1" s="1"/>
  <c r="J816" i="1"/>
  <c r="I369" i="9"/>
  <c r="J815" i="10"/>
  <c r="E612" i="1" l="1"/>
  <c r="E623" i="1"/>
  <c r="E716" i="1" s="1"/>
  <c r="D715" i="1"/>
  <c r="E715" i="10"/>
  <c r="F624" i="10"/>
  <c r="E697" i="1" l="1"/>
  <c r="E645" i="1"/>
  <c r="E694" i="1"/>
  <c r="E630" i="1"/>
  <c r="E706" i="1"/>
  <c r="E708" i="1"/>
  <c r="E702" i="1"/>
  <c r="E636" i="1"/>
  <c r="E668" i="1"/>
  <c r="E675" i="1"/>
  <c r="E690" i="1"/>
  <c r="E641" i="1"/>
  <c r="E629" i="1"/>
  <c r="E634" i="1"/>
  <c r="E627" i="1"/>
  <c r="E683" i="1"/>
  <c r="E693" i="1"/>
  <c r="E703" i="1"/>
  <c r="E631" i="1"/>
  <c r="E642" i="1"/>
  <c r="E673" i="1"/>
  <c r="E637" i="1"/>
  <c r="E705" i="1"/>
  <c r="E681" i="1"/>
  <c r="E682" i="1"/>
  <c r="E670" i="1"/>
  <c r="E674" i="1"/>
  <c r="E696" i="1"/>
  <c r="E704" i="1"/>
  <c r="E671" i="1"/>
  <c r="E709" i="1"/>
  <c r="E686" i="1"/>
  <c r="E699" i="1"/>
  <c r="E639" i="1"/>
  <c r="E712" i="1"/>
  <c r="E626" i="1"/>
  <c r="E669" i="1"/>
  <c r="E632" i="1"/>
  <c r="E646" i="1"/>
  <c r="E625" i="1"/>
  <c r="E700" i="1"/>
  <c r="E711" i="1"/>
  <c r="E679" i="1"/>
  <c r="E643" i="1"/>
  <c r="E698" i="1"/>
  <c r="E688" i="1"/>
  <c r="E710" i="1"/>
  <c r="E640" i="1"/>
  <c r="E680" i="1"/>
  <c r="E684" i="1"/>
  <c r="E707" i="1"/>
  <c r="E713" i="1"/>
  <c r="E691" i="1"/>
  <c r="E677" i="1"/>
  <c r="E692" i="1"/>
  <c r="E672" i="1"/>
  <c r="E701" i="1"/>
  <c r="E689" i="1"/>
  <c r="E676" i="1"/>
  <c r="E624" i="1"/>
  <c r="F624" i="1" s="1"/>
  <c r="F704" i="1" s="1"/>
  <c r="E633" i="1"/>
  <c r="E695" i="1"/>
  <c r="E644" i="1"/>
  <c r="E638" i="1"/>
  <c r="E678" i="1"/>
  <c r="E635" i="1"/>
  <c r="E647" i="1"/>
  <c r="E687" i="1"/>
  <c r="E628" i="1"/>
  <c r="E685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4" i="10"/>
  <c r="F680" i="10"/>
  <c r="F676" i="10"/>
  <c r="F672" i="10"/>
  <c r="F668" i="10"/>
  <c r="F716" i="10"/>
  <c r="F707" i="10"/>
  <c r="F703" i="10"/>
  <c r="F699" i="10"/>
  <c r="F675" i="10"/>
  <c r="F674" i="10"/>
  <c r="F673" i="10"/>
  <c r="F644" i="10"/>
  <c r="F642" i="10"/>
  <c r="F629" i="10"/>
  <c r="F626" i="10"/>
  <c r="F691" i="10"/>
  <c r="F671" i="10"/>
  <c r="F670" i="10"/>
  <c r="F669" i="10"/>
  <c r="F647" i="10"/>
  <c r="F645" i="10"/>
  <c r="F640" i="10"/>
  <c r="F639" i="10"/>
  <c r="F638" i="10"/>
  <c r="F637" i="10"/>
  <c r="F636" i="10"/>
  <c r="F635" i="10"/>
  <c r="F634" i="10"/>
  <c r="F633" i="10"/>
  <c r="F632" i="10"/>
  <c r="F631" i="10"/>
  <c r="F630" i="10"/>
  <c r="F687" i="10"/>
  <c r="F685" i="10"/>
  <c r="F683" i="10"/>
  <c r="F682" i="10"/>
  <c r="F681" i="10"/>
  <c r="F641" i="10"/>
  <c r="F625" i="10"/>
  <c r="F679" i="10"/>
  <c r="F678" i="10"/>
  <c r="F677" i="10"/>
  <c r="F646" i="10"/>
  <c r="F628" i="10"/>
  <c r="F627" i="10"/>
  <c r="F643" i="10"/>
  <c r="F646" i="1" l="1"/>
  <c r="F642" i="1"/>
  <c r="F635" i="1"/>
  <c r="F672" i="1"/>
  <c r="F641" i="1"/>
  <c r="F640" i="1"/>
  <c r="F693" i="1"/>
  <c r="F680" i="1"/>
  <c r="F713" i="1"/>
  <c r="F705" i="1"/>
  <c r="F674" i="1"/>
  <c r="F687" i="1"/>
  <c r="F678" i="1"/>
  <c r="F643" i="1"/>
  <c r="F682" i="1"/>
  <c r="F673" i="1"/>
  <c r="F706" i="1"/>
  <c r="F675" i="1"/>
  <c r="F684" i="1"/>
  <c r="F638" i="1"/>
  <c r="F709" i="1"/>
  <c r="F629" i="1"/>
  <c r="F699" i="1"/>
  <c r="F627" i="1"/>
  <c r="F690" i="1"/>
  <c r="F697" i="1"/>
  <c r="F696" i="1"/>
  <c r="F679" i="1"/>
  <c r="F711" i="1"/>
  <c r="F636" i="1"/>
  <c r="F716" i="1"/>
  <c r="F632" i="1"/>
  <c r="F668" i="1"/>
  <c r="F647" i="1"/>
  <c r="F634" i="1"/>
  <c r="F630" i="1"/>
  <c r="F710" i="1"/>
  <c r="F698" i="1"/>
  <c r="F671" i="1"/>
  <c r="F626" i="1"/>
  <c r="F670" i="1"/>
  <c r="F628" i="1"/>
  <c r="F677" i="1"/>
  <c r="F625" i="1"/>
  <c r="G625" i="1" s="1"/>
  <c r="F688" i="1"/>
  <c r="F676" i="1"/>
  <c r="F694" i="1"/>
  <c r="F683" i="1"/>
  <c r="F631" i="1"/>
  <c r="F644" i="1"/>
  <c r="F639" i="1"/>
  <c r="F695" i="1"/>
  <c r="F686" i="1"/>
  <c r="F702" i="1"/>
  <c r="F708" i="1"/>
  <c r="F645" i="1"/>
  <c r="F633" i="1"/>
  <c r="F689" i="1"/>
  <c r="F701" i="1"/>
  <c r="F707" i="1"/>
  <c r="F691" i="1"/>
  <c r="F669" i="1"/>
  <c r="F692" i="1"/>
  <c r="F712" i="1"/>
  <c r="F703" i="1"/>
  <c r="F700" i="1"/>
  <c r="F685" i="1"/>
  <c r="F637" i="1"/>
  <c r="F681" i="1"/>
  <c r="E715" i="1"/>
  <c r="F715" i="10"/>
  <c r="G625" i="10"/>
  <c r="F715" i="1" l="1"/>
  <c r="G647" i="1"/>
  <c r="G676" i="1"/>
  <c r="G671" i="1"/>
  <c r="G684" i="1"/>
  <c r="G668" i="1"/>
  <c r="G707" i="1"/>
  <c r="G710" i="1"/>
  <c r="G689" i="1"/>
  <c r="G695" i="1"/>
  <c r="G708" i="1"/>
  <c r="G678" i="1"/>
  <c r="G630" i="1"/>
  <c r="G626" i="1"/>
  <c r="G680" i="1"/>
  <c r="G699" i="1"/>
  <c r="G681" i="1"/>
  <c r="G683" i="1"/>
  <c r="G698" i="1"/>
  <c r="G677" i="1"/>
  <c r="G670" i="1"/>
  <c r="G629" i="1"/>
  <c r="G709" i="1"/>
  <c r="G712" i="1"/>
  <c r="G627" i="1"/>
  <c r="G644" i="1"/>
  <c r="G697" i="1"/>
  <c r="G641" i="1"/>
  <c r="G682" i="1"/>
  <c r="G634" i="1"/>
  <c r="G702" i="1"/>
  <c r="G636" i="1"/>
  <c r="G638" i="1"/>
  <c r="G633" i="1"/>
  <c r="G675" i="1"/>
  <c r="G687" i="1"/>
  <c r="G669" i="1"/>
  <c r="G632" i="1"/>
  <c r="G646" i="1"/>
  <c r="G685" i="1"/>
  <c r="G635" i="1"/>
  <c r="G639" i="1"/>
  <c r="G640" i="1"/>
  <c r="G711" i="1"/>
  <c r="G645" i="1"/>
  <c r="G688" i="1"/>
  <c r="G713" i="1"/>
  <c r="G643" i="1"/>
  <c r="G701" i="1"/>
  <c r="G642" i="1"/>
  <c r="G704" i="1"/>
  <c r="G673" i="1"/>
  <c r="G672" i="1"/>
  <c r="G628" i="1"/>
  <c r="G637" i="1"/>
  <c r="G679" i="1"/>
  <c r="G631" i="1"/>
  <c r="G692" i="1"/>
  <c r="G716" i="1"/>
  <c r="G693" i="1"/>
  <c r="G700" i="1"/>
  <c r="G705" i="1"/>
  <c r="G706" i="1"/>
  <c r="G686" i="1"/>
  <c r="G703" i="1"/>
  <c r="G674" i="1"/>
  <c r="G694" i="1"/>
  <c r="G690" i="1"/>
  <c r="G696" i="1"/>
  <c r="G691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8" i="10"/>
  <c r="G692" i="10"/>
  <c r="G686" i="10"/>
  <c r="G681" i="10"/>
  <c r="G677" i="10"/>
  <c r="G673" i="10"/>
  <c r="G669" i="10"/>
  <c r="G672" i="10"/>
  <c r="G671" i="10"/>
  <c r="G670" i="10"/>
  <c r="G647" i="10"/>
  <c r="G645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84" i="10"/>
  <c r="G683" i="10"/>
  <c r="G682" i="10"/>
  <c r="G668" i="10"/>
  <c r="G643" i="10"/>
  <c r="G641" i="10"/>
  <c r="G680" i="10"/>
  <c r="G679" i="10"/>
  <c r="G678" i="10"/>
  <c r="G646" i="10"/>
  <c r="G629" i="10"/>
  <c r="G628" i="10"/>
  <c r="G627" i="10"/>
  <c r="G626" i="10"/>
  <c r="G676" i="10"/>
  <c r="G675" i="10"/>
  <c r="G674" i="10"/>
  <c r="G642" i="10"/>
  <c r="G704" i="10"/>
  <c r="G700" i="10"/>
  <c r="G696" i="10"/>
  <c r="G644" i="10"/>
  <c r="G688" i="10"/>
  <c r="G715" i="10" l="1"/>
  <c r="H628" i="1"/>
  <c r="G715" i="1"/>
  <c r="H628" i="10"/>
  <c r="H684" i="1" l="1"/>
  <c r="H632" i="1"/>
  <c r="H672" i="1"/>
  <c r="H716" i="1"/>
  <c r="H708" i="1"/>
  <c r="H673" i="1"/>
  <c r="H690" i="1"/>
  <c r="H630" i="1"/>
  <c r="H692" i="1"/>
  <c r="H643" i="1"/>
  <c r="H637" i="1"/>
  <c r="H693" i="1"/>
  <c r="H671" i="1"/>
  <c r="H694" i="1"/>
  <c r="H634" i="1"/>
  <c r="H633" i="1"/>
  <c r="H642" i="1"/>
  <c r="H702" i="1"/>
  <c r="H685" i="1"/>
  <c r="H689" i="1"/>
  <c r="H680" i="1"/>
  <c r="H646" i="1"/>
  <c r="H670" i="1"/>
  <c r="H639" i="1"/>
  <c r="H691" i="1"/>
  <c r="H676" i="1"/>
  <c r="H645" i="1"/>
  <c r="H644" i="1"/>
  <c r="H699" i="1"/>
  <c r="H700" i="1"/>
  <c r="H686" i="1"/>
  <c r="H695" i="1"/>
  <c r="H709" i="1"/>
  <c r="H701" i="1"/>
  <c r="H688" i="1"/>
  <c r="H677" i="1"/>
  <c r="H640" i="1"/>
  <c r="H647" i="1"/>
  <c r="H635" i="1"/>
  <c r="H713" i="1"/>
  <c r="H697" i="1"/>
  <c r="H641" i="1"/>
  <c r="H696" i="1"/>
  <c r="H706" i="1"/>
  <c r="H669" i="1"/>
  <c r="H687" i="1"/>
  <c r="H678" i="1"/>
  <c r="H629" i="1"/>
  <c r="H675" i="1"/>
  <c r="H668" i="1"/>
  <c r="H681" i="1"/>
  <c r="H636" i="1"/>
  <c r="H704" i="1"/>
  <c r="H710" i="1"/>
  <c r="H631" i="1"/>
  <c r="H638" i="1"/>
  <c r="H711" i="1"/>
  <c r="H679" i="1"/>
  <c r="H703" i="1"/>
  <c r="H707" i="1"/>
  <c r="H698" i="1"/>
  <c r="H705" i="1"/>
  <c r="H712" i="1"/>
  <c r="H674" i="1"/>
  <c r="H683" i="1"/>
  <c r="H682" i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712" i="10"/>
  <c r="H708" i="10"/>
  <c r="H704" i="10"/>
  <c r="H700" i="10"/>
  <c r="H696" i="10"/>
  <c r="H692" i="10"/>
  <c r="H688" i="10"/>
  <c r="H705" i="10"/>
  <c r="H689" i="10"/>
  <c r="H682" i="10"/>
  <c r="H678" i="10"/>
  <c r="H674" i="10"/>
  <c r="H670" i="10"/>
  <c r="H647" i="10"/>
  <c r="H646" i="10"/>
  <c r="H645" i="10"/>
  <c r="H701" i="10"/>
  <c r="H697" i="10"/>
  <c r="H693" i="10"/>
  <c r="H684" i="10"/>
  <c r="H683" i="10"/>
  <c r="H669" i="10"/>
  <c r="H668" i="10"/>
  <c r="H643" i="10"/>
  <c r="H641" i="10"/>
  <c r="H687" i="10"/>
  <c r="H685" i="10"/>
  <c r="H681" i="10"/>
  <c r="H680" i="10"/>
  <c r="H679" i="10"/>
  <c r="H677" i="10"/>
  <c r="H676" i="10"/>
  <c r="H675" i="10"/>
  <c r="H642" i="10"/>
  <c r="H713" i="10"/>
  <c r="H709" i="10"/>
  <c r="H673" i="10"/>
  <c r="H672" i="10"/>
  <c r="H671" i="10"/>
  <c r="H644" i="10"/>
  <c r="H639" i="10"/>
  <c r="H635" i="10"/>
  <c r="H631" i="10"/>
  <c r="H640" i="10"/>
  <c r="H638" i="10"/>
  <c r="H634" i="10"/>
  <c r="H630" i="10"/>
  <c r="H637" i="10"/>
  <c r="H633" i="10"/>
  <c r="H629" i="10"/>
  <c r="H636" i="10"/>
  <c r="H632" i="10"/>
  <c r="H715" i="1" l="1"/>
  <c r="I629" i="1"/>
  <c r="H715" i="10"/>
  <c r="I629" i="10"/>
  <c r="I646" i="1" l="1"/>
  <c r="I700" i="1"/>
  <c r="I705" i="1"/>
  <c r="I645" i="1"/>
  <c r="I691" i="1"/>
  <c r="I638" i="1"/>
  <c r="I674" i="1"/>
  <c r="I633" i="1"/>
  <c r="I641" i="1"/>
  <c r="I683" i="1"/>
  <c r="I634" i="1"/>
  <c r="I647" i="1"/>
  <c r="I712" i="1"/>
  <c r="I672" i="1"/>
  <c r="I668" i="1"/>
  <c r="I671" i="1"/>
  <c r="I685" i="1"/>
  <c r="I706" i="1"/>
  <c r="I688" i="1"/>
  <c r="I673" i="1"/>
  <c r="I675" i="1"/>
  <c r="I631" i="1"/>
  <c r="I699" i="1"/>
  <c r="I701" i="1"/>
  <c r="I676" i="1"/>
  <c r="I644" i="1"/>
  <c r="I687" i="1"/>
  <c r="I635" i="1"/>
  <c r="I704" i="1"/>
  <c r="I680" i="1"/>
  <c r="I679" i="1"/>
  <c r="I703" i="1"/>
  <c r="I640" i="1"/>
  <c r="I670" i="1"/>
  <c r="I678" i="1"/>
  <c r="I708" i="1"/>
  <c r="I693" i="1"/>
  <c r="I630" i="1"/>
  <c r="I639" i="1"/>
  <c r="I682" i="1"/>
  <c r="I709" i="1"/>
  <c r="I716" i="1"/>
  <c r="I711" i="1"/>
  <c r="I684" i="1"/>
  <c r="I681" i="1"/>
  <c r="I702" i="1"/>
  <c r="I707" i="1"/>
  <c r="I637" i="1"/>
  <c r="I636" i="1"/>
  <c r="I713" i="1"/>
  <c r="I695" i="1"/>
  <c r="I694" i="1"/>
  <c r="I632" i="1"/>
  <c r="I677" i="1"/>
  <c r="I686" i="1"/>
  <c r="I642" i="1"/>
  <c r="I698" i="1"/>
  <c r="I690" i="1"/>
  <c r="I710" i="1"/>
  <c r="I692" i="1"/>
  <c r="I689" i="1"/>
  <c r="I643" i="1"/>
  <c r="I669" i="1"/>
  <c r="I696" i="1"/>
  <c r="I697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3" i="10"/>
  <c r="I679" i="10"/>
  <c r="I675" i="10"/>
  <c r="I671" i="10"/>
  <c r="I644" i="10"/>
  <c r="I643" i="10"/>
  <c r="I642" i="10"/>
  <c r="I641" i="10"/>
  <c r="I682" i="10"/>
  <c r="I681" i="10"/>
  <c r="I680" i="10"/>
  <c r="I710" i="10"/>
  <c r="I706" i="10"/>
  <c r="I686" i="10"/>
  <c r="I678" i="10"/>
  <c r="I677" i="10"/>
  <c r="I676" i="10"/>
  <c r="I646" i="10"/>
  <c r="I698" i="10"/>
  <c r="I694" i="10"/>
  <c r="I690" i="10"/>
  <c r="I674" i="10"/>
  <c r="I673" i="10"/>
  <c r="I672" i="10"/>
  <c r="I670" i="10"/>
  <c r="I669" i="10"/>
  <c r="I668" i="10"/>
  <c r="I647" i="10"/>
  <c r="I640" i="10"/>
  <c r="I639" i="10"/>
  <c r="I638" i="10"/>
  <c r="I637" i="10"/>
  <c r="I636" i="10"/>
  <c r="I635" i="10"/>
  <c r="I634" i="10"/>
  <c r="I633" i="10"/>
  <c r="I632" i="10"/>
  <c r="I631" i="10"/>
  <c r="I630" i="10"/>
  <c r="I684" i="10"/>
  <c r="I645" i="10"/>
  <c r="I715" i="1" l="1"/>
  <c r="J630" i="1"/>
  <c r="I715" i="10"/>
  <c r="J630" i="10"/>
  <c r="J683" i="1" l="1"/>
  <c r="J679" i="1"/>
  <c r="J642" i="1"/>
  <c r="J643" i="1"/>
  <c r="J634" i="1"/>
  <c r="J646" i="1"/>
  <c r="J694" i="1"/>
  <c r="J702" i="1"/>
  <c r="J699" i="1"/>
  <c r="J680" i="1"/>
  <c r="J697" i="1"/>
  <c r="J710" i="1"/>
  <c r="J671" i="1"/>
  <c r="J707" i="1"/>
  <c r="J674" i="1"/>
  <c r="J669" i="1"/>
  <c r="J681" i="1"/>
  <c r="J687" i="1"/>
  <c r="J645" i="1"/>
  <c r="J640" i="1"/>
  <c r="J675" i="1"/>
  <c r="J673" i="1"/>
  <c r="J692" i="1"/>
  <c r="J672" i="1"/>
  <c r="J701" i="1"/>
  <c r="J706" i="1"/>
  <c r="J668" i="1"/>
  <c r="J647" i="1"/>
  <c r="J696" i="1"/>
  <c r="J685" i="1"/>
  <c r="J693" i="1"/>
  <c r="J708" i="1"/>
  <c r="J638" i="1"/>
  <c r="J711" i="1"/>
  <c r="J705" i="1"/>
  <c r="J676" i="1"/>
  <c r="J635" i="1"/>
  <c r="J698" i="1"/>
  <c r="J686" i="1"/>
  <c r="J709" i="1"/>
  <c r="J682" i="1"/>
  <c r="J633" i="1"/>
  <c r="J704" i="1"/>
  <c r="J712" i="1"/>
  <c r="J678" i="1"/>
  <c r="J695" i="1"/>
  <c r="J637" i="1"/>
  <c r="J688" i="1"/>
  <c r="J689" i="1"/>
  <c r="J713" i="1"/>
  <c r="J690" i="1"/>
  <c r="J639" i="1"/>
  <c r="J700" i="1"/>
  <c r="J644" i="1"/>
  <c r="J677" i="1"/>
  <c r="J684" i="1"/>
  <c r="J631" i="1"/>
  <c r="J636" i="1"/>
  <c r="J632" i="1"/>
  <c r="J641" i="1"/>
  <c r="J716" i="1"/>
  <c r="J691" i="1"/>
  <c r="J670" i="1"/>
  <c r="J703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5" i="10"/>
  <c r="J684" i="10"/>
  <c r="J680" i="10"/>
  <c r="J676" i="10"/>
  <c r="J672" i="10"/>
  <c r="J668" i="10"/>
  <c r="J695" i="10"/>
  <c r="J691" i="10"/>
  <c r="J687" i="10"/>
  <c r="J679" i="10"/>
  <c r="J678" i="10"/>
  <c r="J677" i="10"/>
  <c r="J646" i="10"/>
  <c r="J675" i="10"/>
  <c r="J674" i="10"/>
  <c r="J673" i="10"/>
  <c r="J644" i="10"/>
  <c r="J642" i="10"/>
  <c r="J640" i="10"/>
  <c r="J639" i="10"/>
  <c r="J638" i="10"/>
  <c r="J637" i="10"/>
  <c r="J636" i="10"/>
  <c r="J635" i="10"/>
  <c r="J634" i="10"/>
  <c r="J633" i="10"/>
  <c r="J632" i="10"/>
  <c r="J631" i="10"/>
  <c r="J671" i="10"/>
  <c r="J670" i="10"/>
  <c r="J669" i="10"/>
  <c r="J647" i="10"/>
  <c r="J643" i="10"/>
  <c r="J645" i="10"/>
  <c r="J711" i="10"/>
  <c r="J703" i="10"/>
  <c r="J707" i="10"/>
  <c r="J683" i="10"/>
  <c r="J682" i="10"/>
  <c r="J641" i="10"/>
  <c r="J681" i="10"/>
  <c r="K644" i="1" l="1"/>
  <c r="K702" i="1" s="1"/>
  <c r="J715" i="1"/>
  <c r="L647" i="1"/>
  <c r="L694" i="1" s="1"/>
  <c r="K644" i="10"/>
  <c r="K713" i="10" s="1"/>
  <c r="K701" i="10"/>
  <c r="K697" i="10"/>
  <c r="K706" i="10"/>
  <c r="K694" i="10"/>
  <c r="K690" i="10"/>
  <c r="K703" i="10"/>
  <c r="K691" i="10"/>
  <c r="K687" i="10"/>
  <c r="K677" i="10"/>
  <c r="K686" i="10"/>
  <c r="K676" i="10"/>
  <c r="K704" i="10"/>
  <c r="K671" i="10"/>
  <c r="K670" i="10"/>
  <c r="K684" i="10"/>
  <c r="K680" i="10"/>
  <c r="K679" i="10"/>
  <c r="L647" i="10"/>
  <c r="J715" i="10"/>
  <c r="K682" i="10" l="1"/>
  <c r="K672" i="10"/>
  <c r="K669" i="10"/>
  <c r="K695" i="10"/>
  <c r="K698" i="10"/>
  <c r="K705" i="10"/>
  <c r="K683" i="10"/>
  <c r="K700" i="10"/>
  <c r="K673" i="10"/>
  <c r="K699" i="10"/>
  <c r="K702" i="10"/>
  <c r="K709" i="10"/>
  <c r="K688" i="10"/>
  <c r="K708" i="10"/>
  <c r="K681" i="10"/>
  <c r="K707" i="10"/>
  <c r="K710" i="10"/>
  <c r="K674" i="10"/>
  <c r="K711" i="10"/>
  <c r="K685" i="10"/>
  <c r="K692" i="10"/>
  <c r="K696" i="10"/>
  <c r="K678" i="10"/>
  <c r="K668" i="10"/>
  <c r="K715" i="10" s="1"/>
  <c r="K675" i="10"/>
  <c r="K712" i="10"/>
  <c r="K716" i="10"/>
  <c r="K693" i="10"/>
  <c r="K672" i="1"/>
  <c r="K676" i="1"/>
  <c r="K712" i="1"/>
  <c r="K669" i="1"/>
  <c r="K707" i="1"/>
  <c r="K708" i="1"/>
  <c r="K694" i="1"/>
  <c r="K674" i="1"/>
  <c r="K684" i="1"/>
  <c r="K681" i="1"/>
  <c r="K685" i="1"/>
  <c r="K697" i="1"/>
  <c r="K706" i="1"/>
  <c r="K701" i="1"/>
  <c r="K696" i="1"/>
  <c r="K716" i="1"/>
  <c r="K687" i="1"/>
  <c r="K686" i="1"/>
  <c r="K677" i="1"/>
  <c r="K682" i="1"/>
  <c r="K678" i="1"/>
  <c r="K690" i="1"/>
  <c r="K670" i="1"/>
  <c r="K699" i="1"/>
  <c r="K668" i="1"/>
  <c r="K700" i="1"/>
  <c r="K683" i="1"/>
  <c r="K679" i="1"/>
  <c r="K704" i="1"/>
  <c r="K689" i="1"/>
  <c r="K675" i="1"/>
  <c r="K680" i="1"/>
  <c r="K698" i="1"/>
  <c r="K692" i="1"/>
  <c r="K705" i="1"/>
  <c r="K703" i="1"/>
  <c r="K695" i="1"/>
  <c r="K711" i="1"/>
  <c r="K691" i="1"/>
  <c r="K709" i="1"/>
  <c r="K713" i="1"/>
  <c r="K693" i="1"/>
  <c r="K673" i="1"/>
  <c r="K671" i="1"/>
  <c r="K688" i="1"/>
  <c r="K710" i="1"/>
  <c r="L680" i="1"/>
  <c r="L692" i="1"/>
  <c r="L672" i="1"/>
  <c r="M672" i="1" s="1"/>
  <c r="G23" i="9" s="1"/>
  <c r="L688" i="1"/>
  <c r="L709" i="1"/>
  <c r="L710" i="1"/>
  <c r="M710" i="1" s="1"/>
  <c r="Y776" i="1" s="1"/>
  <c r="L675" i="1"/>
  <c r="L683" i="1"/>
  <c r="L704" i="1"/>
  <c r="L702" i="1"/>
  <c r="M702" i="1" s="1"/>
  <c r="I151" i="9" s="1"/>
  <c r="L668" i="1"/>
  <c r="L691" i="1"/>
  <c r="L706" i="1"/>
  <c r="L669" i="1"/>
  <c r="M669" i="1" s="1"/>
  <c r="Y735" i="1" s="1"/>
  <c r="L713" i="1"/>
  <c r="L690" i="1"/>
  <c r="L701" i="1"/>
  <c r="L698" i="1"/>
  <c r="L696" i="1"/>
  <c r="L711" i="1"/>
  <c r="M711" i="1" s="1"/>
  <c r="L695" i="1"/>
  <c r="M695" i="1" s="1"/>
  <c r="Y761" i="1" s="1"/>
  <c r="L716" i="1"/>
  <c r="L670" i="1"/>
  <c r="L685" i="1"/>
  <c r="L676" i="1"/>
  <c r="M676" i="1" s="1"/>
  <c r="L708" i="1"/>
  <c r="M708" i="1" s="1"/>
  <c r="Y774" i="1" s="1"/>
  <c r="L703" i="1"/>
  <c r="L674" i="1"/>
  <c r="M674" i="1" s="1"/>
  <c r="L689" i="1"/>
  <c r="L671" i="1"/>
  <c r="M671" i="1" s="1"/>
  <c r="Y737" i="1" s="1"/>
  <c r="L673" i="1"/>
  <c r="L705" i="1"/>
  <c r="L682" i="1"/>
  <c r="L700" i="1"/>
  <c r="M700" i="1" s="1"/>
  <c r="Y766" i="1" s="1"/>
  <c r="L679" i="1"/>
  <c r="L707" i="1"/>
  <c r="L693" i="1"/>
  <c r="L681" i="1"/>
  <c r="M681" i="1" s="1"/>
  <c r="L697" i="1"/>
  <c r="L687" i="1"/>
  <c r="L712" i="1"/>
  <c r="L686" i="1"/>
  <c r="L684" i="1"/>
  <c r="M684" i="1" s="1"/>
  <c r="Y750" i="1" s="1"/>
  <c r="L678" i="1"/>
  <c r="L699" i="1"/>
  <c r="L677" i="1"/>
  <c r="M694" i="1"/>
  <c r="Y760" i="1" s="1"/>
  <c r="K689" i="10"/>
  <c r="L710" i="10"/>
  <c r="M710" i="10" s="1"/>
  <c r="Z776" i="10" s="1"/>
  <c r="L706" i="10"/>
  <c r="M706" i="10" s="1"/>
  <c r="Z772" i="10" s="1"/>
  <c r="L702" i="10"/>
  <c r="M702" i="10" s="1"/>
  <c r="Z768" i="10" s="1"/>
  <c r="L698" i="10"/>
  <c r="M698" i="10" s="1"/>
  <c r="Z764" i="10" s="1"/>
  <c r="L694" i="10"/>
  <c r="M694" i="10" s="1"/>
  <c r="Z760" i="10" s="1"/>
  <c r="L690" i="10"/>
  <c r="M690" i="10" s="1"/>
  <c r="Z756" i="10" s="1"/>
  <c r="L686" i="10"/>
  <c r="M686" i="10" s="1"/>
  <c r="Z752" i="10" s="1"/>
  <c r="L716" i="10"/>
  <c r="L711" i="10"/>
  <c r="M711" i="10" s="1"/>
  <c r="Z777" i="10" s="1"/>
  <c r="L707" i="10"/>
  <c r="L703" i="10"/>
  <c r="M703" i="10" s="1"/>
  <c r="Z769" i="10" s="1"/>
  <c r="L699" i="10"/>
  <c r="M699" i="10" s="1"/>
  <c r="Z765" i="10" s="1"/>
  <c r="L695" i="10"/>
  <c r="M695" i="10" s="1"/>
  <c r="Z761" i="10" s="1"/>
  <c r="L691" i="10"/>
  <c r="M691" i="10" s="1"/>
  <c r="Z757" i="10" s="1"/>
  <c r="L687" i="10"/>
  <c r="M687" i="10" s="1"/>
  <c r="Z753" i="10" s="1"/>
  <c r="L712" i="10"/>
  <c r="M712" i="10" s="1"/>
  <c r="Z778" i="10" s="1"/>
  <c r="L708" i="10"/>
  <c r="M708" i="10" s="1"/>
  <c r="Z774" i="10" s="1"/>
  <c r="L704" i="10"/>
  <c r="M704" i="10" s="1"/>
  <c r="Z770" i="10" s="1"/>
  <c r="L700" i="10"/>
  <c r="L696" i="10"/>
  <c r="M696" i="10" s="1"/>
  <c r="Z762" i="10" s="1"/>
  <c r="L692" i="10"/>
  <c r="M692" i="10" s="1"/>
  <c r="Z758" i="10" s="1"/>
  <c r="L688" i="10"/>
  <c r="M688" i="10" s="1"/>
  <c r="Z754" i="10" s="1"/>
  <c r="L709" i="10"/>
  <c r="M709" i="10" s="1"/>
  <c r="Z775" i="10" s="1"/>
  <c r="L693" i="10"/>
  <c r="M693" i="10" s="1"/>
  <c r="Z759" i="10" s="1"/>
  <c r="L682" i="10"/>
  <c r="M682" i="10" s="1"/>
  <c r="Z748" i="10" s="1"/>
  <c r="L678" i="10"/>
  <c r="L674" i="10"/>
  <c r="M674" i="10" s="1"/>
  <c r="Z740" i="10" s="1"/>
  <c r="L670" i="10"/>
  <c r="M670" i="10" s="1"/>
  <c r="Z736" i="10" s="1"/>
  <c r="L689" i="10"/>
  <c r="M689" i="10" s="1"/>
  <c r="Z755" i="10" s="1"/>
  <c r="L685" i="10"/>
  <c r="M685" i="10" s="1"/>
  <c r="Z751" i="10" s="1"/>
  <c r="L673" i="10"/>
  <c r="M673" i="10" s="1"/>
  <c r="Z739" i="10" s="1"/>
  <c r="L672" i="10"/>
  <c r="M672" i="10" s="1"/>
  <c r="Z738" i="10" s="1"/>
  <c r="L671" i="10"/>
  <c r="M671" i="10" s="1"/>
  <c r="Z737" i="10" s="1"/>
  <c r="L684" i="10"/>
  <c r="M684" i="10" s="1"/>
  <c r="Z750" i="10" s="1"/>
  <c r="L683" i="10"/>
  <c r="L669" i="10"/>
  <c r="M669" i="10" s="1"/>
  <c r="Z735" i="10" s="1"/>
  <c r="L668" i="10"/>
  <c r="L713" i="10"/>
  <c r="M713" i="10" s="1"/>
  <c r="L705" i="10"/>
  <c r="M705" i="10" s="1"/>
  <c r="Z771" i="10" s="1"/>
  <c r="L701" i="10"/>
  <c r="M701" i="10" s="1"/>
  <c r="Z767" i="10" s="1"/>
  <c r="L697" i="10"/>
  <c r="M697" i="10" s="1"/>
  <c r="Z763" i="10" s="1"/>
  <c r="L681" i="10"/>
  <c r="L680" i="10"/>
  <c r="M680" i="10" s="1"/>
  <c r="Z746" i="10" s="1"/>
  <c r="L679" i="10"/>
  <c r="M679" i="10" s="1"/>
  <c r="Z745" i="10" s="1"/>
  <c r="L676" i="10"/>
  <c r="M676" i="10" s="1"/>
  <c r="Z742" i="10" s="1"/>
  <c r="L675" i="10"/>
  <c r="M675" i="10" s="1"/>
  <c r="Z741" i="10" s="1"/>
  <c r="L677" i="10"/>
  <c r="M677" i="10" s="1"/>
  <c r="Z743" i="10" s="1"/>
  <c r="M681" i="10" l="1"/>
  <c r="Z747" i="10" s="1"/>
  <c r="M678" i="10"/>
  <c r="Z744" i="10" s="1"/>
  <c r="M707" i="10"/>
  <c r="Z773" i="10" s="1"/>
  <c r="M700" i="10"/>
  <c r="Z766" i="10" s="1"/>
  <c r="M680" i="1"/>
  <c r="Y746" i="1" s="1"/>
  <c r="M705" i="1"/>
  <c r="Y771" i="1" s="1"/>
  <c r="M683" i="1"/>
  <c r="Y749" i="1" s="1"/>
  <c r="M683" i="10"/>
  <c r="Z749" i="10" s="1"/>
  <c r="M712" i="1"/>
  <c r="Y778" i="1" s="1"/>
  <c r="M707" i="1"/>
  <c r="M685" i="1"/>
  <c r="Y751" i="1" s="1"/>
  <c r="M687" i="1"/>
  <c r="Y753" i="1" s="1"/>
  <c r="M703" i="1"/>
  <c r="Y769" i="1" s="1"/>
  <c r="M673" i="1"/>
  <c r="H23" i="9" s="1"/>
  <c r="M696" i="1"/>
  <c r="Y762" i="1" s="1"/>
  <c r="M698" i="1"/>
  <c r="E151" i="9" s="1"/>
  <c r="M691" i="1"/>
  <c r="E119" i="9" s="1"/>
  <c r="M706" i="1"/>
  <c r="Y772" i="1" s="1"/>
  <c r="M675" i="1"/>
  <c r="Y741" i="1" s="1"/>
  <c r="M668" i="1"/>
  <c r="C23" i="9" s="1"/>
  <c r="M677" i="1"/>
  <c r="Y743" i="1" s="1"/>
  <c r="M692" i="1"/>
  <c r="Y758" i="1" s="1"/>
  <c r="K715" i="1"/>
  <c r="M670" i="1"/>
  <c r="E23" i="9" s="1"/>
  <c r="M693" i="1"/>
  <c r="G119" i="9" s="1"/>
  <c r="M679" i="1"/>
  <c r="Y745" i="1" s="1"/>
  <c r="M701" i="1"/>
  <c r="Y767" i="1" s="1"/>
  <c r="M709" i="1"/>
  <c r="I183" i="9" s="1"/>
  <c r="M690" i="1"/>
  <c r="D119" i="9" s="1"/>
  <c r="M682" i="1"/>
  <c r="Y748" i="1" s="1"/>
  <c r="M713" i="1"/>
  <c r="M704" i="1"/>
  <c r="Y770" i="1" s="1"/>
  <c r="M689" i="1"/>
  <c r="Y755" i="1" s="1"/>
  <c r="M686" i="1"/>
  <c r="G87" i="9" s="1"/>
  <c r="M699" i="1"/>
  <c r="F151" i="9" s="1"/>
  <c r="M697" i="1"/>
  <c r="D151" i="9" s="1"/>
  <c r="M688" i="1"/>
  <c r="C215" i="9"/>
  <c r="H55" i="9"/>
  <c r="E183" i="9"/>
  <c r="D87" i="9"/>
  <c r="I119" i="9"/>
  <c r="Y768" i="1"/>
  <c r="F87" i="9"/>
  <c r="F23" i="9"/>
  <c r="E215" i="9"/>
  <c r="D55" i="9"/>
  <c r="Y742" i="1"/>
  <c r="Y757" i="1"/>
  <c r="I23" i="9"/>
  <c r="Y740" i="1"/>
  <c r="D23" i="9"/>
  <c r="Y773" i="1"/>
  <c r="G183" i="9"/>
  <c r="Y777" i="1"/>
  <c r="D215" i="9"/>
  <c r="Y738" i="1"/>
  <c r="L715" i="1"/>
  <c r="I55" i="9"/>
  <c r="Y747" i="1"/>
  <c r="M678" i="1"/>
  <c r="H183" i="9"/>
  <c r="E87" i="9"/>
  <c r="G151" i="9"/>
  <c r="H119" i="9"/>
  <c r="H87" i="9"/>
  <c r="L715" i="10"/>
  <c r="M668" i="10"/>
  <c r="C183" i="9" l="1"/>
  <c r="C55" i="9"/>
  <c r="E55" i="9"/>
  <c r="Y764" i="1"/>
  <c r="Y739" i="1"/>
  <c r="C151" i="9"/>
  <c r="Y734" i="1"/>
  <c r="Y759" i="1"/>
  <c r="F183" i="9"/>
  <c r="G55" i="9"/>
  <c r="Y775" i="1"/>
  <c r="F119" i="9"/>
  <c r="D183" i="9"/>
  <c r="Y736" i="1"/>
  <c r="C119" i="9"/>
  <c r="Y765" i="1"/>
  <c r="C87" i="9"/>
  <c r="Y752" i="1"/>
  <c r="Y756" i="1"/>
  <c r="H151" i="9"/>
  <c r="Y779" i="1"/>
  <c r="F215" i="9"/>
  <c r="Y763" i="1"/>
  <c r="I87" i="9"/>
  <c r="Y754" i="1"/>
  <c r="Y744" i="1"/>
  <c r="F55" i="9"/>
  <c r="M715" i="1"/>
  <c r="M715" i="10"/>
  <c r="Z815" i="10" s="1"/>
  <c r="Z734" i="10"/>
  <c r="Z814" i="10" s="1"/>
  <c r="Y815" i="1" l="1"/>
</calcChain>
</file>

<file path=xl/sharedStrings.xml><?xml version="1.0" encoding="utf-8"?>
<sst xmlns="http://schemas.openxmlformats.org/spreadsheetml/2006/main" count="4941" uniqueCount="1281">
  <si>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</si>
  <si>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</si>
  <si>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</si>
  <si>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</si>
  <si>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</si>
  <si>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</si>
  <si>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</si>
  <si>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</si>
  <si>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</si>
  <si>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</si>
  <si>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</si>
  <si>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</si>
  <si>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</si>
  <si>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</si>
  <si>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</si>
  <si>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</si>
  <si>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</si>
  <si>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</si>
  <si>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</si>
  <si>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</si>
  <si>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</si>
  <si>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</si>
  <si>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</si>
  <si>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</si>
  <si>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</si>
  <si>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</si>
  <si>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</si>
  <si>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</si>
  <si>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</si>
  <si>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</si>
  <si>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</si>
  <si>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</si>
  <si>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</si>
  <si>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</si>
  <si>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</si>
  <si>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</si>
  <si>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</si>
  <si>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</si>
  <si>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</si>
  <si>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</si>
  <si>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</si>
  <si>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</si>
  <si>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</si>
  <si>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</si>
  <si>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</si>
  <si>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</si>
  <si>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</si>
  <si>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</si>
  <si>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</si>
  <si>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</si>
  <si>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</si>
  <si>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</si>
  <si>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</si>
  <si>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</si>
  <si>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</si>
  <si>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</si>
  <si>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</si>
  <si>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</si>
  <si>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</si>
  <si>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</si>
  <si>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</si>
  <si>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</si>
  <si>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</si>
  <si>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</si>
  <si>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</si>
  <si>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</si>
  <si>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</si>
  <si>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</si>
  <si>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</si>
  <si>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</si>
  <si>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</si>
  <si>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</si>
  <si>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</si>
  <si>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</si>
  <si>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</si>
  <si>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</si>
  <si>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</si>
  <si>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</si>
  <si>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</si>
  <si>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</si>
  <si>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</si>
  <si>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</si>
  <si>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</si>
  <si>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</si>
  <si>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</si>
  <si>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</si>
  <si>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</si>
  <si>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</si>
  <si>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</si>
  <si>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</si>
  <si>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</si>
  <si>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</si>
  <si>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</si>
  <si>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</si>
  <si>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</si>
  <si>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</si>
  <si>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</si>
  <si>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</si>
  <si>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</si>
  <si>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</si>
  <si>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</si>
  <si>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</si>
  <si>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</si>
  <si>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</si>
  <si>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</si>
  <si>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</si>
  <si>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</si>
  <si>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</si>
  <si>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</si>
  <si>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</si>
  <si>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</si>
  <si>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</si>
  <si>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</si>
  <si>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</si>
  <si>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</si>
  <si>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</si>
  <si>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</si>
  <si>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</si>
  <si>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</si>
  <si>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</si>
  <si>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</si>
  <si>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</si>
  <si>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</si>
  <si>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</si>
  <si>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</si>
  <si>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</si>
  <si>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</si>
  <si>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</si>
  <si>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</si>
  <si>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</si>
  <si>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</si>
  <si>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</si>
  <si>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</si>
  <si>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</si>
  <si>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</si>
  <si>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</si>
  <si>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</si>
  <si>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</si>
  <si>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</si>
  <si>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</si>
  <si>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</si>
  <si>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</si>
  <si>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</si>
  <si>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</si>
  <si>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</si>
  <si>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</si>
  <si>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</si>
  <si>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</si>
  <si>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</si>
  <si>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</si>
  <si>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</si>
  <si>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</si>
  <si>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</si>
  <si>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</si>
  <si>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</si>
  <si>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</si>
  <si>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</si>
  <si>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</si>
  <si>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</si>
  <si>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</si>
  <si>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</si>
  <si>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</si>
  <si>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</si>
  <si>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</si>
  <si>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</si>
  <si>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</si>
  <si>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</si>
  <si>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</si>
  <si>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</si>
  <si>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</si>
  <si>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</si>
  <si>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</si>
  <si>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</si>
  <si>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</si>
  <si>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</si>
  <si>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</si>
  <si>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</si>
  <si>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</si>
  <si>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</si>
  <si>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</si>
  <si>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</si>
  <si>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</si>
  <si>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</si>
  <si>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</si>
  <si>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</si>
  <si>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</si>
  <si>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</si>
  <si>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</si>
  <si>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</si>
  <si>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</si>
  <si>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</si>
  <si>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</si>
  <si>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</si>
  <si>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</si>
  <si>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</si>
  <si>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</si>
  <si>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</si>
  <si>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</si>
  <si>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</si>
  <si>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</si>
  <si>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</si>
  <si>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</si>
  <si>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</si>
  <si>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</si>
  <si>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</si>
  <si>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</si>
  <si>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</si>
  <si>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</si>
  <si>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</si>
  <si>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</si>
  <si>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</si>
  <si>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</si>
  <si>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</si>
  <si>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</si>
  <si>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</si>
  <si>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</si>
  <si>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</si>
  <si>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</si>
  <si>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</si>
  <si>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</si>
  <si>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</si>
  <si>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</si>
  <si>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</si>
  <si>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</si>
  <si>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</si>
  <si>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</si>
  <si>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</si>
  <si>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</si>
  <si>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</si>
  <si>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</si>
  <si>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</si>
  <si>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</si>
  <si>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</si>
  <si>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</si>
  <si>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</si>
  <si>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</si>
  <si>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</si>
  <si>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</si>
  <si>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</si>
  <si>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</si>
  <si>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</si>
  <si>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</si>
  <si>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</si>
  <si>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</si>
  <si>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</si>
  <si>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</si>
  <si>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</si>
  <si>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</si>
  <si>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</si>
  <si>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</si>
  <si>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</si>
  <si>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</si>
  <si>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</si>
  <si>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</si>
  <si>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</si>
  <si>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</si>
  <si>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</si>
  <si>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</si>
  <si>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</si>
  <si>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</si>
  <si>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</si>
  <si>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</si>
  <si>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</si>
  <si>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</si>
  <si>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</si>
  <si>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</si>
  <si>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</si>
  <si>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</si>
  <si>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</si>
  <si>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</si>
  <si>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</si>
  <si>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</si>
  <si>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</si>
  <si>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</si>
  <si>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</si>
  <si>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</si>
  <si>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</si>
  <si>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</si>
  <si>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</si>
  <si>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</si>
  <si>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</si>
  <si>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</si>
  <si>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</si>
  <si>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</si>
  <si>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</si>
  <si>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</si>
  <si>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</si>
  <si>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</si>
  <si>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</si>
  <si>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</si>
  <si>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</si>
  <si>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</si>
  <si>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</si>
  <si>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</si>
  <si>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</si>
  <si>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</si>
  <si>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</si>
  <si>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</si>
  <si>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</si>
  <si>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</si>
  <si>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</si>
  <si>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</si>
  <si>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</si>
  <si>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</si>
  <si>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</si>
  <si>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</si>
  <si>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</si>
  <si>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</si>
  <si>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</si>
  <si>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</si>
  <si>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</si>
  <si>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</si>
  <si>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</si>
  <si>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</si>
  <si>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</si>
  <si>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</si>
  <si>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</si>
  <si>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</si>
  <si>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</si>
  <si>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</si>
  <si>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</si>
  <si>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</si>
  <si>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</si>
  <si>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</si>
  <si>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</si>
  <si>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</si>
  <si>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</si>
  <si>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</si>
  <si>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</si>
  <si>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</si>
  <si>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</si>
  <si>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</si>
  <si>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</si>
  <si>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</si>
  <si>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</si>
  <si>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</si>
  <si>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</si>
  <si>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</si>
  <si>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</si>
  <si>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</si>
  <si>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</si>
  <si>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</si>
  <si>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</si>
  <si>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</si>
  <si>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</si>
  <si>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</si>
  <si>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</si>
  <si>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</si>
  <si>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</si>
  <si>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</si>
  <si>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</si>
  <si>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</si>
  <si>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</si>
  <si>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</si>
  <si>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</si>
  <si>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</si>
  <si>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</si>
  <si>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</si>
  <si>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</si>
  <si>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</si>
  <si>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</si>
  <si>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</si>
  <si>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</si>
  <si>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</si>
  <si>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</si>
  <si>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</si>
  <si>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</si>
  <si>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</si>
  <si>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</si>
  <si>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</si>
  <si>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</si>
  <si>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</si>
  <si>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</si>
  <si>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</si>
  <si>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</si>
  <si>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</si>
  <si>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</si>
  <si>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</si>
  <si>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</si>
  <si>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</si>
  <si>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</si>
  <si>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</si>
  <si>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</si>
  <si>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</si>
  <si>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</si>
  <si>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</si>
  <si>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</si>
  <si>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</si>
  <si>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</si>
  <si>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</si>
  <si>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</si>
  <si>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</si>
  <si>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</si>
  <si>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</si>
  <si>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</si>
  <si>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</si>
  <si>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</si>
  <si>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</si>
  <si>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</si>
  <si>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</si>
  <si>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</si>
  <si>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</si>
  <si>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</si>
  <si>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</si>
  <si>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</si>
  <si>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</si>
  <si>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</si>
  <si>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</si>
  <si>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</si>
  <si>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</si>
  <si>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</si>
  <si>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</si>
  <si>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</si>
  <si>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</si>
  <si>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</si>
  <si>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</si>
  <si>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</si>
  <si>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</si>
  <si>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</si>
  <si>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</si>
  <si>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</si>
  <si>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</si>
  <si>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</si>
  <si>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</si>
  <si>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</si>
  <si>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</si>
  <si>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</si>
  <si>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</si>
  <si>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</si>
  <si>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</si>
  <si>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</si>
  <si>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</si>
  <si>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</si>
  <si>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</si>
  <si>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</si>
  <si>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</si>
  <si>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</si>
  <si>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</si>
  <si>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</si>
  <si>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</si>
  <si>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</si>
  <si>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</si>
  <si>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</si>
  <si>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</si>
  <si>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</si>
  <si>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</si>
  <si>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</si>
  <si>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</si>
  <si>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</si>
  <si>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</si>
  <si>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</si>
  <si>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</si>
  <si>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</si>
  <si>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</si>
  <si>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</si>
  <si>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</si>
  <si>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</si>
  <si>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</si>
  <si>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</si>
  <si>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</si>
  <si>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</si>
  <si>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</si>
  <si>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</si>
  <si>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</si>
  <si>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</si>
  <si>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</si>
  <si>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</si>
  <si>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</si>
  <si>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</si>
  <si>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</si>
  <si>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</si>
  <si>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</si>
  <si>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</si>
  <si>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</si>
  <si>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</si>
  <si>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</si>
  <si>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</si>
  <si>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</si>
  <si>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</si>
  <si>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</si>
  <si>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</si>
  <si>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</si>
  <si>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</si>
  <si>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</si>
  <si>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</si>
  <si>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</si>
  <si>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</si>
  <si>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</si>
  <si>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</si>
  <si>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</si>
  <si>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</si>
  <si>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</si>
  <si>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</si>
  <si>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</si>
  <si>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</si>
  <si>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</si>
  <si>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</si>
  <si>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</si>
  <si>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</si>
  <si>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</si>
  <si>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</si>
  <si>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</si>
  <si>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</si>
  <si>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</si>
  <si>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</si>
  <si>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</si>
  <si>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</si>
  <si>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</si>
  <si>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</si>
  <si>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</si>
  <si>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</si>
  <si>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</si>
  <si>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</si>
  <si>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</si>
  <si>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</si>
  <si>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</si>
  <si>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</si>
  <si>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</si>
  <si>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</si>
  <si>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</si>
  <si>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</si>
  <si>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</si>
  <si>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</si>
  <si>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</si>
  <si>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</si>
  <si>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</si>
  <si>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</si>
  <si>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</si>
  <si>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</si>
  <si>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</si>
  <si>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</si>
  <si>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</si>
  <si>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</si>
  <si>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</si>
  <si>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</si>
  <si>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</si>
  <si>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</si>
  <si>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</si>
  <si>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</si>
  <si>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</si>
  <si>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</si>
  <si>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</si>
  <si>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</si>
  <si>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</si>
  <si>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</si>
  <si>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</si>
  <si>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</si>
  <si>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</si>
  <si>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</si>
  <si>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</si>
  <si>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</si>
  <si>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</si>
  <si>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</si>
  <si>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</si>
  <si>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</si>
  <si>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</si>
  <si>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</si>
  <si>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</si>
  <si>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</si>
  <si>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</si>
  <si>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</si>
  <si>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</si>
  <si>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</si>
  <si>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</si>
  <si>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</si>
  <si>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</si>
  <si>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</si>
  <si>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</si>
  <si>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</si>
  <si>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</si>
  <si>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</si>
  <si>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</si>
  <si>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</si>
  <si>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</si>
  <si>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</si>
  <si>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</si>
  <si>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</si>
  <si>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</si>
  <si>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</si>
  <si>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</si>
  <si>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</si>
  <si>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</si>
  <si>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</si>
  <si>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</si>
  <si>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</si>
  <si>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</si>
  <si>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</si>
  <si>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</si>
  <si>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</si>
  <si>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</si>
  <si>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</si>
  <si>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</si>
  <si>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</si>
  <si>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</si>
  <si>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</si>
  <si>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</si>
  <si>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</si>
  <si>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</si>
  <si>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</si>
  <si>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</si>
  <si>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</si>
  <si>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</si>
  <si>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</si>
  <si>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</si>
  <si>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</si>
  <si>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</si>
  <si>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</si>
  <si>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</si>
  <si>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</si>
  <si>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</si>
  <si>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</si>
  <si>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</si>
  <si>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</si>
  <si>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</si>
  <si>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</si>
  <si>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</si>
  <si>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</si>
  <si>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</si>
  <si>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</si>
  <si>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</si>
  <si>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</si>
  <si>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</si>
  <si>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</si>
  <si>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</si>
  <si>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</si>
  <si>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</si>
  <si>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</si>
  <si>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</si>
  <si>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</si>
  <si>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</si>
  <si>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</si>
  <si>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</si>
  <si>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</si>
  <si>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</si>
  <si>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</si>
  <si>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</si>
  <si>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</si>
  <si>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</si>
  <si>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</si>
  <si>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</si>
  <si>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</si>
  <si>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</si>
  <si>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</si>
  <si>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</si>
  <si>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</si>
  <si>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</si>
  <si>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</si>
  <si>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</si>
  <si>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</si>
  <si>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</si>
  <si>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</si>
  <si>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</si>
  <si>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</si>
  <si>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</si>
  <si>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</si>
  <si>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</si>
  <si>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</si>
  <si>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</si>
  <si>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</si>
  <si>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</si>
  <si>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</si>
  <si>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</si>
  <si>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</si>
  <si>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</si>
  <si>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</si>
  <si>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</si>
  <si>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</si>
  <si>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</si>
  <si>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</si>
  <si>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</si>
  <si>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</si>
  <si>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</si>
  <si>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</si>
  <si>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</si>
  <si>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</si>
  <si>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</si>
  <si>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</si>
  <si>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</si>
  <si>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</si>
  <si>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</si>
  <si>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</si>
  <si>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</si>
  <si>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</si>
  <si>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</si>
  <si>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</si>
  <si>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</si>
  <si>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</si>
  <si>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</si>
  <si>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</si>
  <si>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</si>
  <si>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</si>
  <si>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</si>
  <si>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</si>
  <si>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</si>
  <si>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</si>
  <si>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</si>
  <si>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</si>
  <si>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</si>
  <si>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</si>
  <si>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</si>
  <si>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</si>
  <si>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</si>
  <si>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</si>
  <si>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</si>
  <si>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</si>
  <si>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</si>
  <si>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</si>
  <si>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</si>
  <si>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</si>
  <si>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</si>
  <si>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</si>
  <si>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</si>
  <si>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</si>
  <si>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</si>
  <si>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</si>
  <si>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</si>
  <si>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</si>
  <si>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</si>
  <si>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</si>
  <si>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</si>
  <si>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</si>
  <si>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</si>
  <si>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</si>
  <si>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</si>
  <si>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</si>
  <si>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</si>
  <si>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</si>
  <si>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</si>
  <si>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</si>
  <si>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</si>
  <si>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</si>
  <si>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</si>
  <si>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</si>
  <si>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</si>
  <si>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</si>
  <si>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</si>
  <si>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</si>
  <si>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</si>
  <si>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</si>
  <si>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</si>
  <si>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</si>
  <si>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</si>
  <si>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</si>
  <si>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</si>
  <si>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</si>
  <si>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</si>
  <si>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</si>
  <si>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</si>
  <si>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</si>
  <si>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</si>
  <si>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</si>
  <si>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</si>
  <si>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</si>
  <si>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</si>
  <si>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</si>
  <si>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</si>
  <si>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</si>
  <si>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</si>
  <si>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</si>
  <si>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</si>
  <si>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</si>
  <si>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</si>
  <si>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</si>
  <si>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</si>
  <si>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</si>
  <si>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</si>
  <si>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</si>
  <si>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</si>
  <si>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</si>
  <si>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</si>
  <si>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</si>
  <si>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</si>
  <si>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</si>
  <si>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</si>
  <si>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</si>
  <si>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</si>
  <si>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</si>
  <si>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</si>
  <si>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</si>
  <si>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</si>
  <si>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</si>
  <si>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</si>
  <si>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</si>
  <si>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</si>
  <si>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</si>
  <si>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</si>
  <si>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</si>
  <si>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</si>
  <si>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</si>
  <si>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</si>
  <si>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</si>
  <si>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</si>
  <si>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</si>
  <si>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</si>
  <si>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</si>
  <si>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</si>
  <si>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</si>
  <si>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</si>
  <si>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</si>
  <si>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</si>
  <si>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</si>
  <si>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</si>
  <si>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</si>
  <si>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</si>
  <si>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</si>
  <si>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</si>
  <si>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</si>
  <si>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</si>
  <si>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</si>
  <si>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</si>
  <si>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</si>
  <si>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</si>
  <si>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</si>
  <si>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</si>
  <si>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</si>
  <si>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</si>
  <si>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</si>
  <si>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</si>
  <si>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</si>
  <si>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</si>
  <si>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</si>
  <si>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</si>
  <si>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</si>
  <si>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</si>
  <si>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</si>
  <si>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</si>
  <si>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</si>
  <si>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</si>
  <si>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</si>
  <si>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</si>
  <si>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</si>
  <si>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</si>
  <si>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</si>
  <si>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</si>
  <si>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</si>
  <si>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</si>
  <si>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</si>
  <si>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</si>
  <si>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</si>
  <si>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</si>
  <si>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</si>
  <si>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</si>
  <si>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</si>
  <si>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</si>
  <si>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</si>
  <si>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</si>
  <si>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</si>
  <si>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</si>
  <si>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</si>
  <si>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</si>
  <si>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</si>
  <si>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</si>
  <si>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</si>
  <si>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</si>
  <si>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</si>
  <si>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</si>
  <si>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</si>
  <si>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</si>
  <si>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</si>
  <si>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</si>
  <si>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</si>
  <si>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</si>
  <si>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</si>
  <si>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</si>
  <si>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</si>
  <si>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</si>
  <si>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</si>
  <si>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</si>
  <si>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</si>
  <si>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</si>
  <si>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</si>
  <si>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</si>
  <si>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</si>
  <si>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</si>
  <si>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</si>
  <si>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</si>
  <si>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</si>
  <si>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</si>
  <si>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</si>
  <si>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</si>
  <si>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</si>
  <si>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</si>
  <si>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</si>
  <si>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</si>
  <si>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</si>
  <si>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</si>
  <si>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</si>
  <si>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</si>
  <si>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</si>
  <si>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</si>
  <si>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</si>
  <si>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</si>
  <si>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</si>
  <si>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</si>
  <si>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</si>
  <si>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</si>
  <si>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</si>
  <si>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</si>
  <si>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</si>
  <si>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</si>
  <si>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</si>
  <si>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</si>
  <si>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</si>
  <si>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</si>
  <si>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</si>
  <si>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</si>
  <si>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</si>
  <si>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</si>
  <si>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</si>
  <si>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</si>
  <si>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</si>
  <si>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</si>
  <si>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</si>
  <si>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</si>
  <si>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</si>
  <si>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</si>
  <si>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</si>
  <si>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</si>
  <si>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</si>
  <si>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</si>
  <si>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</si>
  <si>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</si>
  <si>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</si>
  <si>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</si>
  <si>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</si>
  <si>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</si>
  <si>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</si>
  <si>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</si>
  <si>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</si>
  <si>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</si>
  <si>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</si>
  <si>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</si>
  <si>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</si>
  <si>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</si>
  <si>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</si>
  <si>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</si>
  <si>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</si>
  <si>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</si>
  <si>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</si>
  <si>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</si>
  <si>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</si>
  <si>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</si>
  <si>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</si>
  <si>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</si>
  <si>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</si>
  <si>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</si>
  <si>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</si>
  <si>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</si>
  <si>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</si>
  <si>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</si>
  <si>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</si>
  <si>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</si>
  <si>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</si>
  <si>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</si>
  <si>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</si>
  <si>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</si>
  <si>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</si>
  <si>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</si>
  <si>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</si>
  <si>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</si>
  <si>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</si>
  <si>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</si>
  <si>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</si>
  <si>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</si>
  <si>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</si>
  <si>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</si>
  <si>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</si>
  <si>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</si>
  <si>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</si>
  <si>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</si>
  <si>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</si>
  <si>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</si>
  <si>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</si>
  <si>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</si>
  <si>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</si>
  <si>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</si>
  <si>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</si>
  <si>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</si>
  <si>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</si>
  <si>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</si>
  <si>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</si>
  <si>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</si>
  <si>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</si>
  <si>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</si>
  <si>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</si>
  <si>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</si>
  <si>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</si>
  <si>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</si>
  <si>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</si>
  <si>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</si>
  <si>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</si>
  <si>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</si>
  <si>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</si>
  <si>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</si>
  <si>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</si>
  <si>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</si>
  <si>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</si>
  <si>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</si>
  <si>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</si>
  <si>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</si>
  <si>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</si>
  <si>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</si>
  <si>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</si>
  <si>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</si>
  <si>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</si>
  <si>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</si>
  <si>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</si>
  <si>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</si>
  <si>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</si>
  <si>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</si>
  <si>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</si>
  <si>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</si>
  <si>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</si>
  <si>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</si>
  <si>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</si>
  <si>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</si>
  <si>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</si>
  <si>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</si>
  <si>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</si>
  <si>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</si>
  <si>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</si>
  <si>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</si>
  <si>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</si>
  <si>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</si>
  <si>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</si>
  <si>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</si>
  <si>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</si>
  <si>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</si>
  <si>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</si>
  <si>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</si>
  <si>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</si>
  <si>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</si>
  <si>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</si>
  <si>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</si>
  <si>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</si>
  <si>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</si>
  <si>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</si>
  <si>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</si>
  <si>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</si>
  <si>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</si>
  <si>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</si>
  <si>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</si>
  <si>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</si>
  <si>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</si>
  <si>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</si>
  <si>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</si>
  <si>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</si>
  <si>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</si>
  <si>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</si>
  <si>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</si>
  <si>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</si>
  <si>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</si>
  <si>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</si>
  <si>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</si>
  <si>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</si>
  <si>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</si>
  <si>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</si>
  <si>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</si>
  <si>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</si>
  <si>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</si>
  <si>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</si>
  <si>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</si>
  <si>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</si>
  <si>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</si>
  <si>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</si>
  <si>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</si>
  <si>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</si>
  <si>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</si>
  <si>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</si>
  <si>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</si>
  <si>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</si>
  <si>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</si>
  <si>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</si>
  <si>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</si>
  <si>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</si>
  <si>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</si>
  <si>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</si>
  <si>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</si>
  <si>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</si>
  <si>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</si>
  <si>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</si>
  <si>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</si>
  <si>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</si>
  <si>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</si>
  <si>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</si>
  <si>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</si>
  <si>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</si>
  <si>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</si>
  <si>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</si>
  <si>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</si>
  <si>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</si>
  <si>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</si>
  <si>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</si>
  <si>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</si>
  <si>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</si>
  <si>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</si>
  <si>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</si>
  <si>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</si>
  <si>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</si>
  <si>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</si>
  <si>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</si>
  <si>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</si>
  <si>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</si>
  <si>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</si>
  <si>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</si>
  <si>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</si>
  <si>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</si>
  <si>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</si>
  <si>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</si>
  <si>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</si>
  <si>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</si>
  <si>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</si>
  <si>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</si>
  <si>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</si>
  <si>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</si>
  <si>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</si>
  <si>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</si>
  <si>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</si>
  <si>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</si>
  <si>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</si>
  <si>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</si>
  <si>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</si>
  <si>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</si>
  <si>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</si>
  <si>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</si>
  <si>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</si>
  <si>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</si>
  <si>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</si>
  <si>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</si>
  <si>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</si>
  <si>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</si>
  <si>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</si>
  <si>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</si>
  <si>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</si>
  <si>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</si>
  <si>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</si>
  <si>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</si>
  <si>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</si>
  <si>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</si>
  <si>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</si>
  <si>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</si>
  <si>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</si>
  <si>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</si>
  <si>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</si>
  <si>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</si>
  <si>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</si>
  <si>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</si>
  <si>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</si>
  <si>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</si>
  <si>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</si>
  <si>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</si>
  <si>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</si>
  <si>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</si>
  <si>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</si>
  <si>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</si>
  <si>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</si>
  <si>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</si>
  <si>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</si>
  <si>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</si>
  <si>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</si>
  <si>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</si>
  <si>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</si>
  <si>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</si>
  <si>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</si>
  <si>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</si>
  <si>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</si>
  <si>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</si>
  <si>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</si>
  <si>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</si>
  <si>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</si>
  <si>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</si>
  <si>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</si>
  <si>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</si>
  <si>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</si>
  <si>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</si>
  <si>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</si>
  <si>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</si>
  <si>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</si>
  <si>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</si>
  <si>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</si>
  <si>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</si>
  <si>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</si>
  <si>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</si>
  <si>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</si>
  <si>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</si>
  <si>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</si>
  <si>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</si>
  <si>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</si>
  <si>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</si>
  <si>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</si>
  <si>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</si>
  <si>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</si>
  <si>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</si>
  <si>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</si>
  <si>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</si>
  <si>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</si>
  <si>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</si>
  <si>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</si>
  <si>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</si>
  <si>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</si>
  <si>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</si>
  <si>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</si>
  <si>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</si>
  <si>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</si>
  <si>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</si>
  <si>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</si>
  <si>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</si>
  <si>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</si>
  <si>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</si>
  <si>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</si>
  <si>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</si>
  <si>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</si>
  <si>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</si>
  <si>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</si>
  <si>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</si>
  <si>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</si>
  <si>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</si>
  <si>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</si>
  <si>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</si>
  <si>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</si>
  <si>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</si>
  <si>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</si>
  <si>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</si>
  <si>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</si>
  <si>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</si>
  <si>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</si>
  <si>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</si>
  <si>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</si>
  <si>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</si>
  <si>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</si>
  <si>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</si>
  <si>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</si>
  <si>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</si>
  <si>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</si>
  <si>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</si>
  <si>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</si>
  <si>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</si>
  <si>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</si>
  <si>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</si>
  <si>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</si>
  <si>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</si>
  <si>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</si>
  <si>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</si>
  <si>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</si>
  <si>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</si>
  <si>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</si>
  <si>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</si>
  <si>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</si>
  <si>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</si>
  <si>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</si>
  <si>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</si>
  <si>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</si>
  <si>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</si>
  <si>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</si>
  <si>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</si>
  <si>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</si>
  <si>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</si>
  <si>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</si>
  <si>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</si>
  <si>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</si>
  <si>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</si>
  <si>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</si>
  <si>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</si>
  <si>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</si>
  <si>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</si>
  <si>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</si>
  <si>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</si>
  <si>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</si>
  <si>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 xml:space="preserve"> </t>
  </si>
  <si>
    <t>140</t>
  </si>
  <si>
    <t>Kittitas Valley Healthcare</t>
  </si>
  <si>
    <t>603 South Chestnut Street</t>
  </si>
  <si>
    <t>Ellensburg, WA 98926</t>
  </si>
  <si>
    <t>Kittitas</t>
  </si>
  <si>
    <t>Julie A. Petersen</t>
  </si>
  <si>
    <t>Dale Scott Olander</t>
  </si>
  <si>
    <t>Robert Davis</t>
  </si>
  <si>
    <t>(509) 962-9841</t>
  </si>
  <si>
    <t>(509) 962-7351</t>
  </si>
  <si>
    <t>12/31/2021</t>
  </si>
  <si>
    <t>Erica Libenow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</si>
</sst>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BF303\AppData\Local\Microsoft\Windows\INetCache\Content.Outlook\1GM8CCV2\YE14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243</v>
          </cell>
          <cell r="E59">
            <v>1982</v>
          </cell>
          <cell r="J59">
            <v>498</v>
          </cell>
          <cell r="L59">
            <v>48</v>
          </cell>
          <cell r="O59">
            <v>309</v>
          </cell>
          <cell r="P59">
            <v>106751</v>
          </cell>
          <cell r="Q59">
            <v>57939</v>
          </cell>
          <cell r="U59">
            <v>209144</v>
          </cell>
          <cell r="V59">
            <v>687</v>
          </cell>
          <cell r="W59">
            <v>1831</v>
          </cell>
          <cell r="X59">
            <v>5081</v>
          </cell>
          <cell r="Y59">
            <v>22798</v>
          </cell>
          <cell r="AE59">
            <v>5989</v>
          </cell>
          <cell r="AG59">
            <v>13861</v>
          </cell>
          <cell r="AJ59">
            <v>96976</v>
          </cell>
          <cell r="AR59">
            <v>16245</v>
          </cell>
          <cell r="AY59">
            <v>10124</v>
          </cell>
          <cell r="BE59">
            <v>97311</v>
          </cell>
        </row>
        <row r="71">
          <cell r="C71">
            <v>1464835</v>
          </cell>
          <cell r="D71">
            <v>0</v>
          </cell>
          <cell r="E71">
            <v>2384663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541230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1441453</v>
          </cell>
          <cell r="P71">
            <v>6444257</v>
          </cell>
          <cell r="Q71">
            <v>347370</v>
          </cell>
          <cell r="R71">
            <v>0</v>
          </cell>
          <cell r="S71">
            <v>291294</v>
          </cell>
          <cell r="T71">
            <v>0</v>
          </cell>
          <cell r="U71">
            <v>3578702</v>
          </cell>
          <cell r="V71">
            <v>58836</v>
          </cell>
          <cell r="W71">
            <v>905526</v>
          </cell>
          <cell r="X71">
            <v>116199.52</v>
          </cell>
          <cell r="Y71">
            <v>2617833.7000000002</v>
          </cell>
          <cell r="Z71">
            <v>0</v>
          </cell>
          <cell r="AA71">
            <v>0</v>
          </cell>
          <cell r="AB71">
            <v>3949175</v>
          </cell>
          <cell r="AC71">
            <v>586347</v>
          </cell>
          <cell r="AD71">
            <v>0</v>
          </cell>
          <cell r="AE71">
            <v>1542124</v>
          </cell>
          <cell r="AF71">
            <v>0</v>
          </cell>
          <cell r="AG71">
            <v>6104237</v>
          </cell>
          <cell r="AH71">
            <v>0</v>
          </cell>
          <cell r="AI71">
            <v>0</v>
          </cell>
          <cell r="AJ71">
            <v>20669072</v>
          </cell>
          <cell r="AK71">
            <v>237953</v>
          </cell>
          <cell r="AL71">
            <v>149076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2788139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1199812</v>
          </cell>
          <cell r="AZ71">
            <v>0</v>
          </cell>
          <cell r="BA71">
            <v>183481</v>
          </cell>
          <cell r="BB71">
            <v>172940</v>
          </cell>
          <cell r="BC71">
            <v>0</v>
          </cell>
          <cell r="BD71">
            <v>724093</v>
          </cell>
          <cell r="BE71">
            <v>2147058</v>
          </cell>
          <cell r="BF71">
            <v>1106966</v>
          </cell>
          <cell r="BG71">
            <v>0</v>
          </cell>
          <cell r="BH71">
            <v>4893081</v>
          </cell>
          <cell r="BI71">
            <v>0</v>
          </cell>
          <cell r="BJ71">
            <v>880427</v>
          </cell>
          <cell r="BK71">
            <v>3182969</v>
          </cell>
          <cell r="BL71">
            <v>0</v>
          </cell>
          <cell r="BM71">
            <v>0</v>
          </cell>
          <cell r="BN71">
            <v>2575034</v>
          </cell>
          <cell r="BO71">
            <v>87419</v>
          </cell>
          <cell r="BP71">
            <v>494549</v>
          </cell>
          <cell r="BQ71">
            <v>0</v>
          </cell>
          <cell r="BR71">
            <v>762369</v>
          </cell>
          <cell r="BS71">
            <v>176104</v>
          </cell>
          <cell r="BT71">
            <v>0</v>
          </cell>
          <cell r="BU71">
            <v>0</v>
          </cell>
          <cell r="BV71">
            <v>1604967</v>
          </cell>
          <cell r="BW71">
            <v>732472</v>
          </cell>
          <cell r="BX71">
            <v>1116417</v>
          </cell>
          <cell r="BY71">
            <v>1510954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-856672</v>
          </cell>
        </row>
        <row r="83">
          <cell r="C83" t="str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51" transitionEvaluation="1" transitionEntry="1" codeName="Sheet1">
    <pageSetUpPr autoPageBreaks="0" fitToPage="1"/>
  </sheetPr>
  <dimension ref="A1:CF817"/>
  <sheetViews>
    <sheetView showGridLines="0" tabSelected="1" topLeftCell="A451" zoomScale="75" zoomScaleNormal="75" workbookViewId="0">
      <selection activeCell="D186" sqref="D186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2"/>
      <c r="C15" s="235"/>
    </row>
    <row r="16" spans="1:6" ht="12.75" customHeight="1" x14ac:dyDescent="0.3">
      <c r="A16" s="293" t="s">
        <v>1266</v>
      </c>
      <c r="C16" s="235"/>
      <c r="F16" s="286"/>
    </row>
    <row r="17" spans="1:6" ht="12.75" customHeight="1" x14ac:dyDescent="0.3">
      <c r="A17" s="293" t="s">
        <v>1264</v>
      </c>
      <c r="C17" s="286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2" t="s">
        <v>1233</v>
      </c>
      <c r="B20" s="272"/>
      <c r="C20" s="287"/>
      <c r="D20" s="272"/>
      <c r="E20" s="272"/>
      <c r="F20" s="272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12385981</v>
      </c>
      <c r="C48" s="245">
        <f>ROUND(((B48/CE61)*C61),0)</f>
        <v>428183</v>
      </c>
      <c r="D48" s="245">
        <f>ROUND(((B48/CE61)*D61),0)</f>
        <v>0</v>
      </c>
      <c r="E48" s="195">
        <f>ROUND(((B48/CE61)*E61),0)</f>
        <v>474179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49373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311050</v>
      </c>
      <c r="P48" s="195">
        <f>ROUND(((B48/CE61)*P61),0)</f>
        <v>688225</v>
      </c>
      <c r="Q48" s="195">
        <f>ROUND(((B48/CE61)*Q61),0)</f>
        <v>28984</v>
      </c>
      <c r="R48" s="195">
        <f>ROUND(((B48/CE61)*R61),0)</f>
        <v>0</v>
      </c>
      <c r="S48" s="195">
        <f>ROUND(((B48/CE61)*S61),0)</f>
        <v>53663</v>
      </c>
      <c r="T48" s="195">
        <f>ROUND(((B48/CE61)*T61),0)</f>
        <v>0</v>
      </c>
      <c r="U48" s="195">
        <f>ROUND(((B48/CE61)*U61),0)</f>
        <v>506126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163818</v>
      </c>
      <c r="Y48" s="195">
        <f>ROUND(((B48/CE61)*Y61),0)</f>
        <v>236397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333064</v>
      </c>
      <c r="AC48" s="195">
        <f>ROUND(((B48/CE61)*AC61),0)</f>
        <v>148460</v>
      </c>
      <c r="AD48" s="195">
        <f>ROUND(((B48/CE61)*AD61),0)</f>
        <v>0</v>
      </c>
      <c r="AE48" s="195">
        <f>ROUND(((B48/CE61)*AE61),0)</f>
        <v>72317</v>
      </c>
      <c r="AF48" s="195">
        <f>ROUND(((B48/CE61)*AF61),0)</f>
        <v>0</v>
      </c>
      <c r="AG48" s="195">
        <f>ROUND(((B48/CE61)*AG61),0)</f>
        <v>1249552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4150990</v>
      </c>
      <c r="AK48" s="195">
        <f>ROUND(((B48/CE61)*AK61),0)</f>
        <v>45</v>
      </c>
      <c r="AL48" s="195">
        <f>ROUND(((B48/CE61)*AL61),0)</f>
        <v>125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386823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51130</v>
      </c>
      <c r="AZ48" s="195">
        <f>ROUND(((B48/CE61)*AZ61),0)</f>
        <v>125179</v>
      </c>
      <c r="BA48" s="195">
        <f>ROUND(((B48/CE61)*BA61),0)</f>
        <v>31681</v>
      </c>
      <c r="BB48" s="195">
        <f>ROUND(((B48/CE61)*BB61),0)</f>
        <v>33170</v>
      </c>
      <c r="BC48" s="195">
        <f>ROUND(((B48/CE61)*BC61),0)</f>
        <v>0</v>
      </c>
      <c r="BD48" s="195">
        <f>ROUND(((B48/CE61)*BD61),0)</f>
        <v>75902</v>
      </c>
      <c r="BE48" s="195">
        <f>ROUND(((B48/CE61)*BE61),0)</f>
        <v>138041</v>
      </c>
      <c r="BF48" s="195">
        <f>ROUND(((B48/CE61)*BF61),0)</f>
        <v>208827</v>
      </c>
      <c r="BG48" s="195">
        <f>ROUND(((B48/CE61)*BG61),0)</f>
        <v>0</v>
      </c>
      <c r="BH48" s="195">
        <f>ROUND(((B48/CE61)*BH61),0)</f>
        <v>352453</v>
      </c>
      <c r="BI48" s="195">
        <f>ROUND(((B48/CE61)*BI61),0)</f>
        <v>0</v>
      </c>
      <c r="BJ48" s="195">
        <f>ROUND(((B48/CE61)*BJ61),0)</f>
        <v>120082</v>
      </c>
      <c r="BK48" s="195">
        <f>ROUND(((B48/CE61)*BK61),0)</f>
        <v>296695</v>
      </c>
      <c r="BL48" s="195">
        <f>ROUND(((B48/CE61)*BL61),0)</f>
        <v>167362</v>
      </c>
      <c r="BM48" s="195">
        <f>ROUND(((B48/CE61)*BM61),0)</f>
        <v>0</v>
      </c>
      <c r="BN48" s="195">
        <f>ROUND(((B48/CE61)*BN61),0)</f>
        <v>258127</v>
      </c>
      <c r="BO48" s="195">
        <f>ROUND(((B48/CE61)*BO61),0)</f>
        <v>120736</v>
      </c>
      <c r="BP48" s="195">
        <f>ROUND(((B48/CE61)*BP61),0)</f>
        <v>77896</v>
      </c>
      <c r="BQ48" s="195">
        <f>ROUND(((B48/CE61)*BQ61),0)</f>
        <v>0</v>
      </c>
      <c r="BR48" s="195">
        <f>ROUND(((B48/CE61)*BR61),0)</f>
        <v>116026</v>
      </c>
      <c r="BS48" s="195">
        <f>ROUND(((B48/CE61)*BS61),0)</f>
        <v>8317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314173</v>
      </c>
      <c r="BW48" s="195">
        <f>ROUND(((B48/CE61)*BW61),0)</f>
        <v>203720</v>
      </c>
      <c r="BX48" s="195">
        <f>ROUND(((B48/CE61)*BX61),0)</f>
        <v>149280</v>
      </c>
      <c r="BY48" s="195">
        <f>ROUND(((B48/CE61)*BY61),0)</f>
        <v>255810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12385981</v>
      </c>
    </row>
    <row r="49" spans="1:84" ht="12.65" customHeight="1" x14ac:dyDescent="0.3">
      <c r="A49" s="175" t="s">
        <v>206</v>
      </c>
      <c r="B49" s="195">
        <f>B47+B48</f>
        <v>12385981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23866</v>
      </c>
      <c r="D51" s="184"/>
      <c r="E51" s="184">
        <v>46390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48417</v>
      </c>
      <c r="P51" s="184">
        <f>286536+0+4701</f>
        <v>291237</v>
      </c>
      <c r="Q51" s="184">
        <v>8806</v>
      </c>
      <c r="R51" s="184">
        <v>13454</v>
      </c>
      <c r="S51" s="184">
        <v>50563</v>
      </c>
      <c r="T51" s="184"/>
      <c r="U51" s="184">
        <v>145048</v>
      </c>
      <c r="V51" s="184"/>
      <c r="W51" s="184"/>
      <c r="X51" s="184">
        <v>3088</v>
      </c>
      <c r="Y51" s="184">
        <f>142768+67636+7209</f>
        <v>217613</v>
      </c>
      <c r="Z51" s="184"/>
      <c r="AA51" s="184"/>
      <c r="AB51" s="184">
        <v>1402</v>
      </c>
      <c r="AC51" s="184">
        <f>24137+13742</f>
        <v>37879</v>
      </c>
      <c r="AD51" s="184"/>
      <c r="AE51" s="184">
        <v>4347</v>
      </c>
      <c r="AF51" s="184"/>
      <c r="AG51" s="184">
        <v>36639</v>
      </c>
      <c r="AH51" s="184"/>
      <c r="AI51" s="184"/>
      <c r="AJ51" s="184">
        <f>254041+8684</f>
        <v>262725</v>
      </c>
      <c r="AK51" s="184">
        <v>1964</v>
      </c>
      <c r="AL51" s="184"/>
      <c r="AM51" s="184"/>
      <c r="AN51" s="184"/>
      <c r="AO51" s="184"/>
      <c r="AP51" s="184"/>
      <c r="AQ51" s="184"/>
      <c r="AR51" s="184">
        <v>21162</v>
      </c>
      <c r="AS51" s="184"/>
      <c r="AT51" s="184"/>
      <c r="AU51" s="184"/>
      <c r="AV51" s="184"/>
      <c r="AW51" s="184"/>
      <c r="AX51" s="184"/>
      <c r="AY51" s="184">
        <f>2732-1939</f>
        <v>793</v>
      </c>
      <c r="AZ51" s="184">
        <v>1939</v>
      </c>
      <c r="BA51" s="184">
        <v>6344</v>
      </c>
      <c r="BB51" s="184"/>
      <c r="BC51" s="184"/>
      <c r="BD51" s="184"/>
      <c r="BE51" s="184">
        <v>54557</v>
      </c>
      <c r="BF51" s="184">
        <v>2334</v>
      </c>
      <c r="BG51" s="184"/>
      <c r="BH51" s="184">
        <v>1024261</v>
      </c>
      <c r="BI51" s="184"/>
      <c r="BJ51" s="184">
        <v>741</v>
      </c>
      <c r="BK51" s="184">
        <v>2160</v>
      </c>
      <c r="BL51" s="184"/>
      <c r="BM51" s="184"/>
      <c r="BN51" s="184">
        <v>6910</v>
      </c>
      <c r="BO51" s="184">
        <v>3358</v>
      </c>
      <c r="BP51" s="184"/>
      <c r="BQ51" s="184"/>
      <c r="BR51" s="184">
        <f>38438+1088</f>
        <v>39526</v>
      </c>
      <c r="BS51" s="184"/>
      <c r="BT51" s="184"/>
      <c r="BU51" s="184"/>
      <c r="BV51" s="184">
        <v>5669</v>
      </c>
      <c r="BW51" s="184"/>
      <c r="BX51" s="184">
        <v>576</v>
      </c>
      <c r="BY51" s="184">
        <f>2971+55</f>
        <v>3026</v>
      </c>
      <c r="BZ51" s="184"/>
      <c r="CA51" s="184"/>
      <c r="CB51" s="184"/>
      <c r="CC51" s="184"/>
      <c r="CD51" s="195"/>
      <c r="CE51" s="195">
        <f>SUM(C51:CD51)</f>
        <v>2366794</v>
      </c>
    </row>
    <row r="52" spans="1:84" ht="12.65" customHeight="1" x14ac:dyDescent="0.3">
      <c r="A52" s="171" t="s">
        <v>208</v>
      </c>
      <c r="B52" s="184">
        <v>2049864</v>
      </c>
      <c r="C52" s="195">
        <f>ROUND((B52/(CE76+CF76)*C76),0)</f>
        <v>42676</v>
      </c>
      <c r="D52" s="195">
        <f>ROUND((B52/(CE76+CF76)*D76),0)</f>
        <v>0</v>
      </c>
      <c r="E52" s="195">
        <f>ROUND((B52/(CE76+CF76)*E76),0)</f>
        <v>193170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3712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32762</v>
      </c>
      <c r="P52" s="195">
        <f>ROUND((B52/(CE76+CF76)*P76),0)</f>
        <v>181120</v>
      </c>
      <c r="Q52" s="195">
        <f>ROUND((B52/(CE76+CF76)*Q76),0)</f>
        <v>14908</v>
      </c>
      <c r="R52" s="195">
        <f>ROUND((B52/(CE76+CF76)*R76),0)</f>
        <v>0</v>
      </c>
      <c r="S52" s="195">
        <f>ROUND((B52/(CE76+CF76)*S76),0)</f>
        <v>22524</v>
      </c>
      <c r="T52" s="195">
        <f>ROUND((B52/(CE76+CF76)*T76),0)</f>
        <v>0</v>
      </c>
      <c r="U52" s="195">
        <f>ROUND((B52/(CE76+CF76)*U76),0)</f>
        <v>59750</v>
      </c>
      <c r="V52" s="195">
        <f>ROUND((B52/(CE76+CF76)*V76),0)</f>
        <v>0</v>
      </c>
      <c r="W52" s="195">
        <f>ROUND((B52/(CE76+CF76)*W76),0)</f>
        <v>2092</v>
      </c>
      <c r="X52" s="195">
        <f>ROUND((B52/(CE76+CF76)*X76),0)</f>
        <v>33469</v>
      </c>
      <c r="Y52" s="195">
        <f>ROUND((B52/(CE76+CF76)*Y76),0)</f>
        <v>34692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17132</v>
      </c>
      <c r="AC52" s="195">
        <f>ROUND((B52/(CE76+CF76)*AC76),0)</f>
        <v>15203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76013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467112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20535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38714</v>
      </c>
      <c r="AZ52" s="195">
        <f>ROUND((B52/(CE76+CF76)*AZ76),0)</f>
        <v>20211</v>
      </c>
      <c r="BA52" s="195">
        <f>ROUND((B52/(CE76+CF76)*BA76),0)</f>
        <v>12595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23673</v>
      </c>
      <c r="BE52" s="195">
        <f>ROUND((B52/(CE76+CF76)*BE76),0)</f>
        <v>76337</v>
      </c>
      <c r="BF52" s="195">
        <f>ROUND((B52/(CE76+CF76)*BF76),0)</f>
        <v>5053</v>
      </c>
      <c r="BG52" s="195">
        <f>ROUND((B52/(CE76+CF76)*BG76),0)</f>
        <v>0</v>
      </c>
      <c r="BH52" s="195">
        <f>ROUND((B52/(CE76+CF76)*BH76),0)</f>
        <v>50911</v>
      </c>
      <c r="BI52" s="195">
        <f>ROUND((B52/(CE76+CF76)*BI76),0)</f>
        <v>0</v>
      </c>
      <c r="BJ52" s="195">
        <f>ROUND((B52/(CE76+CF76)*BJ76),0)</f>
        <v>9782</v>
      </c>
      <c r="BK52" s="195">
        <f>ROUND((B52/(CE76+CF76)*BK76),0)</f>
        <v>117820</v>
      </c>
      <c r="BL52" s="195">
        <f>ROUND((B52/(CE76+CF76)*BL76),0)</f>
        <v>6202</v>
      </c>
      <c r="BM52" s="195">
        <f>ROUND((B52/(CE76+CF76)*BM76),0)</f>
        <v>0</v>
      </c>
      <c r="BN52" s="195">
        <f>ROUND((B52/(CE76+CF76)*BN76),0)</f>
        <v>440979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22495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1237</v>
      </c>
      <c r="BX52" s="195">
        <f>ROUND((B52/(CE76+CF76)*BX76),0)</f>
        <v>0</v>
      </c>
      <c r="BY52" s="195">
        <f>ROUND((B52/(CE76+CF76)*BY76),0)</f>
        <v>6983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2049862</v>
      </c>
    </row>
    <row r="53" spans="1:84" ht="12.65" customHeight="1" x14ac:dyDescent="0.3">
      <c r="A53" s="175" t="s">
        <v>206</v>
      </c>
      <c r="B53" s="195">
        <f>B51+B52</f>
        <v>2049864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857</v>
      </c>
      <c r="D59" s="184"/>
      <c r="E59" s="184">
        <v>2325</v>
      </c>
      <c r="F59" s="184"/>
      <c r="G59" s="184"/>
      <c r="H59" s="184"/>
      <c r="I59" s="184"/>
      <c r="J59" s="184">
        <v>444</v>
      </c>
      <c r="K59" s="184"/>
      <c r="L59" s="184">
        <v>74</v>
      </c>
      <c r="M59" s="184"/>
      <c r="N59" s="184"/>
      <c r="O59" s="184">
        <v>280</v>
      </c>
      <c r="P59" s="185"/>
      <c r="Q59" s="185"/>
      <c r="R59" s="185"/>
      <c r="S59" s="248"/>
      <c r="T59" s="248"/>
      <c r="U59" s="224">
        <f>21190+267362</f>
        <v>288552</v>
      </c>
      <c r="V59" s="185"/>
      <c r="W59" s="185">
        <f>43+1986</f>
        <v>2029</v>
      </c>
      <c r="X59" s="185">
        <f>599+5297</f>
        <v>5896</v>
      </c>
      <c r="Y59" s="185">
        <f>1022+14503+125+617+254+4818+2752</f>
        <v>24091</v>
      </c>
      <c r="Z59" s="185"/>
      <c r="AA59" s="185"/>
      <c r="AB59" s="248"/>
      <c r="AC59" s="185"/>
      <c r="AD59" s="185"/>
      <c r="AE59" s="185">
        <f>901+11011+3183</f>
        <v>15095</v>
      </c>
      <c r="AF59" s="185"/>
      <c r="AG59" s="185">
        <f>1285+12703</f>
        <v>13988</v>
      </c>
      <c r="AH59" s="185"/>
      <c r="AI59" s="185"/>
      <c r="AJ59" s="185">
        <f>4887+29264+432+12395+720+445+8573+22+7465+148+6442+6950+26+128+2587+1+12+4089+40+31+2715-1+1593</f>
        <v>88964</v>
      </c>
      <c r="AK59" s="185">
        <f>354+2775</f>
        <v>3129</v>
      </c>
      <c r="AL59" s="185">
        <f>147+3029</f>
        <v>3176</v>
      </c>
      <c r="AM59" s="185"/>
      <c r="AN59" s="185"/>
      <c r="AO59" s="185"/>
      <c r="AP59" s="185"/>
      <c r="AQ59" s="185"/>
      <c r="AR59" s="185">
        <f>4973+8208</f>
        <v>13181</v>
      </c>
      <c r="AS59" s="185"/>
      <c r="AT59" s="185"/>
      <c r="AU59" s="185"/>
      <c r="AV59" s="248"/>
      <c r="AW59" s="248"/>
      <c r="AX59" s="248"/>
      <c r="AY59" s="185">
        <v>11541</v>
      </c>
      <c r="AZ59" s="185">
        <v>28225</v>
      </c>
      <c r="BA59" s="248"/>
      <c r="BB59" s="248"/>
      <c r="BC59" s="248"/>
      <c r="BD59" s="248"/>
      <c r="BE59" s="185">
        <v>139151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13.9</v>
      </c>
      <c r="D60" s="187"/>
      <c r="E60" s="187">
        <v>23.56</v>
      </c>
      <c r="F60" s="223"/>
      <c r="G60" s="187"/>
      <c r="H60" s="187"/>
      <c r="I60" s="187"/>
      <c r="J60" s="223">
        <v>2</v>
      </c>
      <c r="K60" s="187"/>
      <c r="L60" s="187"/>
      <c r="M60" s="187"/>
      <c r="N60" s="187"/>
      <c r="O60" s="187">
        <f>14.6-2</f>
        <v>12.6</v>
      </c>
      <c r="P60" s="221">
        <f>11+0.1+0.8+1.7+14.6</f>
        <v>28.2</v>
      </c>
      <c r="Q60" s="221">
        <v>0.4</v>
      </c>
      <c r="R60" s="221"/>
      <c r="S60" s="221">
        <v>4.3</v>
      </c>
      <c r="T60" s="221"/>
      <c r="U60" s="221">
        <f>24.95+4</f>
        <v>28.95</v>
      </c>
      <c r="V60" s="221"/>
      <c r="W60" s="221">
        <v>0</v>
      </c>
      <c r="X60" s="221">
        <v>8.8800000000000008</v>
      </c>
      <c r="Y60" s="221">
        <f>5.37+1.21+3.8+1.62</f>
        <v>12</v>
      </c>
      <c r="Z60" s="221"/>
      <c r="AA60" s="221"/>
      <c r="AB60" s="221">
        <f>11.41+1.88</f>
        <v>13.29</v>
      </c>
      <c r="AC60" s="221">
        <f>7.64</f>
        <v>7.64</v>
      </c>
      <c r="AD60" s="221"/>
      <c r="AE60" s="221">
        <f>0.99+2.88</f>
        <v>3.87</v>
      </c>
      <c r="AF60" s="221"/>
      <c r="AG60" s="221">
        <f>24.77+0.2+0.11+7.13</f>
        <v>32.21</v>
      </c>
      <c r="AH60" s="221"/>
      <c r="AI60" s="221"/>
      <c r="AJ60" s="221">
        <f>2.92+6.57+39.44+22.86+12.06+25.53+11.48+5.41+10.05+7.71+5.04+2.8</f>
        <v>151.87</v>
      </c>
      <c r="AK60" s="221">
        <v>0</v>
      </c>
      <c r="AL60" s="221">
        <v>0</v>
      </c>
      <c r="AM60" s="221"/>
      <c r="AN60" s="221"/>
      <c r="AO60" s="221"/>
      <c r="AP60" s="221"/>
      <c r="AQ60" s="221"/>
      <c r="AR60" s="221">
        <f>12.79+6.08</f>
        <v>18.869999999999997</v>
      </c>
      <c r="AS60" s="221"/>
      <c r="AT60" s="221"/>
      <c r="AU60" s="221"/>
      <c r="AV60" s="221"/>
      <c r="AW60" s="221"/>
      <c r="AX60" s="221"/>
      <c r="AY60" s="221">
        <f>0.85+13.05-9.87</f>
        <v>4.0300000000000011</v>
      </c>
      <c r="AZ60" s="221">
        <v>9.8699999999999992</v>
      </c>
      <c r="BA60" s="221">
        <v>2.89</v>
      </c>
      <c r="BB60" s="221">
        <v>1.6</v>
      </c>
      <c r="BC60" s="221"/>
      <c r="BD60" s="221">
        <v>5.64</v>
      </c>
      <c r="BE60" s="221">
        <v>7.5</v>
      </c>
      <c r="BF60" s="221">
        <v>19.27</v>
      </c>
      <c r="BG60" s="221"/>
      <c r="BH60" s="221">
        <v>15.29</v>
      </c>
      <c r="BI60" s="221"/>
      <c r="BJ60" s="221">
        <v>5.93</v>
      </c>
      <c r="BK60" s="221">
        <f>19.3</f>
        <v>19.3</v>
      </c>
      <c r="BL60" s="221">
        <v>14.56</v>
      </c>
      <c r="BM60" s="221"/>
      <c r="BN60" s="221">
        <f>6.3+0.2</f>
        <v>6.5</v>
      </c>
      <c r="BO60" s="221">
        <v>5.99</v>
      </c>
      <c r="BP60" s="221">
        <v>3.13</v>
      </c>
      <c r="BQ60" s="221"/>
      <c r="BR60" s="221">
        <f>5.47</f>
        <v>5.47</v>
      </c>
      <c r="BS60" s="221">
        <f>0.49+0.02</f>
        <v>0.51</v>
      </c>
      <c r="BT60" s="221"/>
      <c r="BU60" s="221"/>
      <c r="BV60" s="221">
        <f>22.05</f>
        <v>22.05</v>
      </c>
      <c r="BW60" s="221">
        <v>3.6</v>
      </c>
      <c r="BX60" s="221">
        <f>5.93</f>
        <v>5.93</v>
      </c>
      <c r="BY60" s="221">
        <f>0.98+2.43+4.88+0.01</f>
        <v>8.2999999999999989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529.9</v>
      </c>
    </row>
    <row r="61" spans="1:84" ht="12.65" customHeight="1" x14ac:dyDescent="0.3">
      <c r="A61" s="171" t="s">
        <v>235</v>
      </c>
      <c r="B61" s="175"/>
      <c r="C61" s="184">
        <f>1448261+297218+11399</f>
        <v>1756878</v>
      </c>
      <c r="D61" s="184"/>
      <c r="E61" s="184">
        <f>1753996+185859+5751</f>
        <v>1945606</v>
      </c>
      <c r="F61" s="185"/>
      <c r="G61" s="184"/>
      <c r="H61" s="184"/>
      <c r="I61" s="185"/>
      <c r="J61" s="185">
        <v>202583</v>
      </c>
      <c r="K61" s="185"/>
      <c r="L61" s="185"/>
      <c r="M61" s="184"/>
      <c r="N61" s="184"/>
      <c r="O61" s="184">
        <f>1475753+3100-202583</f>
        <v>1276270</v>
      </c>
      <c r="P61" s="185">
        <f>937776+2906+46939+1490623+138746+206866</f>
        <v>2823856</v>
      </c>
      <c r="Q61" s="185">
        <v>118926</v>
      </c>
      <c r="R61" s="185"/>
      <c r="S61" s="185">
        <f>217305+2880</f>
        <v>220185</v>
      </c>
      <c r="T61" s="185"/>
      <c r="U61" s="185">
        <f>1668311+59480+348895</f>
        <v>2076686</v>
      </c>
      <c r="V61" s="185"/>
      <c r="W61" s="185">
        <v>0</v>
      </c>
      <c r="X61" s="185">
        <v>672163</v>
      </c>
      <c r="Y61" s="185">
        <f>334778+114248+377236+3200+140499</f>
        <v>969961</v>
      </c>
      <c r="Z61" s="185"/>
      <c r="AA61" s="185"/>
      <c r="AB61" s="185">
        <f>1213988+152609</f>
        <v>1366597</v>
      </c>
      <c r="AC61" s="185">
        <f>609148</f>
        <v>609148</v>
      </c>
      <c r="AD61" s="185"/>
      <c r="AE61" s="185">
        <f>55933+240790</f>
        <v>296723</v>
      </c>
      <c r="AF61" s="185"/>
      <c r="AG61" s="185">
        <f>2428009+23073+4883+2432032+239043</f>
        <v>5127040</v>
      </c>
      <c r="AH61" s="185"/>
      <c r="AI61" s="185"/>
      <c r="AJ61" s="185">
        <f>890651+11164+759860+15125514+1140+258+243348</f>
        <v>17031935</v>
      </c>
      <c r="AK61" s="185">
        <v>184</v>
      </c>
      <c r="AL61" s="185">
        <v>513</v>
      </c>
      <c r="AM61" s="185"/>
      <c r="AN61" s="185"/>
      <c r="AO61" s="185"/>
      <c r="AP61" s="185"/>
      <c r="AQ61" s="185"/>
      <c r="AR61" s="185">
        <f>1171933+413267+1975</f>
        <v>1587175</v>
      </c>
      <c r="AS61" s="185"/>
      <c r="AT61" s="185"/>
      <c r="AU61" s="185"/>
      <c r="AV61" s="185"/>
      <c r="AW61" s="185"/>
      <c r="AX61" s="185"/>
      <c r="AY61" s="185">
        <f>68857+654557-513624</f>
        <v>209790</v>
      </c>
      <c r="AZ61" s="185">
        <v>513624</v>
      </c>
      <c r="BA61" s="185">
        <f>129990</f>
        <v>129990</v>
      </c>
      <c r="BB61" s="185">
        <v>136099</v>
      </c>
      <c r="BC61" s="185"/>
      <c r="BD61" s="185">
        <v>311435</v>
      </c>
      <c r="BE61" s="185">
        <v>566397</v>
      </c>
      <c r="BF61" s="185">
        <v>856838</v>
      </c>
      <c r="BG61" s="185"/>
      <c r="BH61" s="185">
        <v>1446152</v>
      </c>
      <c r="BI61" s="185"/>
      <c r="BJ61" s="185">
        <v>492710</v>
      </c>
      <c r="BK61" s="185">
        <f>1045215+172154</f>
        <v>1217369</v>
      </c>
      <c r="BL61" s="185">
        <v>686702</v>
      </c>
      <c r="BM61" s="185"/>
      <c r="BN61" s="185">
        <f>1017340+41783</f>
        <v>1059123</v>
      </c>
      <c r="BO61" s="185">
        <f>494884+508</f>
        <v>495392</v>
      </c>
      <c r="BP61" s="185">
        <f>319616</f>
        <v>319616</v>
      </c>
      <c r="BQ61" s="185"/>
      <c r="BR61" s="185">
        <f>476065</f>
        <v>476065</v>
      </c>
      <c r="BS61" s="185">
        <f>33231+894</f>
        <v>34125</v>
      </c>
      <c r="BT61" s="185"/>
      <c r="BU61" s="185"/>
      <c r="BV61" s="185">
        <f>1289084</f>
        <v>1289084</v>
      </c>
      <c r="BW61" s="185">
        <f>835882</f>
        <v>835882</v>
      </c>
      <c r="BX61" s="185">
        <f>612511</f>
        <v>612511</v>
      </c>
      <c r="BY61" s="185">
        <f>123590+303957+617068+3480+1523-3</f>
        <v>1049615</v>
      </c>
      <c r="BZ61" s="185"/>
      <c r="CA61" s="185"/>
      <c r="CB61" s="185"/>
      <c r="CC61" s="185" t="s">
        <v>1268</v>
      </c>
      <c r="CD61" s="249" t="s">
        <v>221</v>
      </c>
      <c r="CE61" s="195">
        <f t="shared" si="0"/>
        <v>50820948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428183</v>
      </c>
      <c r="D62" s="195">
        <f t="shared" si="1"/>
        <v>0</v>
      </c>
      <c r="E62" s="195">
        <f t="shared" si="1"/>
        <v>474179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49373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311050</v>
      </c>
      <c r="P62" s="195">
        <f t="shared" si="1"/>
        <v>688225</v>
      </c>
      <c r="Q62" s="195">
        <f t="shared" si="1"/>
        <v>28984</v>
      </c>
      <c r="R62" s="195">
        <f t="shared" si="1"/>
        <v>0</v>
      </c>
      <c r="S62" s="195">
        <f t="shared" si="1"/>
        <v>53663</v>
      </c>
      <c r="T62" s="195">
        <f t="shared" si="1"/>
        <v>0</v>
      </c>
      <c r="U62" s="195">
        <f t="shared" si="1"/>
        <v>506126</v>
      </c>
      <c r="V62" s="195">
        <f t="shared" si="1"/>
        <v>0</v>
      </c>
      <c r="W62" s="195">
        <f t="shared" si="1"/>
        <v>0</v>
      </c>
      <c r="X62" s="195">
        <f t="shared" si="1"/>
        <v>163818</v>
      </c>
      <c r="Y62" s="195">
        <f t="shared" si="1"/>
        <v>236397</v>
      </c>
      <c r="Z62" s="195">
        <f t="shared" si="1"/>
        <v>0</v>
      </c>
      <c r="AA62" s="195">
        <f t="shared" si="1"/>
        <v>0</v>
      </c>
      <c r="AB62" s="195">
        <f t="shared" si="1"/>
        <v>333064</v>
      </c>
      <c r="AC62" s="195">
        <f t="shared" si="1"/>
        <v>148460</v>
      </c>
      <c r="AD62" s="195">
        <f t="shared" si="1"/>
        <v>0</v>
      </c>
      <c r="AE62" s="195">
        <f t="shared" si="1"/>
        <v>72317</v>
      </c>
      <c r="AF62" s="195">
        <f t="shared" si="1"/>
        <v>0</v>
      </c>
      <c r="AG62" s="195">
        <f t="shared" si="1"/>
        <v>1249552</v>
      </c>
      <c r="AH62" s="195">
        <f t="shared" si="1"/>
        <v>0</v>
      </c>
      <c r="AI62" s="195">
        <f t="shared" si="1"/>
        <v>0</v>
      </c>
      <c r="AJ62" s="195">
        <f t="shared" si="1"/>
        <v>4150990</v>
      </c>
      <c r="AK62" s="195">
        <f t="shared" si="1"/>
        <v>45</v>
      </c>
      <c r="AL62" s="195">
        <f t="shared" si="1"/>
        <v>125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386823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51130</v>
      </c>
      <c r="AZ62" s="195">
        <f>ROUND(AZ47+AZ48,0)</f>
        <v>125179</v>
      </c>
      <c r="BA62" s="195">
        <f>ROUND(BA47+BA48,0)</f>
        <v>31681</v>
      </c>
      <c r="BB62" s="195">
        <f t="shared" si="1"/>
        <v>33170</v>
      </c>
      <c r="BC62" s="195">
        <f t="shared" si="1"/>
        <v>0</v>
      </c>
      <c r="BD62" s="195">
        <f t="shared" si="1"/>
        <v>75902</v>
      </c>
      <c r="BE62" s="195">
        <f t="shared" si="1"/>
        <v>138041</v>
      </c>
      <c r="BF62" s="195">
        <f t="shared" si="1"/>
        <v>208827</v>
      </c>
      <c r="BG62" s="195">
        <f t="shared" si="1"/>
        <v>0</v>
      </c>
      <c r="BH62" s="195">
        <f t="shared" si="1"/>
        <v>352453</v>
      </c>
      <c r="BI62" s="195">
        <f t="shared" si="1"/>
        <v>0</v>
      </c>
      <c r="BJ62" s="195">
        <f t="shared" si="1"/>
        <v>120082</v>
      </c>
      <c r="BK62" s="195">
        <f t="shared" si="1"/>
        <v>296695</v>
      </c>
      <c r="BL62" s="195">
        <f t="shared" si="1"/>
        <v>167362</v>
      </c>
      <c r="BM62" s="195">
        <f t="shared" si="1"/>
        <v>0</v>
      </c>
      <c r="BN62" s="195">
        <f t="shared" si="1"/>
        <v>258127</v>
      </c>
      <c r="BO62" s="195">
        <f t="shared" ref="BO62:CC62" si="2">ROUND(BO47+BO48,0)</f>
        <v>120736</v>
      </c>
      <c r="BP62" s="195">
        <f t="shared" si="2"/>
        <v>77896</v>
      </c>
      <c r="BQ62" s="195">
        <f t="shared" si="2"/>
        <v>0</v>
      </c>
      <c r="BR62" s="195">
        <f t="shared" si="2"/>
        <v>116026</v>
      </c>
      <c r="BS62" s="195">
        <f t="shared" si="2"/>
        <v>8317</v>
      </c>
      <c r="BT62" s="195">
        <f t="shared" si="2"/>
        <v>0</v>
      </c>
      <c r="BU62" s="195">
        <f t="shared" si="2"/>
        <v>0</v>
      </c>
      <c r="BV62" s="195">
        <f t="shared" si="2"/>
        <v>314173</v>
      </c>
      <c r="BW62" s="195">
        <f t="shared" si="2"/>
        <v>203720</v>
      </c>
      <c r="BX62" s="195">
        <f t="shared" si="2"/>
        <v>149280</v>
      </c>
      <c r="BY62" s="195">
        <f t="shared" si="2"/>
        <v>255810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12385981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500</v>
      </c>
      <c r="Q63" s="185"/>
      <c r="R63" s="185"/>
      <c r="S63" s="185"/>
      <c r="T63" s="185"/>
      <c r="U63" s="185">
        <v>17900</v>
      </c>
      <c r="V63" s="185"/>
      <c r="W63" s="185"/>
      <c r="X63" s="185"/>
      <c r="Y63" s="185"/>
      <c r="Z63" s="185"/>
      <c r="AA63" s="185"/>
      <c r="AB63" s="185"/>
      <c r="AC63" s="185">
        <v>3485</v>
      </c>
      <c r="AD63" s="185"/>
      <c r="AE63" s="185">
        <v>980</v>
      </c>
      <c r="AF63" s="185"/>
      <c r="AG63" s="185"/>
      <c r="AH63" s="185"/>
      <c r="AI63" s="185"/>
      <c r="AJ63" s="185">
        <f>405586+326910</f>
        <v>732496</v>
      </c>
      <c r="AK63" s="185"/>
      <c r="AL63" s="185">
        <v>11620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56692</v>
      </c>
      <c r="BK63" s="185">
        <v>15600</v>
      </c>
      <c r="BL63" s="185"/>
      <c r="BM63" s="185"/>
      <c r="BN63" s="185">
        <v>51173</v>
      </c>
      <c r="BO63" s="185"/>
      <c r="BP63" s="185"/>
      <c r="BQ63" s="185"/>
      <c r="BR63" s="185">
        <v>22468</v>
      </c>
      <c r="BS63" s="185"/>
      <c r="BT63" s="185"/>
      <c r="BU63" s="185"/>
      <c r="BV63" s="185"/>
      <c r="BW63" s="185"/>
      <c r="BX63" s="185">
        <v>4961</v>
      </c>
      <c r="BY63" s="185"/>
      <c r="BZ63" s="185"/>
      <c r="CA63" s="185"/>
      <c r="CB63" s="185"/>
      <c r="CC63" s="185"/>
      <c r="CD63" s="249" t="s">
        <v>221</v>
      </c>
      <c r="CE63" s="195">
        <f t="shared" si="0"/>
        <v>917875</v>
      </c>
      <c r="CF63" s="252"/>
    </row>
    <row r="64" spans="1:84" ht="12.65" customHeight="1" x14ac:dyDescent="0.3">
      <c r="A64" s="171" t="s">
        <v>237</v>
      </c>
      <c r="B64" s="175"/>
      <c r="C64" s="184">
        <v>124108</v>
      </c>
      <c r="D64" s="184"/>
      <c r="E64" s="185">
        <v>186497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f>107429+61</f>
        <v>107490</v>
      </c>
      <c r="P64" s="185">
        <f>2907238+8209+0+275228+56980</f>
        <v>3247655</v>
      </c>
      <c r="Q64" s="185">
        <v>23490</v>
      </c>
      <c r="R64" s="185">
        <v>34818</v>
      </c>
      <c r="S64" s="185">
        <v>134225</v>
      </c>
      <c r="T64" s="185"/>
      <c r="U64" s="185">
        <v>2240945</v>
      </c>
      <c r="V64" s="185"/>
      <c r="W64" s="185">
        <f>33+522+10</f>
        <v>565</v>
      </c>
      <c r="X64" s="185">
        <f>1879+43867+17753+313+742</f>
        <v>64554</v>
      </c>
      <c r="Y64" s="185">
        <f>11913+356+3323+20837+38888+2882+35656+2529+11013+60+652+3061+1156+20+1611+15+16+236+247</f>
        <v>134471</v>
      </c>
      <c r="Z64" s="185"/>
      <c r="AA64" s="185"/>
      <c r="AB64" s="185">
        <f>1853476+214701+252197+445331</f>
        <v>2765705</v>
      </c>
      <c r="AC64" s="185">
        <v>107989</v>
      </c>
      <c r="AD64" s="185"/>
      <c r="AE64" s="185">
        <f>13974+5350</f>
        <v>19324</v>
      </c>
      <c r="AF64" s="185"/>
      <c r="AG64" s="185">
        <f>357204+1904+407</f>
        <v>359515</v>
      </c>
      <c r="AH64" s="185"/>
      <c r="AI64" s="185"/>
      <c r="AJ64" s="185">
        <f>7491+49225+1383651+10529</f>
        <v>1450896</v>
      </c>
      <c r="AK64" s="185">
        <v>11661</v>
      </c>
      <c r="AL64" s="185">
        <v>3766</v>
      </c>
      <c r="AM64" s="185"/>
      <c r="AN64" s="185"/>
      <c r="AO64" s="185"/>
      <c r="AP64" s="185"/>
      <c r="AQ64" s="185"/>
      <c r="AR64" s="185">
        <v>114416</v>
      </c>
      <c r="AS64" s="185"/>
      <c r="AT64" s="185"/>
      <c r="AU64" s="185"/>
      <c r="AV64" s="185"/>
      <c r="AW64" s="185"/>
      <c r="AX64" s="185"/>
      <c r="AY64" s="185">
        <f>897+291125-207335</f>
        <v>84687</v>
      </c>
      <c r="AZ64" s="185">
        <v>207335</v>
      </c>
      <c r="BA64" s="185">
        <v>30221</v>
      </c>
      <c r="BB64" s="185">
        <v>132</v>
      </c>
      <c r="BC64" s="185"/>
      <c r="BD64" s="185">
        <v>-155300</v>
      </c>
      <c r="BE64" s="185">
        <v>72924</v>
      </c>
      <c r="BF64" s="185">
        <v>330194</v>
      </c>
      <c r="BG64" s="185"/>
      <c r="BH64" s="185">
        <v>235525</v>
      </c>
      <c r="BI64" s="185"/>
      <c r="BJ64" s="185">
        <v>4973</v>
      </c>
      <c r="BK64" s="185">
        <v>17070</v>
      </c>
      <c r="BL64" s="185">
        <v>33127</v>
      </c>
      <c r="BM64" s="185"/>
      <c r="BN64" s="185">
        <f>16771+15682+202+3472+1386+14595</f>
        <v>52108</v>
      </c>
      <c r="BO64" s="185">
        <v>7292</v>
      </c>
      <c r="BP64" s="185">
        <f>4091</f>
        <v>4091</v>
      </c>
      <c r="BQ64" s="185"/>
      <c r="BR64" s="185">
        <v>4283</v>
      </c>
      <c r="BS64" s="185">
        <f>7400+223</f>
        <v>7623</v>
      </c>
      <c r="BT64" s="185"/>
      <c r="BU64" s="185"/>
      <c r="BV64" s="185">
        <v>10239</v>
      </c>
      <c r="BW64" s="185">
        <v>3863</v>
      </c>
      <c r="BX64" s="185">
        <v>3115</v>
      </c>
      <c r="BY64" s="185">
        <f>9333+410+4509+96</f>
        <v>14348</v>
      </c>
      <c r="BZ64" s="185"/>
      <c r="CA64" s="185"/>
      <c r="CB64" s="185"/>
      <c r="CC64" s="185"/>
      <c r="CD64" s="249" t="s">
        <v>221</v>
      </c>
      <c r="CE64" s="195">
        <f t="shared" si="0"/>
        <v>12099940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f>783+1504</f>
        <v>2287</v>
      </c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1269</v>
      </c>
      <c r="AF65" s="185"/>
      <c r="AG65" s="185"/>
      <c r="AH65" s="185"/>
      <c r="AI65" s="185"/>
      <c r="AJ65" s="185">
        <f>13924+117862</f>
        <v>131786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56</v>
      </c>
      <c r="AZ65" s="185"/>
      <c r="BA65" s="185"/>
      <c r="BB65" s="185"/>
      <c r="BC65" s="185"/>
      <c r="BD65" s="185"/>
      <c r="BE65" s="185">
        <f>854346+25539+60071+85544</f>
        <v>1025500</v>
      </c>
      <c r="BF65" s="185"/>
      <c r="BG65" s="185"/>
      <c r="BH65" s="185">
        <v>19059</v>
      </c>
      <c r="BI65" s="185"/>
      <c r="BJ65" s="185"/>
      <c r="BK65" s="185">
        <v>1100</v>
      </c>
      <c r="BL65" s="185"/>
      <c r="BM65" s="185"/>
      <c r="BN65" s="185"/>
      <c r="BO65" s="185">
        <v>4926</v>
      </c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1185983</v>
      </c>
      <c r="CF65" s="252"/>
    </row>
    <row r="66" spans="1:84" ht="12.65" customHeight="1" x14ac:dyDescent="0.3">
      <c r="A66" s="171" t="s">
        <v>239</v>
      </c>
      <c r="B66" s="175"/>
      <c r="C66" s="184">
        <v>4425</v>
      </c>
      <c r="D66" s="184"/>
      <c r="E66" s="184">
        <v>10663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f>7158+63</f>
        <v>7221</v>
      </c>
      <c r="P66" s="185">
        <f>128684+11328+7039+5136</f>
        <v>152187</v>
      </c>
      <c r="Q66" s="185">
        <v>399</v>
      </c>
      <c r="R66" s="185">
        <v>66586</v>
      </c>
      <c r="S66" s="184">
        <f>68065</f>
        <v>68065</v>
      </c>
      <c r="T66" s="184"/>
      <c r="U66" s="185">
        <f>2452247</f>
        <v>2452247</v>
      </c>
      <c r="V66" s="185"/>
      <c r="W66" s="185">
        <f>754249+245</f>
        <v>754494</v>
      </c>
      <c r="X66" s="185">
        <f>1350+4577+124201</f>
        <v>130128</v>
      </c>
      <c r="Y66" s="185">
        <f>16070+6660+366442+2151+3032+1565+1282</f>
        <v>397202</v>
      </c>
      <c r="Z66" s="185"/>
      <c r="AA66" s="185"/>
      <c r="AB66" s="185">
        <f>55699+12184+187263+69090</f>
        <v>324236</v>
      </c>
      <c r="AC66" s="185">
        <f>5+2172</f>
        <v>2177</v>
      </c>
      <c r="AD66" s="185"/>
      <c r="AE66" s="185">
        <f>1168385+9876+2159</f>
        <v>1180420</v>
      </c>
      <c r="AF66" s="185"/>
      <c r="AG66" s="185">
        <f>116245</f>
        <v>116245</v>
      </c>
      <c r="AH66" s="185"/>
      <c r="AI66" s="185"/>
      <c r="AJ66" s="185">
        <f>30645+937851</f>
        <v>968496</v>
      </c>
      <c r="AK66" s="185">
        <f>281485</f>
        <v>281485</v>
      </c>
      <c r="AL66" s="185">
        <f>295511</f>
        <v>295511</v>
      </c>
      <c r="AM66" s="185"/>
      <c r="AN66" s="185"/>
      <c r="AO66" s="185"/>
      <c r="AP66" s="185"/>
      <c r="AQ66" s="185"/>
      <c r="AR66" s="185">
        <f>225580</f>
        <v>225580</v>
      </c>
      <c r="AS66" s="185"/>
      <c r="AT66" s="185"/>
      <c r="AU66" s="185"/>
      <c r="AV66" s="185"/>
      <c r="AW66" s="185"/>
      <c r="AX66" s="185"/>
      <c r="AY66" s="185">
        <f>977+6292</f>
        <v>7269</v>
      </c>
      <c r="AZ66" s="185"/>
      <c r="BA66" s="185">
        <v>1152</v>
      </c>
      <c r="BB66" s="185">
        <v>4191</v>
      </c>
      <c r="BC66" s="185"/>
      <c r="BD66" s="185">
        <v>88599</v>
      </c>
      <c r="BE66" s="185">
        <f>781994+72348+76157+225565</f>
        <v>1156064</v>
      </c>
      <c r="BF66" s="185">
        <v>314046</v>
      </c>
      <c r="BG66" s="185"/>
      <c r="BH66" s="185">
        <v>2602857</v>
      </c>
      <c r="BI66" s="185"/>
      <c r="BJ66" s="185">
        <f>258163</f>
        <v>258163</v>
      </c>
      <c r="BK66" s="185">
        <f>649130</f>
        <v>649130</v>
      </c>
      <c r="BL66" s="185">
        <v>9890</v>
      </c>
      <c r="BM66" s="185"/>
      <c r="BN66" s="185">
        <f>45009+92+2181+1</f>
        <v>47283</v>
      </c>
      <c r="BO66" s="185">
        <f>119319+1707</f>
        <v>121026</v>
      </c>
      <c r="BP66" s="185">
        <v>35781</v>
      </c>
      <c r="BQ66" s="185"/>
      <c r="BR66" s="185">
        <f>166575+3190</f>
        <v>169765</v>
      </c>
      <c r="BS66" s="185">
        <f>50+857</f>
        <v>907</v>
      </c>
      <c r="BT66" s="185"/>
      <c r="BU66" s="185"/>
      <c r="BV66" s="185">
        <v>478452</v>
      </c>
      <c r="BW66" s="185">
        <v>27422</v>
      </c>
      <c r="BX66" s="185">
        <v>104137</v>
      </c>
      <c r="BY66" s="185">
        <f>3430+10625+265628+41017+196278</f>
        <v>516978</v>
      </c>
      <c r="BZ66" s="185"/>
      <c r="CA66" s="185"/>
      <c r="CB66" s="185"/>
      <c r="CC66" s="185"/>
      <c r="CD66" s="249" t="s">
        <v>221</v>
      </c>
      <c r="CE66" s="195">
        <f t="shared" si="0"/>
        <v>14030879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66542</v>
      </c>
      <c r="D67" s="195">
        <f>ROUND(D51+D52,0)</f>
        <v>0</v>
      </c>
      <c r="E67" s="195">
        <f t="shared" ref="E67:BP67" si="3">ROUND(E51+E52,0)</f>
        <v>239560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3712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81179</v>
      </c>
      <c r="P67" s="195">
        <f t="shared" si="3"/>
        <v>472357</v>
      </c>
      <c r="Q67" s="195">
        <f t="shared" si="3"/>
        <v>23714</v>
      </c>
      <c r="R67" s="195">
        <f t="shared" si="3"/>
        <v>13454</v>
      </c>
      <c r="S67" s="195">
        <f t="shared" si="3"/>
        <v>73087</v>
      </c>
      <c r="T67" s="195">
        <f t="shared" si="3"/>
        <v>0</v>
      </c>
      <c r="U67" s="195">
        <f t="shared" si="3"/>
        <v>204798</v>
      </c>
      <c r="V67" s="195">
        <f t="shared" si="3"/>
        <v>0</v>
      </c>
      <c r="W67" s="195">
        <f t="shared" si="3"/>
        <v>2092</v>
      </c>
      <c r="X67" s="195">
        <f t="shared" si="3"/>
        <v>36557</v>
      </c>
      <c r="Y67" s="195">
        <f t="shared" si="3"/>
        <v>252305</v>
      </c>
      <c r="Z67" s="195">
        <f t="shared" si="3"/>
        <v>0</v>
      </c>
      <c r="AA67" s="195">
        <f t="shared" si="3"/>
        <v>0</v>
      </c>
      <c r="AB67" s="195">
        <f t="shared" si="3"/>
        <v>18534</v>
      </c>
      <c r="AC67" s="195">
        <f t="shared" si="3"/>
        <v>53082</v>
      </c>
      <c r="AD67" s="195">
        <f t="shared" si="3"/>
        <v>0</v>
      </c>
      <c r="AE67" s="195">
        <f t="shared" si="3"/>
        <v>4347</v>
      </c>
      <c r="AF67" s="195">
        <f t="shared" si="3"/>
        <v>0</v>
      </c>
      <c r="AG67" s="195">
        <f t="shared" si="3"/>
        <v>112652</v>
      </c>
      <c r="AH67" s="195">
        <f t="shared" si="3"/>
        <v>0</v>
      </c>
      <c r="AI67" s="195">
        <f t="shared" si="3"/>
        <v>0</v>
      </c>
      <c r="AJ67" s="195">
        <f t="shared" si="3"/>
        <v>729837</v>
      </c>
      <c r="AK67" s="195">
        <f t="shared" si="3"/>
        <v>1964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41697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39507</v>
      </c>
      <c r="AZ67" s="195">
        <f>ROUND(AZ51+AZ52,0)</f>
        <v>22150</v>
      </c>
      <c r="BA67" s="195">
        <f>ROUND(BA51+BA52,0)</f>
        <v>18939</v>
      </c>
      <c r="BB67" s="195">
        <f t="shared" si="3"/>
        <v>0</v>
      </c>
      <c r="BC67" s="195">
        <f t="shared" si="3"/>
        <v>0</v>
      </c>
      <c r="BD67" s="195">
        <f t="shared" si="3"/>
        <v>23673</v>
      </c>
      <c r="BE67" s="195">
        <f t="shared" si="3"/>
        <v>130894</v>
      </c>
      <c r="BF67" s="195">
        <f t="shared" si="3"/>
        <v>7387</v>
      </c>
      <c r="BG67" s="195">
        <f t="shared" si="3"/>
        <v>0</v>
      </c>
      <c r="BH67" s="195">
        <f t="shared" si="3"/>
        <v>1075172</v>
      </c>
      <c r="BI67" s="195">
        <f t="shared" si="3"/>
        <v>0</v>
      </c>
      <c r="BJ67" s="195">
        <f t="shared" si="3"/>
        <v>10523</v>
      </c>
      <c r="BK67" s="195">
        <f t="shared" si="3"/>
        <v>119980</v>
      </c>
      <c r="BL67" s="195">
        <f t="shared" si="3"/>
        <v>6202</v>
      </c>
      <c r="BM67" s="195">
        <f t="shared" si="3"/>
        <v>0</v>
      </c>
      <c r="BN67" s="195">
        <f t="shared" si="3"/>
        <v>447889</v>
      </c>
      <c r="BO67" s="195">
        <f t="shared" si="3"/>
        <v>3358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62021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5669</v>
      </c>
      <c r="BW67" s="195">
        <f t="shared" si="4"/>
        <v>1237</v>
      </c>
      <c r="BX67" s="195">
        <f t="shared" si="4"/>
        <v>576</v>
      </c>
      <c r="BY67" s="195">
        <f t="shared" si="4"/>
        <v>10009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4416656</v>
      </c>
      <c r="CF67" s="252"/>
    </row>
    <row r="68" spans="1:84" ht="12.65" customHeight="1" x14ac:dyDescent="0.3">
      <c r="A68" s="171" t="s">
        <v>240</v>
      </c>
      <c r="B68" s="175"/>
      <c r="C68" s="184">
        <v>0</v>
      </c>
      <c r="D68" s="184"/>
      <c r="E68" s="184">
        <v>12687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15329</v>
      </c>
      <c r="Q68" s="185"/>
      <c r="R68" s="185"/>
      <c r="S68" s="185"/>
      <c r="T68" s="185"/>
      <c r="U68" s="185">
        <f>2816+113702</f>
        <v>116518</v>
      </c>
      <c r="V68" s="185"/>
      <c r="W68" s="185">
        <v>0</v>
      </c>
      <c r="X68" s="185">
        <v>62262</v>
      </c>
      <c r="Y68" s="185">
        <f>157663+81645</f>
        <v>239308</v>
      </c>
      <c r="Z68" s="185"/>
      <c r="AA68" s="185"/>
      <c r="AB68" s="185">
        <f>157680+46955</f>
        <v>204635</v>
      </c>
      <c r="AC68" s="185">
        <f>6686</f>
        <v>6686</v>
      </c>
      <c r="AD68" s="185"/>
      <c r="AE68" s="185">
        <f>129762+14032</f>
        <v>143794</v>
      </c>
      <c r="AF68" s="185"/>
      <c r="AG68" s="185"/>
      <c r="AH68" s="185"/>
      <c r="AI68" s="185"/>
      <c r="AJ68" s="185">
        <f>97+270594+19+33995</f>
        <v>304705</v>
      </c>
      <c r="AK68" s="185">
        <v>45695</v>
      </c>
      <c r="AL68" s="185">
        <v>13428</v>
      </c>
      <c r="AM68" s="185"/>
      <c r="AN68" s="185"/>
      <c r="AO68" s="185"/>
      <c r="AP68" s="185"/>
      <c r="AQ68" s="185"/>
      <c r="AR68" s="185">
        <v>37835</v>
      </c>
      <c r="AS68" s="185"/>
      <c r="AT68" s="185"/>
      <c r="AU68" s="185"/>
      <c r="AV68" s="185"/>
      <c r="AW68" s="185"/>
      <c r="AX68" s="185"/>
      <c r="AY68" s="185">
        <f>1872-1329</f>
        <v>543</v>
      </c>
      <c r="AZ68" s="185">
        <v>1329</v>
      </c>
      <c r="BA68" s="185"/>
      <c r="BB68" s="185"/>
      <c r="BC68" s="185"/>
      <c r="BD68" s="185">
        <v>98</v>
      </c>
      <c r="BE68" s="185">
        <v>2124</v>
      </c>
      <c r="BF68" s="185"/>
      <c r="BG68" s="185"/>
      <c r="BH68" s="185"/>
      <c r="BI68" s="185"/>
      <c r="BJ68" s="185"/>
      <c r="BK68" s="185"/>
      <c r="BL68" s="185"/>
      <c r="BM68" s="185"/>
      <c r="BN68" s="185">
        <f>56037+1</f>
        <v>56038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1263014</v>
      </c>
      <c r="CF68" s="252"/>
    </row>
    <row r="69" spans="1:84" ht="12.65" customHeight="1" x14ac:dyDescent="0.3">
      <c r="A69" s="171" t="s">
        <v>241</v>
      </c>
      <c r="B69" s="175"/>
      <c r="C69" s="184">
        <v>1110</v>
      </c>
      <c r="D69" s="184"/>
      <c r="E69" s="185">
        <v>2153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2215</v>
      </c>
      <c r="P69" s="185">
        <f>2043+3601+45</f>
        <v>5689</v>
      </c>
      <c r="Q69" s="185"/>
      <c r="R69" s="224"/>
      <c r="S69" s="185">
        <v>1906</v>
      </c>
      <c r="T69" s="184"/>
      <c r="U69" s="185">
        <f>5631+46270</f>
        <v>51901</v>
      </c>
      <c r="V69" s="185"/>
      <c r="W69" s="184"/>
      <c r="X69" s="185"/>
      <c r="Y69" s="185">
        <v>4191</v>
      </c>
      <c r="Z69" s="185"/>
      <c r="AA69" s="185"/>
      <c r="AB69" s="185">
        <f>5140+790</f>
        <v>5930</v>
      </c>
      <c r="AC69" s="185">
        <v>348</v>
      </c>
      <c r="AD69" s="185"/>
      <c r="AE69" s="185">
        <v>2579</v>
      </c>
      <c r="AF69" s="185"/>
      <c r="AG69" s="185">
        <f>2535+179+87419</f>
        <v>90133</v>
      </c>
      <c r="AH69" s="185"/>
      <c r="AI69" s="185"/>
      <c r="AJ69" s="185">
        <f>33401+6016+401977+3410</f>
        <v>444804</v>
      </c>
      <c r="AK69" s="185">
        <v>43</v>
      </c>
      <c r="AL69" s="185">
        <v>43</v>
      </c>
      <c r="AM69" s="185"/>
      <c r="AN69" s="185"/>
      <c r="AO69" s="184"/>
      <c r="AP69" s="185"/>
      <c r="AQ69" s="184"/>
      <c r="AR69" s="184">
        <f>40609+35014</f>
        <v>75623</v>
      </c>
      <c r="AS69" s="184"/>
      <c r="AT69" s="184"/>
      <c r="AU69" s="185"/>
      <c r="AV69" s="185"/>
      <c r="AW69" s="185"/>
      <c r="AX69" s="185"/>
      <c r="AY69" s="185">
        <f>3630+2539</f>
        <v>6169</v>
      </c>
      <c r="AZ69" s="185"/>
      <c r="BA69" s="185"/>
      <c r="BB69" s="185">
        <v>59</v>
      </c>
      <c r="BC69" s="185"/>
      <c r="BD69" s="185">
        <v>123748</v>
      </c>
      <c r="BE69" s="185">
        <f>6745+115+42+147</f>
        <v>7049</v>
      </c>
      <c r="BF69" s="185">
        <v>379</v>
      </c>
      <c r="BG69" s="185"/>
      <c r="BH69" s="224">
        <v>460</v>
      </c>
      <c r="BI69" s="185"/>
      <c r="BJ69" s="185">
        <v>923</v>
      </c>
      <c r="BK69" s="185">
        <v>9899</v>
      </c>
      <c r="BL69" s="185">
        <v>878</v>
      </c>
      <c r="BM69" s="185"/>
      <c r="BN69" s="185">
        <f>884394+366+4304+1043165+4334</f>
        <v>1936563</v>
      </c>
      <c r="BO69" s="185"/>
      <c r="BP69" s="185">
        <v>152506</v>
      </c>
      <c r="BQ69" s="185"/>
      <c r="BR69" s="185">
        <f>24941+32859</f>
        <v>57800</v>
      </c>
      <c r="BS69" s="185"/>
      <c r="BT69" s="185"/>
      <c r="BU69" s="185"/>
      <c r="BV69" s="185">
        <v>2229</v>
      </c>
      <c r="BW69" s="185">
        <f>720+113235+925</f>
        <v>114880</v>
      </c>
      <c r="BX69" s="185">
        <f>13357+3130+1254+944</f>
        <v>18685</v>
      </c>
      <c r="BY69" s="185">
        <f>200+70+964+2039+403</f>
        <v>3676</v>
      </c>
      <c r="BZ69" s="185"/>
      <c r="CA69" s="185"/>
      <c r="CB69" s="185"/>
      <c r="CC69" s="185"/>
      <c r="CD69" s="188"/>
      <c r="CE69" s="195">
        <f t="shared" si="0"/>
        <v>3124571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2381246</v>
      </c>
      <c r="D71" s="195">
        <f t="shared" ref="D71:AI71" si="5">SUM(D61:D69)-D70</f>
        <v>0</v>
      </c>
      <c r="E71" s="195">
        <f t="shared" si="5"/>
        <v>2871345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255668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1785425</v>
      </c>
      <c r="P71" s="195">
        <f t="shared" si="5"/>
        <v>7408085</v>
      </c>
      <c r="Q71" s="195">
        <f t="shared" si="5"/>
        <v>195513</v>
      </c>
      <c r="R71" s="195">
        <f t="shared" si="5"/>
        <v>114858</v>
      </c>
      <c r="S71" s="195">
        <f t="shared" si="5"/>
        <v>551131</v>
      </c>
      <c r="T71" s="195">
        <f t="shared" si="5"/>
        <v>0</v>
      </c>
      <c r="U71" s="195">
        <f t="shared" si="5"/>
        <v>7667121</v>
      </c>
      <c r="V71" s="195">
        <f t="shared" si="5"/>
        <v>0</v>
      </c>
      <c r="W71" s="195">
        <f t="shared" si="5"/>
        <v>757151</v>
      </c>
      <c r="X71" s="195">
        <f t="shared" si="5"/>
        <v>1129482</v>
      </c>
      <c r="Y71" s="195">
        <f t="shared" si="5"/>
        <v>2233835</v>
      </c>
      <c r="Z71" s="195">
        <f t="shared" si="5"/>
        <v>0</v>
      </c>
      <c r="AA71" s="195">
        <f t="shared" si="5"/>
        <v>0</v>
      </c>
      <c r="AB71" s="195">
        <f t="shared" si="5"/>
        <v>5018701</v>
      </c>
      <c r="AC71" s="195">
        <f t="shared" si="5"/>
        <v>931375</v>
      </c>
      <c r="AD71" s="195">
        <f t="shared" si="5"/>
        <v>0</v>
      </c>
      <c r="AE71" s="195">
        <f t="shared" si="5"/>
        <v>1721753</v>
      </c>
      <c r="AF71" s="195">
        <f t="shared" si="5"/>
        <v>0</v>
      </c>
      <c r="AG71" s="195">
        <f t="shared" si="5"/>
        <v>7055137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25945945</v>
      </c>
      <c r="AK71" s="195">
        <f t="shared" si="6"/>
        <v>341077</v>
      </c>
      <c r="AL71" s="195">
        <f t="shared" si="6"/>
        <v>325006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2469149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399151</v>
      </c>
      <c r="AZ71" s="195">
        <f t="shared" si="6"/>
        <v>869617</v>
      </c>
      <c r="BA71" s="195">
        <f t="shared" si="6"/>
        <v>211983</v>
      </c>
      <c r="BB71" s="195">
        <f t="shared" si="6"/>
        <v>173651</v>
      </c>
      <c r="BC71" s="195">
        <f t="shared" si="6"/>
        <v>0</v>
      </c>
      <c r="BD71" s="195">
        <f t="shared" si="6"/>
        <v>468155</v>
      </c>
      <c r="BE71" s="195">
        <f t="shared" si="6"/>
        <v>3098993</v>
      </c>
      <c r="BF71" s="195">
        <f t="shared" si="6"/>
        <v>1717671</v>
      </c>
      <c r="BG71" s="195">
        <f t="shared" si="6"/>
        <v>0</v>
      </c>
      <c r="BH71" s="195">
        <f t="shared" si="6"/>
        <v>5731678</v>
      </c>
      <c r="BI71" s="195">
        <f t="shared" si="6"/>
        <v>0</v>
      </c>
      <c r="BJ71" s="195">
        <f t="shared" si="6"/>
        <v>944066</v>
      </c>
      <c r="BK71" s="195">
        <f t="shared" si="6"/>
        <v>2326843</v>
      </c>
      <c r="BL71" s="195">
        <f t="shared" si="6"/>
        <v>904161</v>
      </c>
      <c r="BM71" s="195">
        <f t="shared" si="6"/>
        <v>0</v>
      </c>
      <c r="BN71" s="195">
        <f t="shared" si="6"/>
        <v>3908304</v>
      </c>
      <c r="BO71" s="195">
        <f t="shared" si="6"/>
        <v>752730</v>
      </c>
      <c r="BP71" s="195">
        <f t="shared" ref="BP71:CC71" si="7">SUM(BP61:BP69)-BP70</f>
        <v>589890</v>
      </c>
      <c r="BQ71" s="195">
        <f t="shared" si="7"/>
        <v>0</v>
      </c>
      <c r="BR71" s="195">
        <f t="shared" si="7"/>
        <v>908428</v>
      </c>
      <c r="BS71" s="195">
        <f t="shared" si="7"/>
        <v>50972</v>
      </c>
      <c r="BT71" s="195">
        <f t="shared" si="7"/>
        <v>0</v>
      </c>
      <c r="BU71" s="195">
        <f t="shared" si="7"/>
        <v>0</v>
      </c>
      <c r="BV71" s="195">
        <f t="shared" si="7"/>
        <v>2099846</v>
      </c>
      <c r="BW71" s="195">
        <f t="shared" si="7"/>
        <v>1187004</v>
      </c>
      <c r="BX71" s="195">
        <f t="shared" si="7"/>
        <v>893265</v>
      </c>
      <c r="BY71" s="195">
        <f t="shared" si="7"/>
        <v>1850436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0</v>
      </c>
      <c r="CE71" s="195">
        <f>SUM(CE61:CE69)-CE70</f>
        <v>100245847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2586693</v>
      </c>
      <c r="D73" s="184"/>
      <c r="E73" s="185">
        <f>3502676-77481</f>
        <v>3425195</v>
      </c>
      <c r="F73" s="185"/>
      <c r="G73" s="184"/>
      <c r="H73" s="184"/>
      <c r="I73" s="185"/>
      <c r="J73" s="185">
        <v>974705</v>
      </c>
      <c r="K73" s="185"/>
      <c r="L73" s="185">
        <v>77481</v>
      </c>
      <c r="M73" s="184"/>
      <c r="N73" s="184"/>
      <c r="O73" s="184">
        <f>3488624-974705</f>
        <v>2513919</v>
      </c>
      <c r="P73" s="185">
        <f>5527003+48468+260</f>
        <v>5575731</v>
      </c>
      <c r="Q73" s="185">
        <v>236108</v>
      </c>
      <c r="R73" s="185"/>
      <c r="S73" s="185"/>
      <c r="T73" s="185"/>
      <c r="U73" s="185">
        <v>2058606</v>
      </c>
      <c r="V73" s="185"/>
      <c r="W73" s="185">
        <v>152550</v>
      </c>
      <c r="X73" s="185">
        <v>1308630</v>
      </c>
      <c r="Y73" s="185">
        <f>253767+247521+44295</f>
        <v>545583</v>
      </c>
      <c r="Z73" s="185"/>
      <c r="AA73" s="185"/>
      <c r="AB73" s="185">
        <f>5398458-16577</f>
        <v>5381881</v>
      </c>
      <c r="AC73" s="185">
        <v>529391</v>
      </c>
      <c r="AD73" s="185"/>
      <c r="AE73" s="185">
        <v>241595</v>
      </c>
      <c r="AF73" s="185"/>
      <c r="AG73" s="185">
        <f>406128-5908</f>
        <v>400220</v>
      </c>
      <c r="AH73" s="185"/>
      <c r="AI73" s="185"/>
      <c r="AJ73" s="185"/>
      <c r="AK73" s="185">
        <v>76366</v>
      </c>
      <c r="AL73" s="185">
        <v>50384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26135038</v>
      </c>
      <c r="CF73" s="252"/>
    </row>
    <row r="74" spans="1:84" ht="12.65" customHeight="1" x14ac:dyDescent="0.3">
      <c r="A74" s="171" t="s">
        <v>246</v>
      </c>
      <c r="B74" s="175"/>
      <c r="C74" s="184">
        <f>496768+310</f>
        <v>497078</v>
      </c>
      <c r="D74" s="184"/>
      <c r="E74" s="185">
        <f>2668858+3863</f>
        <v>2672721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f>573359-3798</f>
        <v>569561</v>
      </c>
      <c r="P74" s="185">
        <f>18584035+17299+4059508+1483235+181363</f>
        <v>24325440</v>
      </c>
      <c r="Q74" s="185">
        <v>2392705</v>
      </c>
      <c r="R74" s="185"/>
      <c r="S74" s="185"/>
      <c r="T74" s="185"/>
      <c r="U74" s="185">
        <f>27794665+293711</f>
        <v>28088376</v>
      </c>
      <c r="V74" s="185"/>
      <c r="W74" s="185">
        <v>7438082</v>
      </c>
      <c r="X74" s="185">
        <v>22038206</v>
      </c>
      <c r="Y74" s="185">
        <f>6746317+29285+1196195+9085+2451513+1123616</f>
        <v>11556011</v>
      </c>
      <c r="Z74" s="185"/>
      <c r="AA74" s="185"/>
      <c r="AB74" s="185">
        <f>12497693+61+16576</f>
        <v>12514330</v>
      </c>
      <c r="AC74" s="185">
        <f>1874033+3204</f>
        <v>1877237</v>
      </c>
      <c r="AD74" s="185"/>
      <c r="AE74" s="185">
        <f>3205308+864320</f>
        <v>4069628</v>
      </c>
      <c r="AF74" s="185"/>
      <c r="AG74" s="185">
        <f>16265239+943-36517+3911026</f>
        <v>20140691</v>
      </c>
      <c r="AH74" s="185"/>
      <c r="AI74" s="185"/>
      <c r="AJ74" s="185">
        <f>828298+2197704+26829933+141388-20214-19186</f>
        <v>29957923</v>
      </c>
      <c r="AK74" s="185">
        <v>763520</v>
      </c>
      <c r="AL74" s="185">
        <v>744398</v>
      </c>
      <c r="AM74" s="185"/>
      <c r="AN74" s="185"/>
      <c r="AO74" s="185"/>
      <c r="AP74" s="185"/>
      <c r="AQ74" s="185"/>
      <c r="AR74" s="185">
        <v>2849159</v>
      </c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172495066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3083771</v>
      </c>
      <c r="D75" s="195">
        <f t="shared" si="9"/>
        <v>0</v>
      </c>
      <c r="E75" s="195">
        <f t="shared" si="9"/>
        <v>6097916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974705</v>
      </c>
      <c r="K75" s="195">
        <f t="shared" si="9"/>
        <v>0</v>
      </c>
      <c r="L75" s="195">
        <f t="shared" si="9"/>
        <v>77481</v>
      </c>
      <c r="M75" s="195">
        <f t="shared" si="9"/>
        <v>0</v>
      </c>
      <c r="N75" s="195">
        <f t="shared" si="9"/>
        <v>0</v>
      </c>
      <c r="O75" s="195">
        <f t="shared" si="9"/>
        <v>3083480</v>
      </c>
      <c r="P75" s="195">
        <f t="shared" si="9"/>
        <v>29901171</v>
      </c>
      <c r="Q75" s="195">
        <f t="shared" si="9"/>
        <v>2628813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30146982</v>
      </c>
      <c r="V75" s="195">
        <f t="shared" si="9"/>
        <v>0</v>
      </c>
      <c r="W75" s="195">
        <f t="shared" si="9"/>
        <v>7590632</v>
      </c>
      <c r="X75" s="195">
        <f t="shared" si="9"/>
        <v>23346836</v>
      </c>
      <c r="Y75" s="195">
        <f t="shared" si="9"/>
        <v>12101594</v>
      </c>
      <c r="Z75" s="195">
        <f t="shared" si="9"/>
        <v>0</v>
      </c>
      <c r="AA75" s="195">
        <f t="shared" si="9"/>
        <v>0</v>
      </c>
      <c r="AB75" s="195">
        <f t="shared" si="9"/>
        <v>17896211</v>
      </c>
      <c r="AC75" s="195">
        <f t="shared" si="9"/>
        <v>2406628</v>
      </c>
      <c r="AD75" s="195">
        <f t="shared" si="9"/>
        <v>0</v>
      </c>
      <c r="AE75" s="195">
        <f t="shared" si="9"/>
        <v>4311223</v>
      </c>
      <c r="AF75" s="195">
        <f t="shared" si="9"/>
        <v>0</v>
      </c>
      <c r="AG75" s="195">
        <f t="shared" si="9"/>
        <v>20540911</v>
      </c>
      <c r="AH75" s="195">
        <f t="shared" si="9"/>
        <v>0</v>
      </c>
      <c r="AI75" s="195">
        <f t="shared" si="9"/>
        <v>0</v>
      </c>
      <c r="AJ75" s="195">
        <f t="shared" si="9"/>
        <v>29957923</v>
      </c>
      <c r="AK75" s="195">
        <f t="shared" si="9"/>
        <v>839886</v>
      </c>
      <c r="AL75" s="195">
        <f t="shared" si="9"/>
        <v>794782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2849159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198630104</v>
      </c>
      <c r="CF75" s="252"/>
    </row>
    <row r="76" spans="1:84" ht="12.65" customHeight="1" x14ac:dyDescent="0.3">
      <c r="A76" s="171" t="s">
        <v>248</v>
      </c>
      <c r="B76" s="175"/>
      <c r="C76" s="184">
        <v>2897</v>
      </c>
      <c r="D76" s="184"/>
      <c r="E76" s="185">
        <v>13113</v>
      </c>
      <c r="F76" s="185"/>
      <c r="G76" s="184"/>
      <c r="H76" s="184"/>
      <c r="I76" s="185"/>
      <c r="J76" s="185">
        <v>252</v>
      </c>
      <c r="K76" s="185"/>
      <c r="L76" s="185"/>
      <c r="M76" s="185"/>
      <c r="N76" s="185"/>
      <c r="O76" s="185">
        <v>2224</v>
      </c>
      <c r="P76" s="185">
        <v>12295</v>
      </c>
      <c r="Q76" s="185">
        <v>1012</v>
      </c>
      <c r="R76" s="185"/>
      <c r="S76" s="185">
        <v>1529</v>
      </c>
      <c r="T76" s="185"/>
      <c r="U76" s="185">
        <v>4056</v>
      </c>
      <c r="V76" s="185"/>
      <c r="W76" s="185">
        <v>142</v>
      </c>
      <c r="X76" s="185">
        <v>2272</v>
      </c>
      <c r="Y76" s="185">
        <v>2355</v>
      </c>
      <c r="Z76" s="185"/>
      <c r="AA76" s="185"/>
      <c r="AB76" s="185">
        <v>1163</v>
      </c>
      <c r="AC76" s="185">
        <f>792+240</f>
        <v>1032</v>
      </c>
      <c r="AD76" s="185"/>
      <c r="AE76" s="185"/>
      <c r="AF76" s="185"/>
      <c r="AG76" s="185">
        <v>5160</v>
      </c>
      <c r="AH76" s="185"/>
      <c r="AI76" s="185"/>
      <c r="AJ76" s="185">
        <f>5219+26490</f>
        <v>31709</v>
      </c>
      <c r="AK76" s="185"/>
      <c r="AL76" s="185"/>
      <c r="AM76" s="185"/>
      <c r="AN76" s="185"/>
      <c r="AO76" s="185"/>
      <c r="AP76" s="185"/>
      <c r="AQ76" s="185"/>
      <c r="AR76" s="185">
        <v>1394</v>
      </c>
      <c r="AS76" s="185"/>
      <c r="AT76" s="185"/>
      <c r="AU76" s="185"/>
      <c r="AV76" s="185"/>
      <c r="AW76" s="185"/>
      <c r="AX76" s="185"/>
      <c r="AY76" s="185">
        <v>2628</v>
      </c>
      <c r="AZ76" s="185">
        <v>1372</v>
      </c>
      <c r="BA76" s="185">
        <v>855</v>
      </c>
      <c r="BB76" s="185"/>
      <c r="BC76" s="185"/>
      <c r="BD76" s="185">
        <v>1607</v>
      </c>
      <c r="BE76" s="185">
        <v>5182</v>
      </c>
      <c r="BF76" s="185">
        <v>343</v>
      </c>
      <c r="BG76" s="185"/>
      <c r="BH76" s="185">
        <v>3456</v>
      </c>
      <c r="BI76" s="185"/>
      <c r="BJ76" s="185">
        <v>664</v>
      </c>
      <c r="BK76" s="185">
        <v>7998</v>
      </c>
      <c r="BL76" s="185">
        <v>421</v>
      </c>
      <c r="BM76" s="185"/>
      <c r="BN76" s="185">
        <f>34543-4608</f>
        <v>29935</v>
      </c>
      <c r="BO76" s="185"/>
      <c r="BP76" s="185"/>
      <c r="BQ76" s="185"/>
      <c r="BR76" s="185">
        <v>1527</v>
      </c>
      <c r="BS76" s="185"/>
      <c r="BT76" s="185"/>
      <c r="BU76" s="185"/>
      <c r="BV76" s="185"/>
      <c r="BW76" s="185">
        <v>84</v>
      </c>
      <c r="BX76" s="185"/>
      <c r="BY76" s="185">
        <v>474</v>
      </c>
      <c r="BZ76" s="185"/>
      <c r="CA76" s="185"/>
      <c r="CB76" s="185"/>
      <c r="CC76" s="185"/>
      <c r="CD76" s="249" t="s">
        <v>221</v>
      </c>
      <c r="CE76" s="195">
        <f t="shared" si="8"/>
        <v>139151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2604</v>
      </c>
      <c r="D77" s="184"/>
      <c r="E77" s="184">
        <f>6589+1777</f>
        <v>8366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47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524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11541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759</v>
      </c>
      <c r="D78" s="184"/>
      <c r="E78" s="184">
        <v>3436</v>
      </c>
      <c r="F78" s="184"/>
      <c r="G78" s="184"/>
      <c r="H78" s="184"/>
      <c r="I78" s="184"/>
      <c r="J78" s="184">
        <v>66</v>
      </c>
      <c r="K78" s="184"/>
      <c r="L78" s="184"/>
      <c r="M78" s="184"/>
      <c r="N78" s="184"/>
      <c r="O78" s="184">
        <v>583</v>
      </c>
      <c r="P78" s="184">
        <v>3221</v>
      </c>
      <c r="Q78" s="184">
        <v>265</v>
      </c>
      <c r="R78" s="184"/>
      <c r="S78" s="184">
        <v>401</v>
      </c>
      <c r="T78" s="184"/>
      <c r="U78" s="184">
        <v>1063</v>
      </c>
      <c r="V78" s="184"/>
      <c r="W78" s="184">
        <v>37</v>
      </c>
      <c r="X78" s="184">
        <v>596</v>
      </c>
      <c r="Y78" s="184">
        <v>617</v>
      </c>
      <c r="Z78" s="184"/>
      <c r="AA78" s="184"/>
      <c r="AB78" s="184">
        <v>175</v>
      </c>
      <c r="AC78" s="184">
        <v>270</v>
      </c>
      <c r="AD78" s="184"/>
      <c r="AE78" s="184">
        <v>1811</v>
      </c>
      <c r="AF78" s="184"/>
      <c r="AG78" s="184">
        <v>1352</v>
      </c>
      <c r="AH78" s="184"/>
      <c r="AI78" s="184"/>
      <c r="AJ78" s="184">
        <f>6941+1367</f>
        <v>8308</v>
      </c>
      <c r="AK78" s="184">
        <v>719</v>
      </c>
      <c r="AL78" s="184">
        <v>211</v>
      </c>
      <c r="AM78" s="184"/>
      <c r="AN78" s="184"/>
      <c r="AO78" s="184"/>
      <c r="AP78" s="184"/>
      <c r="AQ78" s="184"/>
      <c r="AR78" s="184">
        <f>183+183</f>
        <v>366</v>
      </c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224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881</v>
      </c>
      <c r="BI78" s="184"/>
      <c r="BJ78" s="249" t="s">
        <v>221</v>
      </c>
      <c r="BK78" s="184">
        <v>2096</v>
      </c>
      <c r="BL78" s="184">
        <v>110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408</v>
      </c>
      <c r="BW78" s="184">
        <v>22</v>
      </c>
      <c r="BX78" s="184">
        <v>22</v>
      </c>
      <c r="BY78" s="184">
        <v>732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28751</v>
      </c>
      <c r="CF78" s="195"/>
    </row>
    <row r="79" spans="1:84" ht="12.65" customHeight="1" x14ac:dyDescent="0.3">
      <c r="A79" s="171" t="s">
        <v>251</v>
      </c>
      <c r="B79" s="175"/>
      <c r="C79" s="225">
        <v>21528</v>
      </c>
      <c r="D79" s="225"/>
      <c r="E79" s="184">
        <v>54280</v>
      </c>
      <c r="F79" s="184"/>
      <c r="G79" s="184"/>
      <c r="H79" s="184"/>
      <c r="I79" s="184"/>
      <c r="J79" s="184">
        <v>10447</v>
      </c>
      <c r="K79" s="184"/>
      <c r="L79" s="184"/>
      <c r="M79" s="184"/>
      <c r="N79" s="184"/>
      <c r="O79" s="184">
        <v>54938</v>
      </c>
      <c r="P79" s="184">
        <f>22476+54193</f>
        <v>76669</v>
      </c>
      <c r="Q79" s="184"/>
      <c r="R79" s="184"/>
      <c r="S79" s="184"/>
      <c r="T79" s="184"/>
      <c r="U79" s="184">
        <v>10088</v>
      </c>
      <c r="V79" s="184"/>
      <c r="W79" s="184">
        <v>4569</v>
      </c>
      <c r="X79" s="184">
        <v>13276</v>
      </c>
      <c r="Y79" s="184">
        <v>54245</v>
      </c>
      <c r="Z79" s="184"/>
      <c r="AA79" s="184"/>
      <c r="AB79" s="184"/>
      <c r="AC79" s="184">
        <v>1816</v>
      </c>
      <c r="AD79" s="184"/>
      <c r="AE79" s="184">
        <v>9079</v>
      </c>
      <c r="AF79" s="184"/>
      <c r="AG79" s="184">
        <v>72997</v>
      </c>
      <c r="AH79" s="184"/>
      <c r="AI79" s="184"/>
      <c r="AJ79" s="184">
        <f>7263+4035+3632+807+4035+9079+404+401</f>
        <v>29656</v>
      </c>
      <c r="AK79" s="184">
        <v>3632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417220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f>8.23+1+1</f>
        <v>10.23</v>
      </c>
      <c r="D80" s="187"/>
      <c r="E80" s="187">
        <f>13.17+3.03+0.97+1.38+3.12+4</f>
        <v>25.669999999999998</v>
      </c>
      <c r="F80" s="187"/>
      <c r="G80" s="187"/>
      <c r="H80" s="187"/>
      <c r="I80" s="187"/>
      <c r="J80" s="187">
        <v>1</v>
      </c>
      <c r="K80" s="187"/>
      <c r="L80" s="187"/>
      <c r="M80" s="187"/>
      <c r="N80" s="187"/>
      <c r="O80" s="187">
        <f>9.2+1-5</f>
        <v>5.1999999999999993</v>
      </c>
      <c r="P80" s="187">
        <f>4.28+0.01+0.61+13.12+0.01</f>
        <v>18.03</v>
      </c>
      <c r="Q80" s="187">
        <v>0.25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14.9+0.32+1.57</f>
        <v>16.79</v>
      </c>
      <c r="AH80" s="187"/>
      <c r="AI80" s="187"/>
      <c r="AJ80" s="187">
        <f>2.43+4.16+1.61+0.89+1.9+1.67+0.54</f>
        <v>13.2</v>
      </c>
      <c r="AK80" s="187"/>
      <c r="AL80" s="187"/>
      <c r="AM80" s="187"/>
      <c r="AN80" s="187"/>
      <c r="AO80" s="187"/>
      <c r="AP80" s="187"/>
      <c r="AQ80" s="187"/>
      <c r="AR80" s="187">
        <f>5.22+1.22</f>
        <v>6.4399999999999995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96.809999999999988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2" t="s">
        <v>1279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14" t="s">
        <v>1269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1270</v>
      </c>
      <c r="D84" s="205"/>
      <c r="E84" s="204"/>
    </row>
    <row r="85" spans="1:5" ht="12.65" customHeight="1" x14ac:dyDescent="0.3">
      <c r="A85" s="173" t="s">
        <v>1250</v>
      </c>
      <c r="B85" s="172"/>
      <c r="C85" s="270" t="s">
        <v>1271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1280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315" t="s">
        <v>1278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935</v>
      </c>
      <c r="D111" s="174">
        <v>3182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9</v>
      </c>
      <c r="D112" s="174">
        <v>74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280</v>
      </c>
      <c r="D114" s="174">
        <v>444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13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6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77481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f>393+38</f>
        <v>431</v>
      </c>
      <c r="C138" s="189">
        <v>218</v>
      </c>
      <c r="D138" s="174">
        <v>286</v>
      </c>
      <c r="E138" s="175">
        <f>SUM(B138:D138)</f>
        <v>935</v>
      </c>
    </row>
    <row r="139" spans="1:6" ht="12.65" customHeight="1" x14ac:dyDescent="0.3">
      <c r="A139" s="173" t="s">
        <v>215</v>
      </c>
      <c r="B139" s="174">
        <f>482+1327</f>
        <v>1809</v>
      </c>
      <c r="C139" s="189">
        <f>41+413+10</f>
        <v>464</v>
      </c>
      <c r="D139" s="174">
        <v>1427</v>
      </c>
      <c r="E139" s="175">
        <f>SUM(B139:D139)</f>
        <v>3700</v>
      </c>
    </row>
    <row r="140" spans="1:6" ht="12.65" customHeight="1" x14ac:dyDescent="0.3">
      <c r="A140" s="173" t="s">
        <v>298</v>
      </c>
      <c r="B140" s="174">
        <v>84634</v>
      </c>
      <c r="C140" s="174">
        <v>40720</v>
      </c>
      <c r="D140" s="174">
        <v>91935</v>
      </c>
      <c r="E140" s="175">
        <f>SUM(B140:D140)</f>
        <v>217289</v>
      </c>
    </row>
    <row r="141" spans="1:6" ht="12.65" customHeight="1" x14ac:dyDescent="0.3">
      <c r="A141" s="173" t="s">
        <v>245</v>
      </c>
      <c r="B141" s="174">
        <f>11435997+1320161-1649512-77481</f>
        <v>11029165</v>
      </c>
      <c r="C141" s="189">
        <f>679899+4960747</f>
        <v>5640646</v>
      </c>
      <c r="D141" s="174">
        <f>7930121+677487+705009+75129</f>
        <v>9387746</v>
      </c>
      <c r="E141" s="175">
        <f>SUM(B141:D141)</f>
        <v>26057557</v>
      </c>
      <c r="F141" s="199"/>
    </row>
    <row r="142" spans="1:6" ht="12.65" customHeight="1" x14ac:dyDescent="0.3">
      <c r="A142" s="173" t="s">
        <v>246</v>
      </c>
      <c r="B142" s="174">
        <f>57613150+7726255+1649512+2849159+282825</f>
        <v>70120901</v>
      </c>
      <c r="C142" s="189">
        <f>1350137+30080140</f>
        <v>31430277</v>
      </c>
      <c r="D142" s="174">
        <v>70943888</v>
      </c>
      <c r="E142" s="175">
        <f>SUM(B142:D142)</f>
        <v>172495066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9</v>
      </c>
      <c r="C144" s="189"/>
      <c r="D144" s="174"/>
      <c r="E144" s="175">
        <f>SUM(B144:D144)</f>
        <v>9</v>
      </c>
    </row>
    <row r="145" spans="1:5" ht="12.65" customHeight="1" x14ac:dyDescent="0.3">
      <c r="A145" s="173" t="s">
        <v>215</v>
      </c>
      <c r="B145" s="174">
        <v>74</v>
      </c>
      <c r="C145" s="189"/>
      <c r="D145" s="174"/>
      <c r="E145" s="175">
        <f>SUM(B145:D145)</f>
        <v>74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77481</v>
      </c>
      <c r="C147" s="189"/>
      <c r="D147" s="174"/>
      <c r="E147" s="175">
        <f>SUM(B147:D147)</f>
        <v>77481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f>828298+3868601</f>
        <v>4696899</v>
      </c>
      <c r="C157" s="174">
        <f>1508421+2519858</f>
        <v>4028279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3355301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56225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321603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f>5971090-1121465+408408-70761</f>
        <v>5187272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58679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3253275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134395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f>11359+949+6923</f>
        <v>19231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12385981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f>129762+45695+13428+14032+113702+270594+33995+56037</f>
        <v>677245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f>12687+15329+2816+301570+157680+46955+6686+1872+98+2124+97+19+37835</f>
        <v>585768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1263013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476648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300733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777381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174610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730191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904801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618983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618983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2808860</v>
      </c>
      <c r="C195" s="189"/>
      <c r="D195" s="174"/>
      <c r="E195" s="175">
        <f t="shared" ref="E195:E203" si="10">SUM(B195:C195)-D195</f>
        <v>2808860</v>
      </c>
    </row>
    <row r="196" spans="1:8" ht="12.65" customHeight="1" x14ac:dyDescent="0.3">
      <c r="A196" s="173" t="s">
        <v>333</v>
      </c>
      <c r="B196" s="174">
        <v>429006</v>
      </c>
      <c r="C196" s="189"/>
      <c r="D196" s="174"/>
      <c r="E196" s="175">
        <f t="shared" si="10"/>
        <v>429006</v>
      </c>
    </row>
    <row r="197" spans="1:8" ht="12.65" customHeight="1" x14ac:dyDescent="0.3">
      <c r="A197" s="173" t="s">
        <v>334</v>
      </c>
      <c r="B197" s="174">
        <v>46640888</v>
      </c>
      <c r="C197" s="189">
        <f>601081+532347</f>
        <v>1133428</v>
      </c>
      <c r="D197" s="174"/>
      <c r="E197" s="175">
        <f t="shared" si="10"/>
        <v>47774316</v>
      </c>
    </row>
    <row r="198" spans="1:8" ht="12.65" customHeight="1" x14ac:dyDescent="0.3">
      <c r="A198" s="173" t="s">
        <v>335</v>
      </c>
      <c r="B198" s="174">
        <v>6963975</v>
      </c>
      <c r="C198" s="189"/>
      <c r="D198" s="174"/>
      <c r="E198" s="175">
        <f t="shared" si="10"/>
        <v>6963975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32524011</v>
      </c>
      <c r="C200" s="189">
        <v>2334590</v>
      </c>
      <c r="D200" s="174">
        <v>2113417</v>
      </c>
      <c r="E200" s="175">
        <f t="shared" si="10"/>
        <v>32745184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286545</v>
      </c>
      <c r="C203" s="189">
        <v>1898077</v>
      </c>
      <c r="D203" s="174">
        <v>532347</v>
      </c>
      <c r="E203" s="175">
        <f t="shared" si="10"/>
        <v>1652275</v>
      </c>
    </row>
    <row r="204" spans="1:8" ht="12.65" customHeight="1" x14ac:dyDescent="0.3">
      <c r="A204" s="173" t="s">
        <v>203</v>
      </c>
      <c r="B204" s="175">
        <f>SUM(B195:B203)</f>
        <v>89653285</v>
      </c>
      <c r="C204" s="191">
        <f>SUM(C195:C203)</f>
        <v>5366095</v>
      </c>
      <c r="D204" s="175">
        <f>SUM(D195:D203)</f>
        <v>2645764</v>
      </c>
      <c r="E204" s="175">
        <f>SUM(E195:E203)</f>
        <v>92373616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430621</v>
      </c>
      <c r="C209" s="189">
        <v>4330</v>
      </c>
      <c r="D209" s="174"/>
      <c r="E209" s="175">
        <f t="shared" ref="E209:E216" si="11">SUM(B209:C209)-D209</f>
        <v>434951</v>
      </c>
      <c r="H209" s="259"/>
    </row>
    <row r="210" spans="1:8" ht="12.65" customHeight="1" x14ac:dyDescent="0.3">
      <c r="A210" s="173" t="s">
        <v>334</v>
      </c>
      <c r="B210" s="174">
        <v>18462371</v>
      </c>
      <c r="C210" s="189">
        <v>1828438</v>
      </c>
      <c r="D210" s="174"/>
      <c r="E210" s="175">
        <f t="shared" si="11"/>
        <v>20290809</v>
      </c>
      <c r="H210" s="259"/>
    </row>
    <row r="211" spans="1:8" ht="12.65" customHeight="1" x14ac:dyDescent="0.3">
      <c r="A211" s="173" t="s">
        <v>335</v>
      </c>
      <c r="B211" s="174">
        <v>4114613</v>
      </c>
      <c r="C211" s="189">
        <v>318490</v>
      </c>
      <c r="D211" s="174"/>
      <c r="E211" s="175">
        <f t="shared" si="11"/>
        <v>4433103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23835108</v>
      </c>
      <c r="C213" s="189">
        <v>2360007</v>
      </c>
      <c r="D213" s="174">
        <v>2099737</v>
      </c>
      <c r="E213" s="175">
        <f t="shared" si="11"/>
        <v>24095378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46842713</v>
      </c>
      <c r="C217" s="191">
        <f>SUM(C208:C216)</f>
        <v>4511265</v>
      </c>
      <c r="D217" s="175">
        <f>SUM(D208:D216)</f>
        <v>2099737</v>
      </c>
      <c r="E217" s="175">
        <f>SUM(E208:E216)</f>
        <v>49254241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0" t="s">
        <v>1254</v>
      </c>
      <c r="C220" s="340"/>
      <c r="D220" s="208"/>
      <c r="E220" s="208"/>
    </row>
    <row r="221" spans="1:8" ht="12.65" customHeight="1" x14ac:dyDescent="0.3">
      <c r="A221" s="271" t="s">
        <v>1254</v>
      </c>
      <c r="B221" s="208"/>
      <c r="C221" s="189">
        <v>5248503</v>
      </c>
      <c r="D221" s="172">
        <f>C221</f>
        <v>5248503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40567106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19485044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f>19813935-884148</f>
        <v>18929787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78981937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3704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206511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f>1281654-206511</f>
        <v>1075143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1281654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3052375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3052375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88564469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25190022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35722017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24319514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360237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2482366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f>818866+1</f>
        <v>818867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>
        <v>958166</v>
      </c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41212161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>
        <v>35766314</v>
      </c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35766314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2808860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429006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47774316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>
        <v>6963975</v>
      </c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32745184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1652275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92373616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49284241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43089375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120067850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2613363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f>1993442+351261+2213102</f>
        <v>4557805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2347000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1719552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11237720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39519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2817513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2857032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525770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18911799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19437569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1719552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17718017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88255081</v>
      </c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120067850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120067850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26135038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f>140393066+32102000</f>
        <v>172495066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198630104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5248503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78981937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1281654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3052375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88564469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110065635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4307325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4307325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114372960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f>49618573+1202375</f>
        <v>50820948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12385981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917874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12099940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1185983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14030879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4416659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1263014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777381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904801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618983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249113+574294</f>
        <v>823407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100245850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14127110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4343771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18470881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18470881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Kittitas Valley Healthcare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935</v>
      </c>
      <c r="C414" s="194">
        <f>E138</f>
        <v>935</v>
      </c>
      <c r="D414" s="179"/>
    </row>
    <row r="415" spans="1:5" ht="12.65" customHeight="1" x14ac:dyDescent="0.3">
      <c r="A415" s="179" t="s">
        <v>464</v>
      </c>
      <c r="B415" s="179">
        <f>D111</f>
        <v>3182</v>
      </c>
      <c r="C415" s="179">
        <f>E139</f>
        <v>3700</v>
      </c>
      <c r="D415" s="194">
        <f>SUM(C59:H59)+N59</f>
        <v>3182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9</v>
      </c>
      <c r="C417" s="194">
        <f>E144</f>
        <v>9</v>
      </c>
      <c r="D417" s="179"/>
    </row>
    <row r="418" spans="1:7" ht="12.65" customHeight="1" x14ac:dyDescent="0.3">
      <c r="A418" s="179" t="s">
        <v>466</v>
      </c>
      <c r="B418" s="179">
        <f>D112</f>
        <v>74</v>
      </c>
      <c r="C418" s="179">
        <f>E145</f>
        <v>74</v>
      </c>
      <c r="D418" s="179">
        <f>K59+L59</f>
        <v>74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280</v>
      </c>
    </row>
    <row r="424" spans="1:7" ht="12.65" customHeight="1" x14ac:dyDescent="0.3">
      <c r="A424" s="179" t="s">
        <v>1243</v>
      </c>
      <c r="B424" s="179">
        <f>D114</f>
        <v>444</v>
      </c>
      <c r="D424" s="179">
        <f>J59</f>
        <v>444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50820948</v>
      </c>
      <c r="C427" s="179">
        <f t="shared" ref="C427:C434" si="13">CE61</f>
        <v>50820948</v>
      </c>
      <c r="D427" s="179"/>
    </row>
    <row r="428" spans="1:7" ht="12.65" customHeight="1" x14ac:dyDescent="0.3">
      <c r="A428" s="179" t="s">
        <v>3</v>
      </c>
      <c r="B428" s="179">
        <f t="shared" si="12"/>
        <v>12385981</v>
      </c>
      <c r="C428" s="179">
        <f t="shared" si="13"/>
        <v>12385981</v>
      </c>
      <c r="D428" s="179">
        <f>D173</f>
        <v>12385981</v>
      </c>
    </row>
    <row r="429" spans="1:7" ht="12.65" customHeight="1" x14ac:dyDescent="0.3">
      <c r="A429" s="179" t="s">
        <v>236</v>
      </c>
      <c r="B429" s="179">
        <f t="shared" si="12"/>
        <v>917874</v>
      </c>
      <c r="C429" s="179">
        <f t="shared" si="13"/>
        <v>917875</v>
      </c>
      <c r="D429" s="179"/>
    </row>
    <row r="430" spans="1:7" ht="12.65" customHeight="1" x14ac:dyDescent="0.3">
      <c r="A430" s="179" t="s">
        <v>237</v>
      </c>
      <c r="B430" s="179">
        <f t="shared" si="12"/>
        <v>12099940</v>
      </c>
      <c r="C430" s="179">
        <f t="shared" si="13"/>
        <v>12099940</v>
      </c>
      <c r="D430" s="179"/>
    </row>
    <row r="431" spans="1:7" ht="12.65" customHeight="1" x14ac:dyDescent="0.3">
      <c r="A431" s="179" t="s">
        <v>444</v>
      </c>
      <c r="B431" s="179">
        <f t="shared" si="12"/>
        <v>1185983</v>
      </c>
      <c r="C431" s="179">
        <f t="shared" si="13"/>
        <v>1185983</v>
      </c>
      <c r="D431" s="179"/>
    </row>
    <row r="432" spans="1:7" ht="12.65" customHeight="1" x14ac:dyDescent="0.3">
      <c r="A432" s="179" t="s">
        <v>445</v>
      </c>
      <c r="B432" s="179">
        <f t="shared" si="12"/>
        <v>14030879</v>
      </c>
      <c r="C432" s="179">
        <f t="shared" si="13"/>
        <v>14030879</v>
      </c>
      <c r="D432" s="179"/>
    </row>
    <row r="433" spans="1:7" ht="12.65" customHeight="1" x14ac:dyDescent="0.3">
      <c r="A433" s="179" t="s">
        <v>6</v>
      </c>
      <c r="B433" s="179">
        <f t="shared" si="12"/>
        <v>4416659</v>
      </c>
      <c r="C433" s="179">
        <f t="shared" si="13"/>
        <v>4416656</v>
      </c>
      <c r="D433" s="179">
        <f>C217</f>
        <v>4511265</v>
      </c>
    </row>
    <row r="434" spans="1:7" ht="12.65" customHeight="1" x14ac:dyDescent="0.3">
      <c r="A434" s="179" t="s">
        <v>474</v>
      </c>
      <c r="B434" s="179">
        <f t="shared" si="12"/>
        <v>1263014</v>
      </c>
      <c r="C434" s="179">
        <f t="shared" si="13"/>
        <v>1263014</v>
      </c>
      <c r="D434" s="179">
        <f>D177</f>
        <v>1263013</v>
      </c>
    </row>
    <row r="435" spans="1:7" ht="12.65" customHeight="1" x14ac:dyDescent="0.3">
      <c r="A435" s="179" t="s">
        <v>447</v>
      </c>
      <c r="B435" s="179">
        <f t="shared" si="12"/>
        <v>777381</v>
      </c>
      <c r="C435" s="179"/>
      <c r="D435" s="179">
        <f>D181</f>
        <v>777381</v>
      </c>
    </row>
    <row r="436" spans="1:7" ht="12.65" customHeight="1" x14ac:dyDescent="0.3">
      <c r="A436" s="179" t="s">
        <v>475</v>
      </c>
      <c r="B436" s="179">
        <f t="shared" si="12"/>
        <v>904801</v>
      </c>
      <c r="C436" s="179"/>
      <c r="D436" s="179">
        <f>D186</f>
        <v>904801</v>
      </c>
    </row>
    <row r="437" spans="1:7" ht="12.65" customHeight="1" x14ac:dyDescent="0.3">
      <c r="A437" s="194" t="s">
        <v>449</v>
      </c>
      <c r="B437" s="194">
        <f t="shared" si="12"/>
        <v>618983</v>
      </c>
      <c r="C437" s="194"/>
      <c r="D437" s="194">
        <f>D190</f>
        <v>618983</v>
      </c>
    </row>
    <row r="438" spans="1:7" ht="12.65" customHeight="1" x14ac:dyDescent="0.3">
      <c r="A438" s="194" t="s">
        <v>476</v>
      </c>
      <c r="B438" s="194">
        <f>C386+C387+C388</f>
        <v>2301165</v>
      </c>
      <c r="C438" s="194">
        <f>CD69</f>
        <v>0</v>
      </c>
      <c r="D438" s="194">
        <f>D181+D186+D190</f>
        <v>2301165</v>
      </c>
    </row>
    <row r="439" spans="1:7" ht="12.65" customHeight="1" x14ac:dyDescent="0.3">
      <c r="A439" s="179" t="s">
        <v>451</v>
      </c>
      <c r="B439" s="194">
        <f>C389</f>
        <v>823407</v>
      </c>
      <c r="C439" s="194">
        <f>SUM(C69:CC69)</f>
        <v>3124571</v>
      </c>
      <c r="D439" s="179"/>
    </row>
    <row r="440" spans="1:7" ht="12.65" customHeight="1" x14ac:dyDescent="0.3">
      <c r="A440" s="179" t="s">
        <v>477</v>
      </c>
      <c r="B440" s="194">
        <f>B438+B439</f>
        <v>3124572</v>
      </c>
      <c r="C440" s="194">
        <f>CE69</f>
        <v>3124571</v>
      </c>
      <c r="D440" s="179"/>
    </row>
    <row r="441" spans="1:7" ht="12.65" customHeight="1" x14ac:dyDescent="0.3">
      <c r="A441" s="179" t="s">
        <v>478</v>
      </c>
      <c r="B441" s="179">
        <f>D390</f>
        <v>100245850</v>
      </c>
      <c r="C441" s="179">
        <f>SUM(C427:C437)+C440</f>
        <v>100245847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5248503</v>
      </c>
      <c r="C444" s="179">
        <f>C363</f>
        <v>5248503</v>
      </c>
      <c r="D444" s="179"/>
    </row>
    <row r="445" spans="1:7" ht="12.65" customHeight="1" x14ac:dyDescent="0.3">
      <c r="A445" s="179" t="s">
        <v>343</v>
      </c>
      <c r="B445" s="179">
        <f>D229</f>
        <v>78981937</v>
      </c>
      <c r="C445" s="179">
        <f>C364</f>
        <v>78981937</v>
      </c>
      <c r="D445" s="179"/>
    </row>
    <row r="446" spans="1:7" ht="12.65" customHeight="1" x14ac:dyDescent="0.3">
      <c r="A446" s="179" t="s">
        <v>351</v>
      </c>
      <c r="B446" s="179">
        <f>D236</f>
        <v>1281654</v>
      </c>
      <c r="C446" s="179">
        <f>C365</f>
        <v>1281654</v>
      </c>
      <c r="D446" s="179"/>
    </row>
    <row r="447" spans="1:7" ht="12.65" customHeight="1" x14ac:dyDescent="0.3">
      <c r="A447" s="179" t="s">
        <v>356</v>
      </c>
      <c r="B447" s="179">
        <f>D240</f>
        <v>3052375</v>
      </c>
      <c r="C447" s="179">
        <f>C366</f>
        <v>3052375</v>
      </c>
      <c r="D447" s="179"/>
    </row>
    <row r="448" spans="1:7" ht="12.65" customHeight="1" x14ac:dyDescent="0.3">
      <c r="A448" s="179" t="s">
        <v>358</v>
      </c>
      <c r="B448" s="179">
        <f>D242</f>
        <v>88564469</v>
      </c>
      <c r="C448" s="179">
        <f>D367</f>
        <v>88564469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3704</v>
      </c>
    </row>
    <row r="454" spans="1:7" ht="12.65" customHeight="1" x14ac:dyDescent="0.3">
      <c r="A454" s="179" t="s">
        <v>168</v>
      </c>
      <c r="B454" s="179">
        <f>C233</f>
        <v>206511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1075143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4307325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26135038</v>
      </c>
      <c r="C463" s="194">
        <f>CE73</f>
        <v>26135038</v>
      </c>
      <c r="D463" s="194">
        <f>E141+E147+E153</f>
        <v>26135038</v>
      </c>
    </row>
    <row r="464" spans="1:7" ht="12.65" customHeight="1" x14ac:dyDescent="0.3">
      <c r="A464" s="179" t="s">
        <v>246</v>
      </c>
      <c r="B464" s="194">
        <f>C360</f>
        <v>172495066</v>
      </c>
      <c r="C464" s="194">
        <f>CE74</f>
        <v>172495066</v>
      </c>
      <c r="D464" s="194">
        <f>E142+E148+E154</f>
        <v>172495066</v>
      </c>
    </row>
    <row r="465" spans="1:7" ht="12.65" customHeight="1" x14ac:dyDescent="0.3">
      <c r="A465" s="179" t="s">
        <v>247</v>
      </c>
      <c r="B465" s="194">
        <f>D361</f>
        <v>198630104</v>
      </c>
      <c r="C465" s="194">
        <f>CE75</f>
        <v>198630104</v>
      </c>
      <c r="D465" s="194">
        <f>D463+D464</f>
        <v>198630104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2808860</v>
      </c>
      <c r="C468" s="179">
        <f>E195</f>
        <v>2808860</v>
      </c>
      <c r="D468" s="179"/>
    </row>
    <row r="469" spans="1:7" ht="12.65" customHeight="1" x14ac:dyDescent="0.3">
      <c r="A469" s="179" t="s">
        <v>333</v>
      </c>
      <c r="B469" s="179">
        <f t="shared" si="14"/>
        <v>429006</v>
      </c>
      <c r="C469" s="179">
        <f>E196</f>
        <v>429006</v>
      </c>
      <c r="D469" s="179"/>
    </row>
    <row r="470" spans="1:7" ht="12.65" customHeight="1" x14ac:dyDescent="0.3">
      <c r="A470" s="179" t="s">
        <v>334</v>
      </c>
      <c r="B470" s="179">
        <f t="shared" si="14"/>
        <v>47774316</v>
      </c>
      <c r="C470" s="179">
        <f>E197</f>
        <v>47774316</v>
      </c>
      <c r="D470" s="179"/>
    </row>
    <row r="471" spans="1:7" ht="12.65" customHeight="1" x14ac:dyDescent="0.3">
      <c r="A471" s="179" t="s">
        <v>494</v>
      </c>
      <c r="B471" s="179">
        <f t="shared" si="14"/>
        <v>6963975</v>
      </c>
      <c r="C471" s="179">
        <f>E198</f>
        <v>6963975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32745184</v>
      </c>
      <c r="C473" s="179">
        <f>SUM(E200:E201)</f>
        <v>32745184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1652275</v>
      </c>
      <c r="C475" s="179">
        <f>E203</f>
        <v>1652275</v>
      </c>
      <c r="D475" s="179"/>
    </row>
    <row r="476" spans="1:7" ht="12.65" customHeight="1" x14ac:dyDescent="0.3">
      <c r="A476" s="179" t="s">
        <v>203</v>
      </c>
      <c r="B476" s="179">
        <f>D275</f>
        <v>92373616</v>
      </c>
      <c r="C476" s="179">
        <f>E204</f>
        <v>92373616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49284241</v>
      </c>
      <c r="C478" s="179">
        <f>E217</f>
        <v>49254241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120067850</v>
      </c>
    </row>
    <row r="482" spans="1:12" ht="12.65" customHeight="1" x14ac:dyDescent="0.3">
      <c r="A482" s="180" t="s">
        <v>499</v>
      </c>
      <c r="C482" s="180">
        <f>D339</f>
        <v>120067850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140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1701833</v>
      </c>
      <c r="C496" s="240">
        <f>C71</f>
        <v>2381246</v>
      </c>
      <c r="D496" s="240">
        <f>'Prior Year'!C59</f>
        <v>368</v>
      </c>
      <c r="E496" s="180">
        <f>C59</f>
        <v>857</v>
      </c>
      <c r="F496" s="263">
        <f t="shared" ref="F496:G511" si="15">IF(B496=0,"",IF(D496=0,"",B496/D496))</f>
        <v>4624.546195652174</v>
      </c>
      <c r="G496" s="264">
        <f t="shared" si="15"/>
        <v>2778.5834305717622</v>
      </c>
      <c r="H496" s="265">
        <f>IF(B496=0,"",IF(C496=0,"",IF(D496=0,"",IF(E496=0,"",IF(G496/F496-1&lt;-0.25,G496/F496-1,IF(G496/F496-1&gt;0.25,G496/F496-1,""))))))</f>
        <v>-0.39916625047792087</v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2368942</v>
      </c>
      <c r="C498" s="240">
        <f>E71</f>
        <v>2871345</v>
      </c>
      <c r="D498" s="240">
        <f>'Prior Year'!E59</f>
        <v>1988</v>
      </c>
      <c r="E498" s="180">
        <f>E59</f>
        <v>2325</v>
      </c>
      <c r="F498" s="263">
        <f t="shared" si="15"/>
        <v>1191.6207243460765</v>
      </c>
      <c r="G498" s="263">
        <f t="shared" si="15"/>
        <v>1234.9870967741936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176506</v>
      </c>
      <c r="C503" s="240">
        <f>J71</f>
        <v>255668</v>
      </c>
      <c r="D503" s="240">
        <f>'Prior Year'!J59</f>
        <v>469</v>
      </c>
      <c r="E503" s="180">
        <f>J59</f>
        <v>444</v>
      </c>
      <c r="F503" s="263">
        <f t="shared" si="15"/>
        <v>376.34541577825161</v>
      </c>
      <c r="G503" s="263">
        <f t="shared" si="15"/>
        <v>575.82882882882882</v>
      </c>
      <c r="H503" s="265">
        <f t="shared" si="16"/>
        <v>0.53005405323740096</v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123</v>
      </c>
      <c r="E505" s="180">
        <f>L59</f>
        <v>74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1925174</v>
      </c>
      <c r="C508" s="240">
        <f>O71</f>
        <v>1785425</v>
      </c>
      <c r="D508" s="240">
        <f>'Prior Year'!O59</f>
        <v>284</v>
      </c>
      <c r="E508" s="180">
        <f>O59</f>
        <v>280</v>
      </c>
      <c r="F508" s="263">
        <f t="shared" si="15"/>
        <v>6778.7816901408451</v>
      </c>
      <c r="G508" s="263">
        <f t="shared" si="15"/>
        <v>6376.5178571428569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6057266</v>
      </c>
      <c r="C509" s="240">
        <f>P71</f>
        <v>7408085</v>
      </c>
      <c r="D509" s="240">
        <f>'Prior Year'!P59</f>
        <v>101813</v>
      </c>
      <c r="E509" s="180">
        <f>P59</f>
        <v>0</v>
      </c>
      <c r="F509" s="263">
        <f t="shared" si="15"/>
        <v>59.494033178474261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210325</v>
      </c>
      <c r="C510" s="240">
        <f>Q71</f>
        <v>195513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118960</v>
      </c>
      <c r="C511" s="240">
        <f>R71</f>
        <v>114858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466362</v>
      </c>
      <c r="C512" s="240">
        <f>S71</f>
        <v>551131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7150640</v>
      </c>
      <c r="C514" s="240">
        <f>U71</f>
        <v>7667121</v>
      </c>
      <c r="D514" s="240">
        <f>'Prior Year'!U59</f>
        <v>237710</v>
      </c>
      <c r="E514" s="180">
        <f>U59</f>
        <v>288552</v>
      </c>
      <c r="F514" s="263">
        <f t="shared" si="17"/>
        <v>30.081359639897354</v>
      </c>
      <c r="G514" s="263">
        <f t="shared" si="17"/>
        <v>26.571020128087831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17733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619368</v>
      </c>
      <c r="C516" s="240">
        <f>W71</f>
        <v>757151</v>
      </c>
      <c r="D516" s="240" t="str">
        <f>'Prior Year'!W59</f>
        <v xml:space="preserve"> </v>
      </c>
      <c r="E516" s="180">
        <f>W59</f>
        <v>2029</v>
      </c>
      <c r="F516" s="263" t="str">
        <f t="shared" si="17"/>
        <v/>
      </c>
      <c r="G516" s="263">
        <f t="shared" si="17"/>
        <v>373.16461310990638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1020982</v>
      </c>
      <c r="C517" s="240">
        <f>X71</f>
        <v>1129482</v>
      </c>
      <c r="D517" s="240">
        <f>'Prior Year'!X59</f>
        <v>5158</v>
      </c>
      <c r="E517" s="180">
        <f>X59</f>
        <v>5896</v>
      </c>
      <c r="F517" s="263">
        <f t="shared" si="17"/>
        <v>197.94145017448625</v>
      </c>
      <c r="G517" s="263">
        <f t="shared" si="17"/>
        <v>191.56750339213025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2735301</v>
      </c>
      <c r="C518" s="240">
        <f>Y71</f>
        <v>2233835</v>
      </c>
      <c r="D518" s="240">
        <f>'Prior Year'!Y59</f>
        <v>22490</v>
      </c>
      <c r="E518" s="180">
        <f>Y59</f>
        <v>24091</v>
      </c>
      <c r="F518" s="263">
        <f t="shared" si="17"/>
        <v>121.6229879946643</v>
      </c>
      <c r="G518" s="263">
        <f t="shared" si="17"/>
        <v>92.724876509899957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4255653</v>
      </c>
      <c r="C521" s="240">
        <f>AB71</f>
        <v>5018701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811776</v>
      </c>
      <c r="C522" s="240">
        <f>AC71</f>
        <v>931375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1398473</v>
      </c>
      <c r="C524" s="240">
        <f>AE71</f>
        <v>1721753</v>
      </c>
      <c r="D524" s="240">
        <f>'Prior Year'!AE59</f>
        <v>11537</v>
      </c>
      <c r="E524" s="180">
        <f>AE59</f>
        <v>15095</v>
      </c>
      <c r="F524" s="263">
        <f t="shared" si="17"/>
        <v>121.21634740400451</v>
      </c>
      <c r="G524" s="263">
        <f t="shared" si="17"/>
        <v>114.06114607485922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6464002</v>
      </c>
      <c r="C526" s="240">
        <f>AG71</f>
        <v>7055137</v>
      </c>
      <c r="D526" s="240">
        <f>'Prior Year'!AG59</f>
        <v>12207</v>
      </c>
      <c r="E526" s="180">
        <f>AG59</f>
        <v>13988</v>
      </c>
      <c r="F526" s="263">
        <f t="shared" si="17"/>
        <v>529.53239944294262</v>
      </c>
      <c r="G526" s="263">
        <f t="shared" si="17"/>
        <v>504.3706748641693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23400618</v>
      </c>
      <c r="C529" s="240">
        <f>AJ71</f>
        <v>25945945</v>
      </c>
      <c r="D529" s="240">
        <f>'Prior Year'!AJ59</f>
        <v>96196</v>
      </c>
      <c r="E529" s="180">
        <f>AJ59</f>
        <v>88964</v>
      </c>
      <c r="F529" s="263">
        <f t="shared" si="18"/>
        <v>243.2597821115223</v>
      </c>
      <c r="G529" s="263">
        <f t="shared" si="18"/>
        <v>291.64544085247968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299746</v>
      </c>
      <c r="C530" s="240">
        <f>AK71</f>
        <v>341077</v>
      </c>
      <c r="D530" s="240">
        <f>'Prior Year'!AK59</f>
        <v>2630</v>
      </c>
      <c r="E530" s="180">
        <f>AK59</f>
        <v>3129</v>
      </c>
      <c r="F530" s="263">
        <f t="shared" si="18"/>
        <v>113.97186311787073</v>
      </c>
      <c r="G530" s="263">
        <f t="shared" si="18"/>
        <v>109.00511345477788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261353</v>
      </c>
      <c r="C531" s="240">
        <f>AL71</f>
        <v>325006</v>
      </c>
      <c r="D531" s="240">
        <f>'Prior Year'!AL59</f>
        <v>2557</v>
      </c>
      <c r="E531" s="180">
        <f>AL59</f>
        <v>3176</v>
      </c>
      <c r="F531" s="263">
        <f t="shared" si="18"/>
        <v>102.21079389910051</v>
      </c>
      <c r="G531" s="263">
        <f t="shared" si="18"/>
        <v>102.33186397984886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2892188</v>
      </c>
      <c r="C537" s="240">
        <f>AR71</f>
        <v>2469149</v>
      </c>
      <c r="D537" s="240">
        <f>'Prior Year'!AR59</f>
        <v>14641</v>
      </c>
      <c r="E537" s="180">
        <f>AR59</f>
        <v>13181</v>
      </c>
      <c r="F537" s="263">
        <f t="shared" si="18"/>
        <v>197.5403319445393</v>
      </c>
      <c r="G537" s="263">
        <f t="shared" si="18"/>
        <v>187.32637887868901</v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1188493</v>
      </c>
      <c r="C544" s="240">
        <f>AY71</f>
        <v>399151</v>
      </c>
      <c r="D544" s="240">
        <f>'Prior Year'!AY59</f>
        <v>10916</v>
      </c>
      <c r="E544" s="180">
        <f>AY59</f>
        <v>11541</v>
      </c>
      <c r="F544" s="263">
        <f t="shared" ref="F544:G550" si="19">IF(B544=0,"",IF(D544=0,"",B544/D544))</f>
        <v>108.87623671674606</v>
      </c>
      <c r="G544" s="263">
        <f t="shared" si="19"/>
        <v>34.585477861537129</v>
      </c>
      <c r="H544" s="265">
        <f t="shared" si="16"/>
        <v>-0.6823413546932634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869617</v>
      </c>
      <c r="D545" s="240">
        <f>'Prior Year'!AZ59</f>
        <v>0</v>
      </c>
      <c r="E545" s="180">
        <f>AZ59</f>
        <v>28225</v>
      </c>
      <c r="F545" s="263" t="str">
        <f t="shared" si="19"/>
        <v/>
      </c>
      <c r="G545" s="263">
        <f t="shared" si="19"/>
        <v>30.810168290522586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239787</v>
      </c>
      <c r="C546" s="240">
        <f>BA71</f>
        <v>211983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161638</v>
      </c>
      <c r="C547" s="240">
        <f>BB71</f>
        <v>173651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697538</v>
      </c>
      <c r="C549" s="240">
        <f>BD71</f>
        <v>468155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2357244</v>
      </c>
      <c r="C550" s="240">
        <f>BE71</f>
        <v>3098993</v>
      </c>
      <c r="D550" s="240">
        <f>'Prior Year'!BE59</f>
        <v>116602</v>
      </c>
      <c r="E550" s="180">
        <f>BE59</f>
        <v>139151</v>
      </c>
      <c r="F550" s="263">
        <f t="shared" si="19"/>
        <v>20.216154096842249</v>
      </c>
      <c r="G550" s="263">
        <f t="shared" si="19"/>
        <v>22.270720296656151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1053162</v>
      </c>
      <c r="C551" s="240">
        <f>BF71</f>
        <v>1717671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5079771</v>
      </c>
      <c r="C553" s="240">
        <f>BH71</f>
        <v>5731678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923796</v>
      </c>
      <c r="C555" s="240">
        <f>BJ71</f>
        <v>944066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2078444</v>
      </c>
      <c r="C556" s="240">
        <f>BK71</f>
        <v>2326843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716873</v>
      </c>
      <c r="C557" s="240">
        <f>BL71</f>
        <v>904161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3733350</v>
      </c>
      <c r="C559" s="240">
        <f>BN71</f>
        <v>3908304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140080</v>
      </c>
      <c r="C560" s="240">
        <f>BO71</f>
        <v>752730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437103</v>
      </c>
      <c r="C561" s="240">
        <f>BP71</f>
        <v>589890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866866</v>
      </c>
      <c r="C563" s="240">
        <f>BR71</f>
        <v>908428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34581</v>
      </c>
      <c r="C564" s="240">
        <f>BS71</f>
        <v>50972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1911372</v>
      </c>
      <c r="C567" s="240">
        <f>BV71</f>
        <v>2099846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708856</v>
      </c>
      <c r="C568" s="240">
        <f>BW71</f>
        <v>1187004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1008545</v>
      </c>
      <c r="C569" s="240">
        <f>BX71</f>
        <v>893265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1593810</v>
      </c>
      <c r="C570" s="240">
        <f>BY71</f>
        <v>1850436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133969</v>
      </c>
      <c r="E612" s="180">
        <f>SUM(C624:D647)+SUM(C668:D713)</f>
        <v>94095765.886107966</v>
      </c>
      <c r="F612" s="180">
        <f>CE64-(AX64+BD64+BE64+BG64+BJ64+BN64+BP64+BQ64+CB64+CC64+CD64)</f>
        <v>12121144</v>
      </c>
      <c r="G612" s="180">
        <f>CE77-(AX77+AY77+BD77+BE77+BG77+BJ77+BN77+BP77+BQ77+CB77+CC77+CD77)</f>
        <v>11541</v>
      </c>
      <c r="H612" s="197">
        <f>CE60-(AX60+AY60+AZ60+BD60+BE60+BG60+BJ60+BN60+BO60+BP60+BQ60+BR60+CB60+CC60+CD60)</f>
        <v>475.84</v>
      </c>
      <c r="I612" s="180">
        <f>CE78-(AX78+AY78+AZ78+BD78+BE78+BF78+BG78+BJ78+BN78+BO78+BP78+BQ78+BR78+CB78+CC78+CD78)</f>
        <v>28751</v>
      </c>
      <c r="J612" s="180">
        <f>CE79-(AX79+AY79+AZ79+BA79+BD79+BE79+BF79+BG79+BJ79+BN79+BO79+BP79+BQ79+BR79+CB79+CC79+CD79)</f>
        <v>417220</v>
      </c>
      <c r="K612" s="180">
        <f>CE75-(AW75+AX75+AY75+AZ75+BA75+BB75+BC75+BD75+BE75+BF75+BG75+BH75+BI75+BJ75+BK75+BL75+BM75+BN75+BO75+BP75+BQ75+BR75+BS75+BT75+BU75+BV75+BW75+BX75+CB75+CC75+CD75)</f>
        <v>198630104</v>
      </c>
      <c r="L612" s="197">
        <f>CE80-(AW80+AX80+AY80+AZ80+BA80+BB80+BC80+BD80+BE80+BF80+BG80+BH80+BI80+BJ80+BK80+BL80+BM80+BN80+BO80+BP80+BQ80+BR80+BS80+BT80+BU80+BV80+BW80+BX80+BY80+BZ80+CA80+CB80+CC80+CD80)</f>
        <v>96.809999999999988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3098993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0</v>
      </c>
      <c r="D615" s="266">
        <f>SUM(C614:C615)</f>
        <v>3098993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944066</v>
      </c>
      <c r="D617" s="180">
        <f>(D615/D612)*BJ76</f>
        <v>15359.757496137165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3908304</v>
      </c>
      <c r="D619" s="180">
        <f>(D615/D612)*BN76</f>
        <v>692461.35639588255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589890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6150081.1138920197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468155</v>
      </c>
      <c r="D624" s="180">
        <f>(D615/D612)*BD76</f>
        <v>37173.389000440395</v>
      </c>
      <c r="E624" s="180">
        <f>(E623/E612)*SUM(C624:D624)</f>
        <v>33028.166062931385</v>
      </c>
      <c r="F624" s="180">
        <f>SUM(C624:E624)</f>
        <v>538356.55506337178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399151</v>
      </c>
      <c r="D625" s="180">
        <f>(D615/D612)*AY76</f>
        <v>60791.329367241669</v>
      </c>
      <c r="E625" s="180">
        <f>(E623/E612)*SUM(C625:D625)</f>
        <v>30061.741957069233</v>
      </c>
      <c r="F625" s="180">
        <f>(F624/F612)*AY64</f>
        <v>3761.3447689963723</v>
      </c>
      <c r="G625" s="180">
        <f>SUM(C625:F625)</f>
        <v>493765.41609330726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908428</v>
      </c>
      <c r="D626" s="180">
        <f>(D615/D612)*BR76</f>
        <v>35322.815808134714</v>
      </c>
      <c r="E626" s="180">
        <f>(E623/E612)*SUM(C626:D626)</f>
        <v>61683.371338377117</v>
      </c>
      <c r="F626" s="180">
        <f>(F624/F612)*BR64</f>
        <v>190.22801192168174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752730</v>
      </c>
      <c r="D627" s="180">
        <f>(D615/D612)*BO76</f>
        <v>0</v>
      </c>
      <c r="E627" s="180">
        <f>(E623/E612)*SUM(C627:D627)</f>
        <v>49198.287651574385</v>
      </c>
      <c r="F627" s="180">
        <f>(F624/F612)*BO64</f>
        <v>323.87174011975327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869617</v>
      </c>
      <c r="D628" s="180">
        <f>(D615/D612)*AZ76</f>
        <v>31737.330248042457</v>
      </c>
      <c r="E628" s="180">
        <f>(E623/E612)*SUM(C628:D628)</f>
        <v>58912.345217455622</v>
      </c>
      <c r="F628" s="180">
        <f>(F624/F612)*AZ64</f>
        <v>9208.7146513616353</v>
      </c>
      <c r="G628" s="180">
        <f>(G625/G612)*AZ77</f>
        <v>0</v>
      </c>
      <c r="H628" s="180">
        <f>SUM(C626:G628)</f>
        <v>2777351.9646669873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1717671</v>
      </c>
      <c r="D629" s="180">
        <f>(D615/D612)*BF76</f>
        <v>7934.3325620106143</v>
      </c>
      <c r="E629" s="180">
        <f>(E623/E612)*SUM(C629:D629)</f>
        <v>112785.23178892361</v>
      </c>
      <c r="F629" s="180">
        <f>(F624/F612)*BF64</f>
        <v>14665.456028126964</v>
      </c>
      <c r="G629" s="180">
        <f>(G625/G612)*BF77</f>
        <v>0</v>
      </c>
      <c r="H629" s="180">
        <f>(H628/H612)*BF60</f>
        <v>112473.88273186963</v>
      </c>
      <c r="I629" s="180">
        <f>SUM(C629:H629)</f>
        <v>1965529.9031109307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211983</v>
      </c>
      <c r="D630" s="180">
        <f>(D615/D612)*BA76</f>
        <v>19778.000992766982</v>
      </c>
      <c r="E630" s="180">
        <f>(E623/E612)*SUM(C630:D630)</f>
        <v>15147.854334567464</v>
      </c>
      <c r="F630" s="180">
        <f>(F624/F612)*BA64</f>
        <v>1342.2556031485278</v>
      </c>
      <c r="G630" s="180">
        <f>(G625/G612)*BA77</f>
        <v>0</v>
      </c>
      <c r="H630" s="180">
        <f>(H628/H612)*BA60</f>
        <v>16868.164042299079</v>
      </c>
      <c r="I630" s="180">
        <f>(I629/I612)*BA78</f>
        <v>15313.509036097823</v>
      </c>
      <c r="J630" s="180">
        <f>SUM(C630:I630)</f>
        <v>280432.78400887991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173651</v>
      </c>
      <c r="D632" s="180">
        <f>(D615/D612)*BB76</f>
        <v>0</v>
      </c>
      <c r="E632" s="180">
        <f>(E623/E612)*SUM(C632:D632)</f>
        <v>11349.795874993084</v>
      </c>
      <c r="F632" s="180">
        <f>(F624/F612)*BB64</f>
        <v>5.8627358332155008</v>
      </c>
      <c r="G632" s="180">
        <f>(G625/G612)*BB77</f>
        <v>0</v>
      </c>
      <c r="H632" s="180">
        <f>(H628/H612)*BB60</f>
        <v>9338.7759403731925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2326843</v>
      </c>
      <c r="D635" s="180">
        <f>(D615/D612)*BK76</f>
        <v>185011.05490076062</v>
      </c>
      <c r="E635" s="180">
        <f>(E623/E612)*SUM(C635:D635)</f>
        <v>164174.29666916575</v>
      </c>
      <c r="F635" s="180">
        <f>(F624/F612)*BK64</f>
        <v>758.15833843173186</v>
      </c>
      <c r="G635" s="180">
        <f>(G625/G612)*BK77</f>
        <v>0</v>
      </c>
      <c r="H635" s="180">
        <f>(H628/H612)*BK60</f>
        <v>112648.98478075163</v>
      </c>
      <c r="I635" s="180">
        <f>(I629/I612)*BK78</f>
        <v>143290.69169491535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5731678</v>
      </c>
      <c r="D636" s="180">
        <f>(D615/D612)*BH76</f>
        <v>79944.761907605483</v>
      </c>
      <c r="E636" s="180">
        <f>(E623/E612)*SUM(C636:D636)</f>
        <v>379846.54306692648</v>
      </c>
      <c r="F636" s="180">
        <f>(F624/F612)*BH64</f>
        <v>10460.764069076371</v>
      </c>
      <c r="G636" s="180">
        <f>(G625/G612)*BH77</f>
        <v>0</v>
      </c>
      <c r="H636" s="180">
        <f>(H628/H612)*BH60</f>
        <v>89243.677580191317</v>
      </c>
      <c r="I636" s="180">
        <f>(I629/I612)*BH78</f>
        <v>60228.577950009741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904161</v>
      </c>
      <c r="D637" s="180">
        <f>(D615/D612)*BL76</f>
        <v>9738.6414245086544</v>
      </c>
      <c r="E637" s="180">
        <f>(E623/E612)*SUM(C637:D637)</f>
        <v>59732.304336845431</v>
      </c>
      <c r="F637" s="180">
        <f>(F624/F612)*BL64</f>
        <v>1471.324620810075</v>
      </c>
      <c r="G637" s="180">
        <f>(G625/G612)*BL77</f>
        <v>0</v>
      </c>
      <c r="H637" s="180">
        <f>(H628/H612)*BL60</f>
        <v>84982.861057396047</v>
      </c>
      <c r="I637" s="180">
        <f>(I629/I612)*BL78</f>
        <v>7520.0267587980379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50972</v>
      </c>
      <c r="D639" s="180">
        <f>(D615/D612)*BS76</f>
        <v>0</v>
      </c>
      <c r="E639" s="180">
        <f>(E623/E612)*SUM(C639:D639)</f>
        <v>3331.5200911031175</v>
      </c>
      <c r="F639" s="180">
        <f>(F624/F612)*BS64</f>
        <v>338.57299436819517</v>
      </c>
      <c r="G639" s="180">
        <f>(G625/G612)*BS77</f>
        <v>0</v>
      </c>
      <c r="H639" s="180">
        <f>(H628/H612)*BS60</f>
        <v>2976.7348309939553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2099846</v>
      </c>
      <c r="D642" s="180">
        <f>(D615/D612)*BV76</f>
        <v>0</v>
      </c>
      <c r="E642" s="180">
        <f>(E623/E612)*SUM(C642:D642)</f>
        <v>137245.52964809144</v>
      </c>
      <c r="F642" s="180">
        <f>(F624/F612)*BV64</f>
        <v>454.7617590628297</v>
      </c>
      <c r="G642" s="180">
        <f>(G625/G612)*BV77</f>
        <v>0</v>
      </c>
      <c r="H642" s="180">
        <f>(H628/H612)*BV60</f>
        <v>128700.00592826806</v>
      </c>
      <c r="I642" s="180">
        <f>(I629/I612)*BV78</f>
        <v>27892.462887178179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1187004</v>
      </c>
      <c r="D643" s="180">
        <f>(D615/D612)*BW76</f>
        <v>1943.1018519209667</v>
      </c>
      <c r="E643" s="180">
        <f>(E623/E612)*SUM(C643:D643)</f>
        <v>77709.353313162123</v>
      </c>
      <c r="F643" s="180">
        <f>(F624/F612)*BW64</f>
        <v>171.57385245235972</v>
      </c>
      <c r="G643" s="180">
        <f>(G625/G612)*BW77</f>
        <v>0</v>
      </c>
      <c r="H643" s="180">
        <f>(H628/H612)*BW60</f>
        <v>21012.245865839683</v>
      </c>
      <c r="I643" s="180">
        <f>(I629/I612)*BW78</f>
        <v>1504.0053517596075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893265</v>
      </c>
      <c r="D644" s="180">
        <f>(D615/D612)*BX76</f>
        <v>0</v>
      </c>
      <c r="E644" s="180">
        <f>(E623/E612)*SUM(C644:D644)</f>
        <v>58383.62815230374</v>
      </c>
      <c r="F644" s="180">
        <f>(F624/F612)*BX64</f>
        <v>138.35168273080521</v>
      </c>
      <c r="G644" s="180">
        <f>(G625/G612)*BX77</f>
        <v>0</v>
      </c>
      <c r="H644" s="180">
        <f>(H628/H612)*BX60</f>
        <v>34611.83832900814</v>
      </c>
      <c r="I644" s="180">
        <f>(I629/I612)*BX78</f>
        <v>1504.0053517596075</v>
      </c>
      <c r="J644" s="180">
        <f>(J630/J612)*BX79</f>
        <v>0</v>
      </c>
      <c r="K644" s="180">
        <f>SUM(C631:J644)</f>
        <v>15275084.795597397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1850436</v>
      </c>
      <c r="D645" s="180">
        <f>(D615/D612)*BY76</f>
        <v>10964.64616441117</v>
      </c>
      <c r="E645" s="180">
        <f>(E623/E612)*SUM(C645:D645)</f>
        <v>121660.78730065645</v>
      </c>
      <c r="F645" s="180">
        <f>(F624/F612)*BY64</f>
        <v>637.26161920436368</v>
      </c>
      <c r="G645" s="180">
        <f>(G625/G612)*BY77</f>
        <v>0</v>
      </c>
      <c r="H645" s="180">
        <f>(H628/H612)*BY60</f>
        <v>48444.900190685927</v>
      </c>
      <c r="I645" s="180">
        <f>(I629/I612)*BY78</f>
        <v>50042.359885819671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2082185.9551607778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29086844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2381246</v>
      </c>
      <c r="D668" s="180">
        <f>(D615/D612)*C76</f>
        <v>67013.881726369524</v>
      </c>
      <c r="E668" s="180">
        <f>(E623/E612)*SUM(C668:D668)</f>
        <v>160017.79377330971</v>
      </c>
      <c r="F668" s="180">
        <f>(F624/F612)*C64</f>
        <v>5512.2152938538593</v>
      </c>
      <c r="G668" s="180">
        <f>(G625/G612)*C77</f>
        <v>111408.46924070462</v>
      </c>
      <c r="H668" s="180">
        <f>(H628/H612)*C60</f>
        <v>81130.615981992116</v>
      </c>
      <c r="I668" s="180">
        <f>(I629/I612)*C78</f>
        <v>51888.184635706464</v>
      </c>
      <c r="J668" s="180">
        <f>(J630/J612)*C79</f>
        <v>14469.96063022666</v>
      </c>
      <c r="K668" s="180">
        <f>(K644/K612)*C75</f>
        <v>237148.6625975093</v>
      </c>
      <c r="L668" s="180">
        <f>(L647/L612)*C80</f>
        <v>220026.46752706083</v>
      </c>
      <c r="M668" s="180">
        <f t="shared" ref="M668:M713" si="20">ROUND(SUM(D668:L668),0)</f>
        <v>948616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2871345</v>
      </c>
      <c r="D670" s="180">
        <f>(D615/D612)*E76</f>
        <v>303332.07838380517</v>
      </c>
      <c r="E670" s="180">
        <f>(E623/E612)*SUM(C670:D670)</f>
        <v>207496.28167229446</v>
      </c>
      <c r="F670" s="180">
        <f>(F624/F612)*E64</f>
        <v>8283.2018536908436</v>
      </c>
      <c r="G670" s="180">
        <f>(G625/G612)*E77</f>
        <v>357927.51676948345</v>
      </c>
      <c r="H670" s="180">
        <f>(H628/H612)*E60</f>
        <v>137513.47572199526</v>
      </c>
      <c r="I670" s="180">
        <f>(I629/I612)*E78</f>
        <v>234898.29039300053</v>
      </c>
      <c r="J670" s="180">
        <f>(J630/J612)*E79</f>
        <v>36484.088768520211</v>
      </c>
      <c r="K670" s="180">
        <f>(K644/K612)*E75</f>
        <v>468942.93513751618</v>
      </c>
      <c r="L670" s="180">
        <f>(L647/L612)*E80</f>
        <v>552109.42535871465</v>
      </c>
      <c r="M670" s="180">
        <f t="shared" si="20"/>
        <v>2306987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255668</v>
      </c>
      <c r="D675" s="180">
        <f>(D615/D612)*J76</f>
        <v>5829.3055557629004</v>
      </c>
      <c r="E675" s="180">
        <f>(E623/E612)*SUM(C675:D675)</f>
        <v>17091.413466773032</v>
      </c>
      <c r="F675" s="180">
        <f>(F624/F612)*J64</f>
        <v>0</v>
      </c>
      <c r="G675" s="180">
        <f>(G625/G612)*J77</f>
        <v>0</v>
      </c>
      <c r="H675" s="180">
        <f>(H628/H612)*J60</f>
        <v>11673.46992546649</v>
      </c>
      <c r="I675" s="180">
        <f>(I629/I612)*J78</f>
        <v>4512.0160552788229</v>
      </c>
      <c r="J675" s="180">
        <f>(J630/J612)*J79</f>
        <v>7021.9100104040281</v>
      </c>
      <c r="K675" s="180">
        <f>(K644/K612)*J75</f>
        <v>74956.923577368521</v>
      </c>
      <c r="L675" s="180">
        <f>(L647/L612)*J80</f>
        <v>21507.963590133022</v>
      </c>
      <c r="M675" s="180">
        <f t="shared" si="20"/>
        <v>142593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5958.4565542375285</v>
      </c>
      <c r="L677" s="180">
        <f>(L647/L612)*L80</f>
        <v>0</v>
      </c>
      <c r="M677" s="180">
        <f t="shared" si="20"/>
        <v>5958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1785425</v>
      </c>
      <c r="D680" s="180">
        <f>(D615/D612)*O76</f>
        <v>51445.934746097977</v>
      </c>
      <c r="E680" s="180">
        <f>(E623/E612)*SUM(C680:D680)</f>
        <v>120057.53009240345</v>
      </c>
      <c r="F680" s="180">
        <f>(F624/F612)*O64</f>
        <v>4774.1323841843505</v>
      </c>
      <c r="G680" s="180">
        <f>(G625/G612)*O77</f>
        <v>0</v>
      </c>
      <c r="H680" s="180">
        <f>(H628/H612)*O60</f>
        <v>73542.860530438891</v>
      </c>
      <c r="I680" s="180">
        <f>(I629/I612)*O78</f>
        <v>39856.141821629601</v>
      </c>
      <c r="J680" s="180">
        <f>(J630/J612)*O79</f>
        <v>36926.360883658126</v>
      </c>
      <c r="K680" s="180">
        <f>(K644/K612)*O75</f>
        <v>237126.28406784032</v>
      </c>
      <c r="L680" s="180">
        <f>(L647/L612)*O80</f>
        <v>111841.41066869169</v>
      </c>
      <c r="M680" s="180">
        <f t="shared" si="20"/>
        <v>675571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7408085</v>
      </c>
      <c r="D681" s="180">
        <f>(D615/D612)*P76</f>
        <v>284409.9674924796</v>
      </c>
      <c r="E681" s="180">
        <f>(E623/E612)*SUM(C681:D681)</f>
        <v>502779.98773661652</v>
      </c>
      <c r="F681" s="180">
        <f>(F624/F612)*P64</f>
        <v>144243.51016985977</v>
      </c>
      <c r="G681" s="180">
        <f>(G625/G612)*P77</f>
        <v>2010.8287458959744</v>
      </c>
      <c r="H681" s="180">
        <f>(H628/H612)*P60</f>
        <v>164595.9259490775</v>
      </c>
      <c r="I681" s="180">
        <f>(I629/I612)*P78</f>
        <v>220200.05627353163</v>
      </c>
      <c r="J681" s="180">
        <f>(J630/J612)*P79</f>
        <v>51532.767166427337</v>
      </c>
      <c r="K681" s="180">
        <f>(K644/K612)*P75</f>
        <v>2299464.7503817338</v>
      </c>
      <c r="L681" s="180">
        <f>(L647/L612)*P80</f>
        <v>387788.58353009843</v>
      </c>
      <c r="M681" s="180">
        <f t="shared" si="20"/>
        <v>4057026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195513</v>
      </c>
      <c r="D682" s="180">
        <f>(D615/D612)*Q76</f>
        <v>23409.750882666885</v>
      </c>
      <c r="E682" s="180">
        <f>(E623/E612)*SUM(C682:D682)</f>
        <v>14308.748782962557</v>
      </c>
      <c r="F682" s="180">
        <f>(F624/F612)*Q64</f>
        <v>1043.3004903199403</v>
      </c>
      <c r="G682" s="180">
        <f>(G625/G612)*Q77</f>
        <v>0</v>
      </c>
      <c r="H682" s="180">
        <f>(H628/H612)*Q60</f>
        <v>2334.6939850932981</v>
      </c>
      <c r="I682" s="180">
        <f>(I629/I612)*Q78</f>
        <v>18116.428100740726</v>
      </c>
      <c r="J682" s="180">
        <f>(J630/J612)*Q79</f>
        <v>0</v>
      </c>
      <c r="K682" s="180">
        <f>(K644/K612)*Q75</f>
        <v>202161.40795439942</v>
      </c>
      <c r="L682" s="180">
        <f>(L647/L612)*Q80</f>
        <v>5376.9908975332555</v>
      </c>
      <c r="M682" s="180">
        <f t="shared" si="20"/>
        <v>266751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114858</v>
      </c>
      <c r="D683" s="180">
        <f>(D615/D612)*R76</f>
        <v>0</v>
      </c>
      <c r="E683" s="180">
        <f>(E623/E612)*SUM(C683:D683)</f>
        <v>7507.0967320081982</v>
      </c>
      <c r="F683" s="180">
        <f>(F624/F612)*R64</f>
        <v>1546.4298200067979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9054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551131</v>
      </c>
      <c r="D684" s="180">
        <f>(D615/D612)*S76</f>
        <v>35369.080137942357</v>
      </c>
      <c r="E684" s="180">
        <f>(E623/E612)*SUM(C684:D684)</f>
        <v>38333.532143395263</v>
      </c>
      <c r="F684" s="180">
        <f>(F624/F612)*S64</f>
        <v>5961.558463737505</v>
      </c>
      <c r="G684" s="180">
        <f>(G625/G612)*S77</f>
        <v>0</v>
      </c>
      <c r="H684" s="180">
        <f>(H628/H612)*S60</f>
        <v>25097.960339752954</v>
      </c>
      <c r="I684" s="180">
        <f>(I629/I612)*S78</f>
        <v>27413.915729800119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132176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7667121</v>
      </c>
      <c r="D686" s="180">
        <f>(D615/D612)*U76</f>
        <v>93824.060849898102</v>
      </c>
      <c r="E686" s="180">
        <f>(E623/E612)*SUM(C686:D686)</f>
        <v>507253.87263927143</v>
      </c>
      <c r="F686" s="180">
        <f>(F624/F612)*U64</f>
        <v>99530.822361856903</v>
      </c>
      <c r="G686" s="180">
        <f>(G625/G612)*U77</f>
        <v>0</v>
      </c>
      <c r="H686" s="180">
        <f>(H628/H612)*U60</f>
        <v>168973.47717112745</v>
      </c>
      <c r="I686" s="180">
        <f>(I629/I612)*U78</f>
        <v>72670.804041839219</v>
      </c>
      <c r="J686" s="180">
        <f>(J630/J612)*U79</f>
        <v>6780.6095706859223</v>
      </c>
      <c r="K686" s="180">
        <f>(K644/K612)*U75</f>
        <v>2318368.1481702714</v>
      </c>
      <c r="L686" s="180">
        <f>(L647/L612)*U80</f>
        <v>0</v>
      </c>
      <c r="M686" s="180">
        <f t="shared" si="20"/>
        <v>3267402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757151</v>
      </c>
      <c r="D688" s="180">
        <f>(D615/D612)*W76</f>
        <v>3284.7674163425863</v>
      </c>
      <c r="E688" s="180">
        <f>(E623/E612)*SUM(C688:D688)</f>
        <v>49701.935124008531</v>
      </c>
      <c r="F688" s="180">
        <f>(F624/F612)*W64</f>
        <v>25.094285952778471</v>
      </c>
      <c r="G688" s="180">
        <f>(G625/G612)*W77</f>
        <v>0</v>
      </c>
      <c r="H688" s="180">
        <f>(H628/H612)*W60</f>
        <v>0</v>
      </c>
      <c r="I688" s="180">
        <f>(I629/I612)*W78</f>
        <v>2529.4635461411581</v>
      </c>
      <c r="J688" s="180">
        <f>(J630/J612)*W79</f>
        <v>3071.0354013148276</v>
      </c>
      <c r="K688" s="180">
        <f>(K644/K612)*W75</f>
        <v>583736.02549276757</v>
      </c>
      <c r="L688" s="180">
        <f>(L647/L612)*W80</f>
        <v>0</v>
      </c>
      <c r="M688" s="180">
        <f t="shared" si="20"/>
        <v>642348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1129482</v>
      </c>
      <c r="D689" s="180">
        <f>(D615/D612)*X76</f>
        <v>52556.278661481381</v>
      </c>
      <c r="E689" s="180">
        <f>(E623/E612)*SUM(C689:D689)</f>
        <v>77257.793961658754</v>
      </c>
      <c r="F689" s="180">
        <f>(F624/F612)*X64</f>
        <v>2867.1443104347991</v>
      </c>
      <c r="G689" s="180">
        <f>(G625/G612)*X77</f>
        <v>0</v>
      </c>
      <c r="H689" s="180">
        <f>(H628/H612)*X60</f>
        <v>51830.206469071221</v>
      </c>
      <c r="I689" s="180">
        <f>(I629/I612)*X78</f>
        <v>40744.872256760282</v>
      </c>
      <c r="J689" s="180">
        <f>(J630/J612)*X79</f>
        <v>8923.4112470684286</v>
      </c>
      <c r="K689" s="180">
        <f>(K644/K612)*X75</f>
        <v>1795422.2065397799</v>
      </c>
      <c r="L689" s="180">
        <f>(L647/L612)*X80</f>
        <v>0</v>
      </c>
      <c r="M689" s="180">
        <f t="shared" si="20"/>
        <v>2029602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2233835</v>
      </c>
      <c r="D690" s="180">
        <f>(D615/D612)*Y76</f>
        <v>54476.248348498528</v>
      </c>
      <c r="E690" s="180">
        <f>(E623/E612)*SUM(C690:D690)</f>
        <v>149563.58193852074</v>
      </c>
      <c r="F690" s="180">
        <f>(F624/F612)*Y64</f>
        <v>5972.4844714266792</v>
      </c>
      <c r="G690" s="180">
        <f>(G625/G612)*Y77</f>
        <v>0</v>
      </c>
      <c r="H690" s="180">
        <f>(H628/H612)*Y60</f>
        <v>70040.819552798945</v>
      </c>
      <c r="I690" s="180">
        <f>(I629/I612)*Y78</f>
        <v>42180.513728894446</v>
      </c>
      <c r="J690" s="180">
        <f>(J630/J612)*Y79</f>
        <v>36460.563656012877</v>
      </c>
      <c r="K690" s="180">
        <f>(K644/K612)*Y75</f>
        <v>930638.76416181447</v>
      </c>
      <c r="L690" s="180">
        <f>(L647/L612)*Y80</f>
        <v>0</v>
      </c>
      <c r="M690" s="180">
        <f t="shared" si="20"/>
        <v>1289333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5018701</v>
      </c>
      <c r="D693" s="180">
        <f>(D615/D612)*AB76</f>
        <v>26902.707783143858</v>
      </c>
      <c r="E693" s="180">
        <f>(E623/E612)*SUM(C693:D693)</f>
        <v>329779.68540029676</v>
      </c>
      <c r="F693" s="180">
        <f>(F624/F612)*AB64</f>
        <v>122837.86217881271</v>
      </c>
      <c r="G693" s="180">
        <f>(G625/G612)*AB77</f>
        <v>0</v>
      </c>
      <c r="H693" s="180">
        <f>(H628/H612)*AB60</f>
        <v>77570.207654724829</v>
      </c>
      <c r="I693" s="180">
        <f>(I629/I612)*AB78</f>
        <v>11963.678934451424</v>
      </c>
      <c r="J693" s="180">
        <f>(J630/J612)*AB79</f>
        <v>0</v>
      </c>
      <c r="K693" s="180">
        <f>(K644/K612)*AB75</f>
        <v>1376257.3499176283</v>
      </c>
      <c r="L693" s="180">
        <f>(L647/L612)*AB80</f>
        <v>0</v>
      </c>
      <c r="M693" s="180">
        <f t="shared" si="20"/>
        <v>1945311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931375</v>
      </c>
      <c r="D694" s="180">
        <f>(D615/D612)*AC76</f>
        <v>23872.394180743304</v>
      </c>
      <c r="E694" s="180">
        <f>(E623/E612)*SUM(C694:D694)</f>
        <v>62434.785483933243</v>
      </c>
      <c r="F694" s="180">
        <f>(F624/F612)*AC64</f>
        <v>4796.2953022205211</v>
      </c>
      <c r="G694" s="180">
        <f>(G625/G612)*AC77</f>
        <v>0</v>
      </c>
      <c r="H694" s="180">
        <f>(H628/H612)*AC60</f>
        <v>44592.655115281988</v>
      </c>
      <c r="I694" s="180">
        <f>(I629/I612)*AC78</f>
        <v>18458.247498867913</v>
      </c>
      <c r="J694" s="180">
        <f>(J630/J612)*AC79</f>
        <v>1220.6172660949283</v>
      </c>
      <c r="K694" s="180">
        <f>(K644/K612)*AC75</f>
        <v>185074.90068805972</v>
      </c>
      <c r="L694" s="180">
        <f>(L647/L612)*AC80</f>
        <v>0</v>
      </c>
      <c r="M694" s="180">
        <f t="shared" si="20"/>
        <v>340450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1721753</v>
      </c>
      <c r="D696" s="180">
        <f>(D615/D612)*AE76</f>
        <v>0</v>
      </c>
      <c r="E696" s="180">
        <f>(E623/E612)*SUM(C696:D696)</f>
        <v>112533.44407551334</v>
      </c>
      <c r="F696" s="180">
        <f>(F624/F612)*AE64</f>
        <v>858.26899425042689</v>
      </c>
      <c r="G696" s="180">
        <f>(G625/G612)*AE77</f>
        <v>0</v>
      </c>
      <c r="H696" s="180">
        <f>(H628/H612)*AE60</f>
        <v>22588.16430577766</v>
      </c>
      <c r="I696" s="180">
        <f>(I629/I612)*AE78</f>
        <v>123806.98600166588</v>
      </c>
      <c r="J696" s="180">
        <f>(J630/J612)*AE79</f>
        <v>6102.4141844030028</v>
      </c>
      <c r="K696" s="180">
        <f>(K644/K612)*AE75</f>
        <v>331542.37737160828</v>
      </c>
      <c r="L696" s="180">
        <f>(L647/L612)*AE80</f>
        <v>0</v>
      </c>
      <c r="M696" s="180">
        <f t="shared" si="20"/>
        <v>597432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7055137</v>
      </c>
      <c r="D698" s="180">
        <f>(D615/D612)*AG76</f>
        <v>119361.97090371653</v>
      </c>
      <c r="E698" s="180">
        <f>(E623/E612)*SUM(C698:D698)</f>
        <v>468923.86928439874</v>
      </c>
      <c r="F698" s="180">
        <f>(F624/F612)*AG64</f>
        <v>15967.738432412658</v>
      </c>
      <c r="G698" s="180">
        <f>(G625/G612)*AG77</f>
        <v>22418.601337223205</v>
      </c>
      <c r="H698" s="180">
        <f>(H628/H612)*AG60</f>
        <v>188001.23314963782</v>
      </c>
      <c r="I698" s="180">
        <f>(I629/I612)*AG78</f>
        <v>92427.965253590432</v>
      </c>
      <c r="J698" s="180">
        <f>(J630/J612)*AG79</f>
        <v>49064.646791371953</v>
      </c>
      <c r="K698" s="180">
        <f>(K644/K612)*AG75</f>
        <v>1579640.5025484925</v>
      </c>
      <c r="L698" s="180">
        <f>(L647/L612)*AG80</f>
        <v>361118.70867833344</v>
      </c>
      <c r="M698" s="180">
        <f t="shared" si="20"/>
        <v>2896925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25945945</v>
      </c>
      <c r="D701" s="180">
        <f>(D615/D612)*AJ76</f>
        <v>733497.81693526113</v>
      </c>
      <c r="E701" s="180">
        <f>(E623/E612)*SUM(C701:D701)</f>
        <v>1743763.237935662</v>
      </c>
      <c r="F701" s="180">
        <f>(F624/F612)*AJ64</f>
        <v>64441.060374765439</v>
      </c>
      <c r="G701" s="180">
        <f>(G625/G612)*AJ77</f>
        <v>0</v>
      </c>
      <c r="H701" s="180">
        <f>(H628/H612)*AJ60</f>
        <v>886424.93879029795</v>
      </c>
      <c r="I701" s="180">
        <f>(I629/I612)*AJ78</f>
        <v>567967.11192812817</v>
      </c>
      <c r="J701" s="180">
        <f>(J630/J612)*AJ79</f>
        <v>19933.163900501757</v>
      </c>
      <c r="K701" s="180">
        <f>(K644/K612)*AJ75</f>
        <v>2303829.1019823337</v>
      </c>
      <c r="L701" s="180">
        <f>(L647/L612)*AJ80</f>
        <v>283905.11938975588</v>
      </c>
      <c r="M701" s="180">
        <f t="shared" si="20"/>
        <v>6603762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341077</v>
      </c>
      <c r="D702" s="180">
        <f>(D615/D612)*AK76</f>
        <v>0</v>
      </c>
      <c r="E702" s="180">
        <f>(E623/E612)*SUM(C702:D702)</f>
        <v>22292.726950348781</v>
      </c>
      <c r="F702" s="180">
        <f>(F624/F612)*AK64</f>
        <v>517.91941326610572</v>
      </c>
      <c r="G702" s="180">
        <f>(G625/G612)*AK77</f>
        <v>0</v>
      </c>
      <c r="H702" s="180">
        <f>(H628/H612)*AK60</f>
        <v>0</v>
      </c>
      <c r="I702" s="180">
        <f>(I629/I612)*AK78</f>
        <v>49153.629450688997</v>
      </c>
      <c r="J702" s="180">
        <f>(J630/J612)*AK79</f>
        <v>2441.2345321898565</v>
      </c>
      <c r="K702" s="180">
        <f>(K644/K612)*AK75</f>
        <v>64589.05075453777</v>
      </c>
      <c r="L702" s="180">
        <f>(L647/L612)*AK80</f>
        <v>0</v>
      </c>
      <c r="M702" s="180">
        <f t="shared" si="20"/>
        <v>138995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325006</v>
      </c>
      <c r="D703" s="180">
        <f>(D615/D612)*AL76</f>
        <v>0</v>
      </c>
      <c r="E703" s="180">
        <f>(E623/E612)*SUM(C703:D703)</f>
        <v>21242.329489309028</v>
      </c>
      <c r="F703" s="180">
        <f>(F624/F612)*AL64</f>
        <v>167.26562990825437</v>
      </c>
      <c r="G703" s="180">
        <f>(G625/G612)*AL77</f>
        <v>0</v>
      </c>
      <c r="H703" s="180">
        <f>(H628/H612)*AL60</f>
        <v>0</v>
      </c>
      <c r="I703" s="180">
        <f>(I629/I612)*AL78</f>
        <v>14424.778600967145</v>
      </c>
      <c r="J703" s="180">
        <f>(J630/J612)*AL79</f>
        <v>0</v>
      </c>
      <c r="K703" s="180">
        <f>(K644/K612)*AL75</f>
        <v>61120.455558007918</v>
      </c>
      <c r="L703" s="180">
        <f>(L647/L612)*AL80</f>
        <v>0</v>
      </c>
      <c r="M703" s="180">
        <f t="shared" si="20"/>
        <v>96955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2469149</v>
      </c>
      <c r="D709" s="180">
        <f>(D615/D612)*AR76</f>
        <v>32246.237875926519</v>
      </c>
      <c r="E709" s="180">
        <f>(E623/E612)*SUM(C709:D709)</f>
        <v>163490.71040518931</v>
      </c>
      <c r="F709" s="180">
        <f>(F624/F612)*AR64</f>
        <v>5081.7483567665513</v>
      </c>
      <c r="G709" s="180">
        <f>(G625/G612)*AR77</f>
        <v>0</v>
      </c>
      <c r="H709" s="180">
        <f>(H628/H612)*AR60</f>
        <v>110139.18874677632</v>
      </c>
      <c r="I709" s="180">
        <f>(I629/I612)*AR78</f>
        <v>25021.179942909836</v>
      </c>
      <c r="J709" s="180">
        <f>(J630/J612)*AR79</f>
        <v>0</v>
      </c>
      <c r="K709" s="180">
        <f>(K644/K612)*AR75</f>
        <v>219106.49214149071</v>
      </c>
      <c r="L709" s="180">
        <f>(L647/L612)*AR80</f>
        <v>138511.28552045664</v>
      </c>
      <c r="M709" s="180">
        <f t="shared" si="20"/>
        <v>693597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">
      <c r="C715" s="180">
        <f>SUM(C614:C647)+SUM(C668:C713)</f>
        <v>100245847</v>
      </c>
      <c r="D715" s="180">
        <f>SUM(D616:D647)+SUM(D668:D713)</f>
        <v>3098993</v>
      </c>
      <c r="E715" s="180">
        <f>SUM(E624:E647)+SUM(E668:E713)</f>
        <v>6150081.1138920207</v>
      </c>
      <c r="F715" s="180">
        <f>SUM(F625:F648)+SUM(F668:F713)</f>
        <v>538356.5550633719</v>
      </c>
      <c r="G715" s="180">
        <f>SUM(G626:G647)+SUM(G668:G713)</f>
        <v>493765.41609330726</v>
      </c>
      <c r="H715" s="180">
        <f>SUM(H629:H647)+SUM(H668:H713)</f>
        <v>2777351.9646669873</v>
      </c>
      <c r="I715" s="180">
        <f>SUM(I630:I647)+SUM(I668:I713)</f>
        <v>1965529.9031109312</v>
      </c>
      <c r="J715" s="180">
        <f>SUM(J631:J647)+SUM(J668:J713)</f>
        <v>280432.78400887985</v>
      </c>
      <c r="K715" s="180">
        <f>SUM(K668:K713)</f>
        <v>15275084.795597399</v>
      </c>
      <c r="L715" s="180">
        <f>SUM(L668:L713)</f>
        <v>2082185.9551607778</v>
      </c>
      <c r="M715" s="180">
        <f>SUM(M668:M713)</f>
        <v>29086844</v>
      </c>
      <c r="N715" s="198" t="s">
        <v>742</v>
      </c>
    </row>
    <row r="716" spans="1:83" ht="12.65" customHeight="1" x14ac:dyDescent="0.3">
      <c r="C716" s="180">
        <f>CE71</f>
        <v>100245847</v>
      </c>
      <c r="D716" s="180">
        <f>D615</f>
        <v>3098993</v>
      </c>
      <c r="E716" s="180">
        <f>E623</f>
        <v>6150081.1138920197</v>
      </c>
      <c r="F716" s="180">
        <f>F624</f>
        <v>538356.55506337178</v>
      </c>
      <c r="G716" s="180">
        <f>G625</f>
        <v>493765.41609330726</v>
      </c>
      <c r="H716" s="180">
        <f>H628</f>
        <v>2777351.9646669873</v>
      </c>
      <c r="I716" s="180">
        <f>I629</f>
        <v>1965529.9031109307</v>
      </c>
      <c r="J716" s="180">
        <f>J630</f>
        <v>280432.78400887991</v>
      </c>
      <c r="K716" s="180">
        <f>K644</f>
        <v>15275084.795597397</v>
      </c>
      <c r="L716" s="180">
        <f>L647</f>
        <v>2082185.9551607778</v>
      </c>
      <c r="M716" s="180">
        <f>C648</f>
        <v>29086844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140*2021*A</v>
      </c>
      <c r="B722" s="275">
        <f>ROUND(C165,0)</f>
        <v>3355301</v>
      </c>
      <c r="C722" s="275">
        <f>ROUND(C166,0)</f>
        <v>56225</v>
      </c>
      <c r="D722" s="275">
        <f>ROUND(C167,0)</f>
        <v>321603</v>
      </c>
      <c r="E722" s="275">
        <f>ROUND(C168,0)</f>
        <v>5187272</v>
      </c>
      <c r="F722" s="275">
        <f>ROUND(C169,0)</f>
        <v>58679</v>
      </c>
      <c r="G722" s="275">
        <f>ROUND(C170,0)</f>
        <v>3253275</v>
      </c>
      <c r="H722" s="275">
        <f>ROUND(C171+C172,0)</f>
        <v>153626</v>
      </c>
      <c r="I722" s="275">
        <f>ROUND(C175,0)</f>
        <v>677245</v>
      </c>
      <c r="J722" s="275">
        <f>ROUND(C176,0)</f>
        <v>585768</v>
      </c>
      <c r="K722" s="275">
        <f>ROUND(C179,0)</f>
        <v>476648</v>
      </c>
      <c r="L722" s="275">
        <f>ROUND(C180,0)</f>
        <v>300733</v>
      </c>
      <c r="M722" s="275">
        <f>ROUND(C183,0)</f>
        <v>174610</v>
      </c>
      <c r="N722" s="275">
        <f>ROUND(C184,0)</f>
        <v>730191</v>
      </c>
      <c r="O722" s="275">
        <f>ROUND(C185,0)</f>
        <v>0</v>
      </c>
      <c r="P722" s="275">
        <f>ROUND(C188,0)</f>
        <v>0</v>
      </c>
      <c r="Q722" s="275">
        <f>ROUND(C189,0)</f>
        <v>618983</v>
      </c>
      <c r="R722" s="275">
        <f>ROUND(B195,0)</f>
        <v>2808860</v>
      </c>
      <c r="S722" s="275">
        <f>ROUND(C195,0)</f>
        <v>0</v>
      </c>
      <c r="T722" s="275">
        <f>ROUND(D195,0)</f>
        <v>0</v>
      </c>
      <c r="U722" s="275">
        <f>ROUND(B196,0)</f>
        <v>429006</v>
      </c>
      <c r="V722" s="275">
        <f>ROUND(C196,0)</f>
        <v>0</v>
      </c>
      <c r="W722" s="275">
        <f>ROUND(D196,0)</f>
        <v>0</v>
      </c>
      <c r="X722" s="275">
        <f>ROUND(B197,0)</f>
        <v>46640888</v>
      </c>
      <c r="Y722" s="275">
        <f>ROUND(C197,0)</f>
        <v>1133428</v>
      </c>
      <c r="Z722" s="275">
        <f>ROUND(D197,0)</f>
        <v>0</v>
      </c>
      <c r="AA722" s="275">
        <f>ROUND(B198,0)</f>
        <v>6963975</v>
      </c>
      <c r="AB722" s="275">
        <f>ROUND(C198,0)</f>
        <v>0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32524011</v>
      </c>
      <c r="AH722" s="275">
        <f>ROUND(C200,0)</f>
        <v>2334590</v>
      </c>
      <c r="AI722" s="275">
        <f>ROUND(D200,0)</f>
        <v>2113417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286545</v>
      </c>
      <c r="AQ722" s="275">
        <f>ROUND(C203,0)</f>
        <v>1898077</v>
      </c>
      <c r="AR722" s="275">
        <f>ROUND(D203,0)</f>
        <v>532347</v>
      </c>
      <c r="AS722" s="275"/>
      <c r="AT722" s="275"/>
      <c r="AU722" s="275"/>
      <c r="AV722" s="275">
        <f>ROUND(B209,0)</f>
        <v>430621</v>
      </c>
      <c r="AW722" s="275">
        <f>ROUND(C209,0)</f>
        <v>4330</v>
      </c>
      <c r="AX722" s="275">
        <f>ROUND(D209,0)</f>
        <v>0</v>
      </c>
      <c r="AY722" s="275">
        <f>ROUND(B210,0)</f>
        <v>18462371</v>
      </c>
      <c r="AZ722" s="275">
        <f>ROUND(C210,0)</f>
        <v>1828438</v>
      </c>
      <c r="BA722" s="275">
        <f>ROUND(D210,0)</f>
        <v>0</v>
      </c>
      <c r="BB722" s="275">
        <f>ROUND(B211,0)</f>
        <v>4114613</v>
      </c>
      <c r="BC722" s="275">
        <f>ROUND(C211,0)</f>
        <v>318490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23835108</v>
      </c>
      <c r="BI722" s="275">
        <f>ROUND(C213,0)</f>
        <v>2360007</v>
      </c>
      <c r="BJ722" s="275">
        <f>ROUND(D213,0)</f>
        <v>2099737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40567106</v>
      </c>
      <c r="BU722" s="275">
        <f>ROUND(C224,0)</f>
        <v>19485044</v>
      </c>
      <c r="BV722" s="275">
        <f>ROUND(C225,0)</f>
        <v>0</v>
      </c>
      <c r="BW722" s="275">
        <f>ROUND(C226,0)</f>
        <v>0</v>
      </c>
      <c r="BX722" s="275">
        <f>ROUND(C227,0)</f>
        <v>18929787</v>
      </c>
      <c r="BY722" s="275">
        <f>ROUND(C228,0)</f>
        <v>0</v>
      </c>
      <c r="BZ722" s="275">
        <f>ROUND(C231,0)</f>
        <v>3704</v>
      </c>
      <c r="CA722" s="275">
        <f>ROUND(C233,0)</f>
        <v>206511</v>
      </c>
      <c r="CB722" s="275">
        <f>ROUND(C234,0)</f>
        <v>1075143</v>
      </c>
      <c r="CC722" s="275">
        <f>ROUND(C238+C239,0)</f>
        <v>3052375</v>
      </c>
      <c r="CD722" s="275">
        <f>D221</f>
        <v>5248503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140*2021*A</v>
      </c>
      <c r="B726" s="275">
        <f>ROUND(C111,0)</f>
        <v>935</v>
      </c>
      <c r="C726" s="275">
        <f>ROUND(C112,0)</f>
        <v>9</v>
      </c>
      <c r="D726" s="275">
        <f>ROUND(C113,0)</f>
        <v>0</v>
      </c>
      <c r="E726" s="275">
        <f>ROUND(C114,0)</f>
        <v>280</v>
      </c>
      <c r="F726" s="275">
        <f>ROUND(D111,0)</f>
        <v>3182</v>
      </c>
      <c r="G726" s="275">
        <f>ROUND(D112,0)</f>
        <v>74</v>
      </c>
      <c r="H726" s="275">
        <f>ROUND(D113,0)</f>
        <v>0</v>
      </c>
      <c r="I726" s="275">
        <f>ROUND(D114,0)</f>
        <v>444</v>
      </c>
      <c r="J726" s="275">
        <f>ROUND(C116,0)</f>
        <v>6</v>
      </c>
      <c r="K726" s="275">
        <f>ROUND(C117,0)</f>
        <v>0</v>
      </c>
      <c r="L726" s="275">
        <f>ROUND(C118,0)</f>
        <v>13</v>
      </c>
      <c r="M726" s="275">
        <f>ROUND(C119,0)</f>
        <v>0</v>
      </c>
      <c r="N726" s="275">
        <f>ROUND(C120,0)</f>
        <v>6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0</v>
      </c>
      <c r="W726" s="275">
        <f>ROUND(C129,0)</f>
        <v>6</v>
      </c>
      <c r="X726" s="275">
        <f>ROUND(B138,0)</f>
        <v>431</v>
      </c>
      <c r="Y726" s="275">
        <f>ROUND(B139,0)</f>
        <v>1809</v>
      </c>
      <c r="Z726" s="275">
        <f>ROUND(B140,0)</f>
        <v>84634</v>
      </c>
      <c r="AA726" s="275">
        <f>ROUND(B141,0)</f>
        <v>11029165</v>
      </c>
      <c r="AB726" s="275">
        <f>ROUND(B142,0)</f>
        <v>70120901</v>
      </c>
      <c r="AC726" s="275">
        <f>ROUND(C138,0)</f>
        <v>218</v>
      </c>
      <c r="AD726" s="275">
        <f>ROUND(C139,0)</f>
        <v>464</v>
      </c>
      <c r="AE726" s="275">
        <f>ROUND(C140,0)</f>
        <v>40720</v>
      </c>
      <c r="AF726" s="275">
        <f>ROUND(C141,0)</f>
        <v>5640646</v>
      </c>
      <c r="AG726" s="275">
        <f>ROUND(C142,0)</f>
        <v>31430277</v>
      </c>
      <c r="AH726" s="275">
        <f>ROUND(D138,0)</f>
        <v>286</v>
      </c>
      <c r="AI726" s="275">
        <f>ROUND(D139,0)</f>
        <v>1427</v>
      </c>
      <c r="AJ726" s="275">
        <f>ROUND(D140,0)</f>
        <v>91935</v>
      </c>
      <c r="AK726" s="275">
        <f>ROUND(D141,0)</f>
        <v>9387746</v>
      </c>
      <c r="AL726" s="275">
        <f>ROUND(D142,0)</f>
        <v>70943888</v>
      </c>
      <c r="AM726" s="275">
        <f>ROUND(B144,0)</f>
        <v>9</v>
      </c>
      <c r="AN726" s="275">
        <f>ROUND(B145,0)</f>
        <v>74</v>
      </c>
      <c r="AO726" s="275">
        <f>ROUND(B146,0)</f>
        <v>0</v>
      </c>
      <c r="AP726" s="275">
        <f>ROUND(B147,0)</f>
        <v>77481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4696899</v>
      </c>
      <c r="BR726" s="275">
        <f>ROUND(C157,0)</f>
        <v>4028279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140*2021*A</v>
      </c>
      <c r="B730" s="275">
        <f>ROUND(C250,0)</f>
        <v>25190022</v>
      </c>
      <c r="C730" s="275">
        <f>ROUND(C251,0)</f>
        <v>0</v>
      </c>
      <c r="D730" s="275">
        <f>ROUND(C252,0)</f>
        <v>35722017</v>
      </c>
      <c r="E730" s="275">
        <f>ROUND(C253,0)</f>
        <v>24319514</v>
      </c>
      <c r="F730" s="275">
        <f>ROUND(C254,0)</f>
        <v>0</v>
      </c>
      <c r="G730" s="275">
        <f>ROUND(C255,0)</f>
        <v>360237</v>
      </c>
      <c r="H730" s="275">
        <f>ROUND(C256,0)</f>
        <v>0</v>
      </c>
      <c r="I730" s="275">
        <f>ROUND(C257,0)</f>
        <v>2482366</v>
      </c>
      <c r="J730" s="275">
        <f>ROUND(C258,0)</f>
        <v>818867</v>
      </c>
      <c r="K730" s="275">
        <f>ROUND(C259,0)</f>
        <v>958166</v>
      </c>
      <c r="L730" s="275">
        <f>ROUND(C262,0)</f>
        <v>0</v>
      </c>
      <c r="M730" s="275">
        <f>ROUND(C263,0)</f>
        <v>35766314</v>
      </c>
      <c r="N730" s="275">
        <f>ROUND(C264,0)</f>
        <v>0</v>
      </c>
      <c r="O730" s="275">
        <f>ROUND(C267,0)</f>
        <v>2808860</v>
      </c>
      <c r="P730" s="275">
        <f>ROUND(C268,0)</f>
        <v>429006</v>
      </c>
      <c r="Q730" s="275">
        <f>ROUND(C269,0)</f>
        <v>47774316</v>
      </c>
      <c r="R730" s="275">
        <f>ROUND(C270,0)</f>
        <v>6963975</v>
      </c>
      <c r="S730" s="275">
        <f>ROUND(C271,0)</f>
        <v>0</v>
      </c>
      <c r="T730" s="275">
        <f>ROUND(C272,0)</f>
        <v>32745184</v>
      </c>
      <c r="U730" s="275">
        <f>ROUND(C273,0)</f>
        <v>0</v>
      </c>
      <c r="V730" s="275">
        <f>ROUND(C274,0)</f>
        <v>1652275</v>
      </c>
      <c r="W730" s="275">
        <f>ROUND(C275,0)</f>
        <v>0</v>
      </c>
      <c r="X730" s="275">
        <f>ROUND(C276,0)</f>
        <v>49284241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2613363</v>
      </c>
      <c r="AI730" s="275">
        <f>ROUND(C306,0)</f>
        <v>4557805</v>
      </c>
      <c r="AJ730" s="275">
        <f>ROUND(C307,0)</f>
        <v>0</v>
      </c>
      <c r="AK730" s="275">
        <f>ROUND(C308,0)</f>
        <v>0</v>
      </c>
      <c r="AL730" s="275">
        <f>ROUND(C309,0)</f>
        <v>2347000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1719552</v>
      </c>
      <c r="AQ730" s="275">
        <f>ROUND(C316,0)</f>
        <v>0</v>
      </c>
      <c r="AR730" s="275">
        <f>ROUND(C317,0)</f>
        <v>39519</v>
      </c>
      <c r="AS730" s="275">
        <f>ROUND(C318,0)</f>
        <v>2817513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525770</v>
      </c>
      <c r="AX730" s="275">
        <f>ROUND(C325,0)</f>
        <v>18911799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88255081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529.9</v>
      </c>
      <c r="BJ730" s="275">
        <f>ROUND(C359,0)</f>
        <v>26135038</v>
      </c>
      <c r="BK730" s="275">
        <f>ROUND(C360,0)</f>
        <v>172495066</v>
      </c>
      <c r="BL730" s="275">
        <f>ROUND(C364,0)</f>
        <v>78981937</v>
      </c>
      <c r="BM730" s="275">
        <f>ROUND(C365,0)</f>
        <v>1281654</v>
      </c>
      <c r="BN730" s="275">
        <f>ROUND(C366,0)</f>
        <v>3052375</v>
      </c>
      <c r="BO730" s="275">
        <f>ROUND(C370,0)</f>
        <v>4307325</v>
      </c>
      <c r="BP730" s="275">
        <f>ROUND(C371,0)</f>
        <v>0</v>
      </c>
      <c r="BQ730" s="275">
        <f>ROUND(C378,0)</f>
        <v>50820948</v>
      </c>
      <c r="BR730" s="275">
        <f>ROUND(C379,0)</f>
        <v>12385981</v>
      </c>
      <c r="BS730" s="275">
        <f>ROUND(C380,0)</f>
        <v>917874</v>
      </c>
      <c r="BT730" s="275">
        <f>ROUND(C381,0)</f>
        <v>12099940</v>
      </c>
      <c r="BU730" s="275">
        <f>ROUND(C382,0)</f>
        <v>1185983</v>
      </c>
      <c r="BV730" s="275">
        <f>ROUND(C383,0)</f>
        <v>14030879</v>
      </c>
      <c r="BW730" s="275">
        <f>ROUND(C384,0)</f>
        <v>4416659</v>
      </c>
      <c r="BX730" s="275">
        <f>ROUND(C385,0)</f>
        <v>1263014</v>
      </c>
      <c r="BY730" s="275">
        <f>ROUND(C386,0)</f>
        <v>777381</v>
      </c>
      <c r="BZ730" s="275">
        <f>ROUND(C387,0)</f>
        <v>904801</v>
      </c>
      <c r="CA730" s="275">
        <f>ROUND(C388,0)</f>
        <v>618983</v>
      </c>
      <c r="CB730" s="275">
        <f>C363</f>
        <v>5248503</v>
      </c>
      <c r="CC730" s="275">
        <f>ROUND(C389,0)</f>
        <v>823407</v>
      </c>
      <c r="CD730" s="275">
        <f>ROUND(C392,0)</f>
        <v>4343771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140*2021*6010*A</v>
      </c>
      <c r="B734" s="275">
        <f>ROUND(C59,0)</f>
        <v>857</v>
      </c>
      <c r="C734" s="275">
        <f>ROUND(C60,2)</f>
        <v>13.9</v>
      </c>
      <c r="D734" s="275">
        <f>ROUND(C61,0)</f>
        <v>1756878</v>
      </c>
      <c r="E734" s="275">
        <f>ROUND(C62,0)</f>
        <v>428183</v>
      </c>
      <c r="F734" s="275">
        <f>ROUND(C63,0)</f>
        <v>0</v>
      </c>
      <c r="G734" s="275">
        <f>ROUND(C64,0)</f>
        <v>124108</v>
      </c>
      <c r="H734" s="275">
        <f>ROUND(C65,0)</f>
        <v>0</v>
      </c>
      <c r="I734" s="275">
        <f>ROUND(C66,0)</f>
        <v>4425</v>
      </c>
      <c r="J734" s="275">
        <f>ROUND(C67,0)</f>
        <v>66542</v>
      </c>
      <c r="K734" s="275">
        <f>ROUND(C68,0)</f>
        <v>0</v>
      </c>
      <c r="L734" s="275">
        <f>ROUND(C69,0)</f>
        <v>1110</v>
      </c>
      <c r="M734" s="275">
        <f>ROUND(C70,0)</f>
        <v>0</v>
      </c>
      <c r="N734" s="275">
        <f>ROUND(C75,0)</f>
        <v>3083771</v>
      </c>
      <c r="O734" s="275">
        <f>ROUND(C73,0)</f>
        <v>2586693</v>
      </c>
      <c r="P734" s="275">
        <f>IF(C76&gt;0,ROUND(C76,0),0)</f>
        <v>2897</v>
      </c>
      <c r="Q734" s="275">
        <f>IF(C77&gt;0,ROUND(C77,0),0)</f>
        <v>2604</v>
      </c>
      <c r="R734" s="275">
        <f>IF(C78&gt;0,ROUND(C78,0),0)</f>
        <v>759</v>
      </c>
      <c r="S734" s="275">
        <f>IF(C79&gt;0,ROUND(C79,0),0)</f>
        <v>21528</v>
      </c>
      <c r="T734" s="275">
        <f>IF(C80&gt;0,ROUND(C80,2),0)</f>
        <v>10.23</v>
      </c>
      <c r="U734" s="275"/>
      <c r="V734" s="275"/>
      <c r="W734" s="275"/>
      <c r="X734" s="275"/>
      <c r="Y734" s="275">
        <f>IF(M668&lt;&gt;0,ROUND(M668,0),0)</f>
        <v>948616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140*2021*6030*A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140*2021*6070*A</v>
      </c>
      <c r="B736" s="275">
        <f>ROUND(E59,0)</f>
        <v>2325</v>
      </c>
      <c r="C736" s="277">
        <f>ROUND(E60,2)</f>
        <v>23.56</v>
      </c>
      <c r="D736" s="275">
        <f>ROUND(E61,0)</f>
        <v>1945606</v>
      </c>
      <c r="E736" s="275">
        <f>ROUND(E62,0)</f>
        <v>474179</v>
      </c>
      <c r="F736" s="275">
        <f>ROUND(E63,0)</f>
        <v>0</v>
      </c>
      <c r="G736" s="275">
        <f>ROUND(E64,0)</f>
        <v>186497</v>
      </c>
      <c r="H736" s="275">
        <f>ROUND(E65,0)</f>
        <v>0</v>
      </c>
      <c r="I736" s="275">
        <f>ROUND(E66,0)</f>
        <v>10663</v>
      </c>
      <c r="J736" s="275">
        <f>ROUND(E67,0)</f>
        <v>239560</v>
      </c>
      <c r="K736" s="275">
        <f>ROUND(E68,0)</f>
        <v>12687</v>
      </c>
      <c r="L736" s="275">
        <f>ROUND(E69,0)</f>
        <v>2153</v>
      </c>
      <c r="M736" s="275">
        <f>ROUND(E70,0)</f>
        <v>0</v>
      </c>
      <c r="N736" s="275">
        <f>ROUND(E75,0)</f>
        <v>6097916</v>
      </c>
      <c r="O736" s="275">
        <f>ROUND(E73,0)</f>
        <v>3425195</v>
      </c>
      <c r="P736" s="275">
        <f>IF(E76&gt;0,ROUND(E76,0),0)</f>
        <v>13113</v>
      </c>
      <c r="Q736" s="275">
        <f>IF(E77&gt;0,ROUND(E77,0),0)</f>
        <v>8366</v>
      </c>
      <c r="R736" s="275">
        <f>IF(E78&gt;0,ROUND(E78,0),0)</f>
        <v>3436</v>
      </c>
      <c r="S736" s="275">
        <f>IF(E79&gt;0,ROUND(E79,0),0)</f>
        <v>54280</v>
      </c>
      <c r="T736" s="277">
        <f>IF(E80&gt;0,ROUND(E80,2),0)</f>
        <v>25.67</v>
      </c>
      <c r="U736" s="275"/>
      <c r="V736" s="276"/>
      <c r="W736" s="275"/>
      <c r="X736" s="275"/>
      <c r="Y736" s="275">
        <f t="shared" si="21"/>
        <v>2306987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140*2021*6100*A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140*2021*6120*A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140*2021*6140*A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140*2021*6150*A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140*2021*6170*A</v>
      </c>
      <c r="B741" s="275">
        <f>ROUND(J59,0)</f>
        <v>444</v>
      </c>
      <c r="C741" s="277">
        <f>ROUND(J60,2)</f>
        <v>2</v>
      </c>
      <c r="D741" s="275">
        <f>ROUND(J61,0)</f>
        <v>202583</v>
      </c>
      <c r="E741" s="275">
        <f>ROUND(J62,0)</f>
        <v>49373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3712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974705</v>
      </c>
      <c r="O741" s="275">
        <f>ROUND(J73,0)</f>
        <v>974705</v>
      </c>
      <c r="P741" s="275">
        <f>IF(J76&gt;0,ROUND(J76,0),0)</f>
        <v>252</v>
      </c>
      <c r="Q741" s="275">
        <f>IF(J77&gt;0,ROUND(J77,0),0)</f>
        <v>0</v>
      </c>
      <c r="R741" s="275">
        <f>IF(J78&gt;0,ROUND(J78,0),0)</f>
        <v>66</v>
      </c>
      <c r="S741" s="275">
        <f>IF(J79&gt;0,ROUND(J79,0),0)</f>
        <v>10447</v>
      </c>
      <c r="T741" s="277">
        <f>IF(J80&gt;0,ROUND(J80,2),0)</f>
        <v>1</v>
      </c>
      <c r="U741" s="275"/>
      <c r="V741" s="276"/>
      <c r="W741" s="275"/>
      <c r="X741" s="275"/>
      <c r="Y741" s="275">
        <f t="shared" si="21"/>
        <v>142593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140*2021*6200*A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140*2021*6210*A</v>
      </c>
      <c r="B743" s="275">
        <f>ROUND(L59,0)</f>
        <v>74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77481</v>
      </c>
      <c r="O743" s="275">
        <f>ROUND(L73,0)</f>
        <v>77481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5958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140*2021*6330*A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140*2021*6400*A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140*2021*7010*A</v>
      </c>
      <c r="B746" s="275">
        <f>ROUND(O59,0)</f>
        <v>280</v>
      </c>
      <c r="C746" s="277">
        <f>ROUND(O60,2)</f>
        <v>12.6</v>
      </c>
      <c r="D746" s="275">
        <f>ROUND(O61,0)</f>
        <v>1276270</v>
      </c>
      <c r="E746" s="275">
        <f>ROUND(O62,0)</f>
        <v>311050</v>
      </c>
      <c r="F746" s="275">
        <f>ROUND(O63,0)</f>
        <v>0</v>
      </c>
      <c r="G746" s="275">
        <f>ROUND(O64,0)</f>
        <v>107490</v>
      </c>
      <c r="H746" s="275">
        <f>ROUND(O65,0)</f>
        <v>0</v>
      </c>
      <c r="I746" s="275">
        <f>ROUND(O66,0)</f>
        <v>7221</v>
      </c>
      <c r="J746" s="275">
        <f>ROUND(O67,0)</f>
        <v>81179</v>
      </c>
      <c r="K746" s="275">
        <f>ROUND(O68,0)</f>
        <v>0</v>
      </c>
      <c r="L746" s="275">
        <f>ROUND(O69,0)</f>
        <v>2215</v>
      </c>
      <c r="M746" s="275">
        <f>ROUND(O70,0)</f>
        <v>0</v>
      </c>
      <c r="N746" s="275">
        <f>ROUND(O75,0)</f>
        <v>3083480</v>
      </c>
      <c r="O746" s="275">
        <f>ROUND(O73,0)</f>
        <v>2513919</v>
      </c>
      <c r="P746" s="275">
        <f>IF(O76&gt;0,ROUND(O76,0),0)</f>
        <v>2224</v>
      </c>
      <c r="Q746" s="275">
        <f>IF(O77&gt;0,ROUND(O77,0),0)</f>
        <v>0</v>
      </c>
      <c r="R746" s="275">
        <f>IF(O78&gt;0,ROUND(O78,0),0)</f>
        <v>583</v>
      </c>
      <c r="S746" s="275">
        <f>IF(O79&gt;0,ROUND(O79,0),0)</f>
        <v>54938</v>
      </c>
      <c r="T746" s="277">
        <f>IF(O80&gt;0,ROUND(O80,2),0)</f>
        <v>5.2</v>
      </c>
      <c r="U746" s="275"/>
      <c r="V746" s="276"/>
      <c r="W746" s="275"/>
      <c r="X746" s="275"/>
      <c r="Y746" s="275">
        <f t="shared" si="21"/>
        <v>675571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140*2021*7020*A</v>
      </c>
      <c r="B747" s="275">
        <f>ROUND(P59,0)</f>
        <v>0</v>
      </c>
      <c r="C747" s="277">
        <f>ROUND(P60,2)</f>
        <v>28.2</v>
      </c>
      <c r="D747" s="275">
        <f>ROUND(P61,0)</f>
        <v>2823856</v>
      </c>
      <c r="E747" s="275">
        <f>ROUND(P62,0)</f>
        <v>688225</v>
      </c>
      <c r="F747" s="275">
        <f>ROUND(P63,0)</f>
        <v>500</v>
      </c>
      <c r="G747" s="275">
        <f>ROUND(P64,0)</f>
        <v>3247655</v>
      </c>
      <c r="H747" s="275">
        <f>ROUND(P65,0)</f>
        <v>2287</v>
      </c>
      <c r="I747" s="275">
        <f>ROUND(P66,0)</f>
        <v>152187</v>
      </c>
      <c r="J747" s="275">
        <f>ROUND(P67,0)</f>
        <v>472357</v>
      </c>
      <c r="K747" s="275">
        <f>ROUND(P68,0)</f>
        <v>15329</v>
      </c>
      <c r="L747" s="275">
        <f>ROUND(P69,0)</f>
        <v>5689</v>
      </c>
      <c r="M747" s="275">
        <f>ROUND(P70,0)</f>
        <v>0</v>
      </c>
      <c r="N747" s="275">
        <f>ROUND(P75,0)</f>
        <v>29901171</v>
      </c>
      <c r="O747" s="275">
        <f>ROUND(P73,0)</f>
        <v>5575731</v>
      </c>
      <c r="P747" s="275">
        <f>IF(P76&gt;0,ROUND(P76,0),0)</f>
        <v>12295</v>
      </c>
      <c r="Q747" s="275">
        <f>IF(P77&gt;0,ROUND(P77,0),0)</f>
        <v>47</v>
      </c>
      <c r="R747" s="275">
        <f>IF(P78&gt;0,ROUND(P78,0),0)</f>
        <v>3221</v>
      </c>
      <c r="S747" s="275">
        <f>IF(P79&gt;0,ROUND(P79,0),0)</f>
        <v>76669</v>
      </c>
      <c r="T747" s="277">
        <f>IF(P80&gt;0,ROUND(P80,2),0)</f>
        <v>18.03</v>
      </c>
      <c r="U747" s="275"/>
      <c r="V747" s="276"/>
      <c r="W747" s="275"/>
      <c r="X747" s="275"/>
      <c r="Y747" s="275">
        <f t="shared" si="21"/>
        <v>4057026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140*2021*7030*A</v>
      </c>
      <c r="B748" s="275">
        <f>ROUND(Q59,0)</f>
        <v>0</v>
      </c>
      <c r="C748" s="277">
        <f>ROUND(Q60,2)</f>
        <v>0.4</v>
      </c>
      <c r="D748" s="275">
        <f>ROUND(Q61,0)</f>
        <v>118926</v>
      </c>
      <c r="E748" s="275">
        <f>ROUND(Q62,0)</f>
        <v>28984</v>
      </c>
      <c r="F748" s="275">
        <f>ROUND(Q63,0)</f>
        <v>0</v>
      </c>
      <c r="G748" s="275">
        <f>ROUND(Q64,0)</f>
        <v>23490</v>
      </c>
      <c r="H748" s="275">
        <f>ROUND(Q65,0)</f>
        <v>0</v>
      </c>
      <c r="I748" s="275">
        <f>ROUND(Q66,0)</f>
        <v>399</v>
      </c>
      <c r="J748" s="275">
        <f>ROUND(Q67,0)</f>
        <v>23714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2628813</v>
      </c>
      <c r="O748" s="275">
        <f>ROUND(Q73,0)</f>
        <v>236108</v>
      </c>
      <c r="P748" s="275">
        <f>IF(Q76&gt;0,ROUND(Q76,0),0)</f>
        <v>1012</v>
      </c>
      <c r="Q748" s="275">
        <f>IF(Q77&gt;0,ROUND(Q77,0),0)</f>
        <v>0</v>
      </c>
      <c r="R748" s="275">
        <f>IF(Q78&gt;0,ROUND(Q78,0),0)</f>
        <v>265</v>
      </c>
      <c r="S748" s="275">
        <f>IF(Q79&gt;0,ROUND(Q79,0),0)</f>
        <v>0</v>
      </c>
      <c r="T748" s="277">
        <f>IF(Q80&gt;0,ROUND(Q80,2),0)</f>
        <v>0.25</v>
      </c>
      <c r="U748" s="275"/>
      <c r="V748" s="276"/>
      <c r="W748" s="275"/>
      <c r="X748" s="275"/>
      <c r="Y748" s="275">
        <f t="shared" si="21"/>
        <v>266751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140*2021*7040*A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34818</v>
      </c>
      <c r="H749" s="275">
        <f>ROUND(R65,0)</f>
        <v>0</v>
      </c>
      <c r="I749" s="275">
        <f>ROUND(R66,0)</f>
        <v>66586</v>
      </c>
      <c r="J749" s="275">
        <f>ROUND(R67,0)</f>
        <v>13454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9054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140*2021*7050*A</v>
      </c>
      <c r="B750" s="275"/>
      <c r="C750" s="277">
        <f>ROUND(S60,2)</f>
        <v>4.3</v>
      </c>
      <c r="D750" s="275">
        <f>ROUND(S61,0)</f>
        <v>220185</v>
      </c>
      <c r="E750" s="275">
        <f>ROUND(S62,0)</f>
        <v>53663</v>
      </c>
      <c r="F750" s="275">
        <f>ROUND(S63,0)</f>
        <v>0</v>
      </c>
      <c r="G750" s="275">
        <f>ROUND(S64,0)</f>
        <v>134225</v>
      </c>
      <c r="H750" s="275">
        <f>ROUND(S65,0)</f>
        <v>0</v>
      </c>
      <c r="I750" s="275">
        <f>ROUND(S66,0)</f>
        <v>68065</v>
      </c>
      <c r="J750" s="275">
        <f>ROUND(S67,0)</f>
        <v>73087</v>
      </c>
      <c r="K750" s="275">
        <f>ROUND(S68,0)</f>
        <v>0</v>
      </c>
      <c r="L750" s="275">
        <f>ROUND(S69,0)</f>
        <v>1906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1529</v>
      </c>
      <c r="Q750" s="275">
        <f>IF(S77&gt;0,ROUND(S77,0),0)</f>
        <v>0</v>
      </c>
      <c r="R750" s="275">
        <f>IF(S78&gt;0,ROUND(S78,0),0)</f>
        <v>401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132176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140*2021*7060*A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140*2021*7070*A</v>
      </c>
      <c r="B752" s="275">
        <f>ROUND(U59,0)</f>
        <v>288552</v>
      </c>
      <c r="C752" s="277">
        <f>ROUND(U60,2)</f>
        <v>28.95</v>
      </c>
      <c r="D752" s="275">
        <f>ROUND(U61,0)</f>
        <v>2076686</v>
      </c>
      <c r="E752" s="275">
        <f>ROUND(U62,0)</f>
        <v>506126</v>
      </c>
      <c r="F752" s="275">
        <f>ROUND(U63,0)</f>
        <v>17900</v>
      </c>
      <c r="G752" s="275">
        <f>ROUND(U64,0)</f>
        <v>2240945</v>
      </c>
      <c r="H752" s="275">
        <f>ROUND(U65,0)</f>
        <v>0</v>
      </c>
      <c r="I752" s="275">
        <f>ROUND(U66,0)</f>
        <v>2452247</v>
      </c>
      <c r="J752" s="275">
        <f>ROUND(U67,0)</f>
        <v>204798</v>
      </c>
      <c r="K752" s="275">
        <f>ROUND(U68,0)</f>
        <v>116518</v>
      </c>
      <c r="L752" s="275">
        <f>ROUND(U69,0)</f>
        <v>51901</v>
      </c>
      <c r="M752" s="275">
        <f>ROUND(U70,0)</f>
        <v>0</v>
      </c>
      <c r="N752" s="275">
        <f>ROUND(U75,0)</f>
        <v>30146982</v>
      </c>
      <c r="O752" s="275">
        <f>ROUND(U73,0)</f>
        <v>2058606</v>
      </c>
      <c r="P752" s="275">
        <f>IF(U76&gt;0,ROUND(U76,0),0)</f>
        <v>4056</v>
      </c>
      <c r="Q752" s="275">
        <f>IF(U77&gt;0,ROUND(U77,0),0)</f>
        <v>0</v>
      </c>
      <c r="R752" s="275">
        <f>IF(U78&gt;0,ROUND(U78,0),0)</f>
        <v>1063</v>
      </c>
      <c r="S752" s="275">
        <f>IF(U79&gt;0,ROUND(U79,0),0)</f>
        <v>10088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3267402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140*2021*7110*A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140*2021*7120*A</v>
      </c>
      <c r="B754" s="275">
        <f>ROUND(W59,0)</f>
        <v>2029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565</v>
      </c>
      <c r="H754" s="275">
        <f>ROUND(W65,0)</f>
        <v>0</v>
      </c>
      <c r="I754" s="275">
        <f>ROUND(W66,0)</f>
        <v>754494</v>
      </c>
      <c r="J754" s="275">
        <f>ROUND(W67,0)</f>
        <v>2092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7590632</v>
      </c>
      <c r="O754" s="275">
        <f>ROUND(W73,0)</f>
        <v>152550</v>
      </c>
      <c r="P754" s="275">
        <f>IF(W76&gt;0,ROUND(W76,0),0)</f>
        <v>142</v>
      </c>
      <c r="Q754" s="275">
        <f>IF(W77&gt;0,ROUND(W77,0),0)</f>
        <v>0</v>
      </c>
      <c r="R754" s="275">
        <f>IF(W78&gt;0,ROUND(W78,0),0)</f>
        <v>37</v>
      </c>
      <c r="S754" s="275">
        <f>IF(W79&gt;0,ROUND(W79,0),0)</f>
        <v>4569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642348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140*2021*7130*A</v>
      </c>
      <c r="B755" s="275">
        <f>ROUND(X59,0)</f>
        <v>5896</v>
      </c>
      <c r="C755" s="277">
        <f>ROUND(X60,2)</f>
        <v>8.8800000000000008</v>
      </c>
      <c r="D755" s="275">
        <f>ROUND(X61,0)</f>
        <v>672163</v>
      </c>
      <c r="E755" s="275">
        <f>ROUND(X62,0)</f>
        <v>163818</v>
      </c>
      <c r="F755" s="275">
        <f>ROUND(X63,0)</f>
        <v>0</v>
      </c>
      <c r="G755" s="275">
        <f>ROUND(X64,0)</f>
        <v>64554</v>
      </c>
      <c r="H755" s="275">
        <f>ROUND(X65,0)</f>
        <v>0</v>
      </c>
      <c r="I755" s="275">
        <f>ROUND(X66,0)</f>
        <v>130128</v>
      </c>
      <c r="J755" s="275">
        <f>ROUND(X67,0)</f>
        <v>36557</v>
      </c>
      <c r="K755" s="275">
        <f>ROUND(X68,0)</f>
        <v>62262</v>
      </c>
      <c r="L755" s="275">
        <f>ROUND(X69,0)</f>
        <v>0</v>
      </c>
      <c r="M755" s="275">
        <f>ROUND(X70,0)</f>
        <v>0</v>
      </c>
      <c r="N755" s="275">
        <f>ROUND(X75,0)</f>
        <v>23346836</v>
      </c>
      <c r="O755" s="275">
        <f>ROUND(X73,0)</f>
        <v>1308630</v>
      </c>
      <c r="P755" s="275">
        <f>IF(X76&gt;0,ROUND(X76,0),0)</f>
        <v>2272</v>
      </c>
      <c r="Q755" s="275">
        <f>IF(X77&gt;0,ROUND(X77,0),0)</f>
        <v>0</v>
      </c>
      <c r="R755" s="275">
        <f>IF(X78&gt;0,ROUND(X78,0),0)</f>
        <v>596</v>
      </c>
      <c r="S755" s="275">
        <f>IF(X79&gt;0,ROUND(X79,0),0)</f>
        <v>13276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2029602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140*2021*7140*A</v>
      </c>
      <c r="B756" s="275">
        <f>ROUND(Y59,0)</f>
        <v>24091</v>
      </c>
      <c r="C756" s="277">
        <f>ROUND(Y60,2)</f>
        <v>12</v>
      </c>
      <c r="D756" s="275">
        <f>ROUND(Y61,0)</f>
        <v>969961</v>
      </c>
      <c r="E756" s="275">
        <f>ROUND(Y62,0)</f>
        <v>236397</v>
      </c>
      <c r="F756" s="275">
        <f>ROUND(Y63,0)</f>
        <v>0</v>
      </c>
      <c r="G756" s="275">
        <f>ROUND(Y64,0)</f>
        <v>134471</v>
      </c>
      <c r="H756" s="275">
        <f>ROUND(Y65,0)</f>
        <v>0</v>
      </c>
      <c r="I756" s="275">
        <f>ROUND(Y66,0)</f>
        <v>397202</v>
      </c>
      <c r="J756" s="275">
        <f>ROUND(Y67,0)</f>
        <v>252305</v>
      </c>
      <c r="K756" s="275">
        <f>ROUND(Y68,0)</f>
        <v>239308</v>
      </c>
      <c r="L756" s="275">
        <f>ROUND(Y69,0)</f>
        <v>4191</v>
      </c>
      <c r="M756" s="275">
        <f>ROUND(Y70,0)</f>
        <v>0</v>
      </c>
      <c r="N756" s="275">
        <f>ROUND(Y75,0)</f>
        <v>12101594</v>
      </c>
      <c r="O756" s="275">
        <f>ROUND(Y73,0)</f>
        <v>545583</v>
      </c>
      <c r="P756" s="275">
        <f>IF(Y76&gt;0,ROUND(Y76,0),0)</f>
        <v>2355</v>
      </c>
      <c r="Q756" s="275">
        <f>IF(Y77&gt;0,ROUND(Y77,0),0)</f>
        <v>0</v>
      </c>
      <c r="R756" s="275">
        <f>IF(Y78&gt;0,ROUND(Y78,0),0)</f>
        <v>617</v>
      </c>
      <c r="S756" s="275">
        <f>IF(Y79&gt;0,ROUND(Y79,0),0)</f>
        <v>54245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1289333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140*2021*7150*A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140*2021*7160*A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140*2021*7170*A</v>
      </c>
      <c r="B759" s="275"/>
      <c r="C759" s="277">
        <f>ROUND(AB60,2)</f>
        <v>13.29</v>
      </c>
      <c r="D759" s="275">
        <f>ROUND(AB61,0)</f>
        <v>1366597</v>
      </c>
      <c r="E759" s="275">
        <f>ROUND(AB62,0)</f>
        <v>333064</v>
      </c>
      <c r="F759" s="275">
        <f>ROUND(AB63,0)</f>
        <v>0</v>
      </c>
      <c r="G759" s="275">
        <f>ROUND(AB64,0)</f>
        <v>2765705</v>
      </c>
      <c r="H759" s="275">
        <f>ROUND(AB65,0)</f>
        <v>0</v>
      </c>
      <c r="I759" s="275">
        <f>ROUND(AB66,0)</f>
        <v>324236</v>
      </c>
      <c r="J759" s="275">
        <f>ROUND(AB67,0)</f>
        <v>18534</v>
      </c>
      <c r="K759" s="275">
        <f>ROUND(AB68,0)</f>
        <v>204635</v>
      </c>
      <c r="L759" s="275">
        <f>ROUND(AB69,0)</f>
        <v>5930</v>
      </c>
      <c r="M759" s="275">
        <f>ROUND(AB70,0)</f>
        <v>0</v>
      </c>
      <c r="N759" s="275">
        <f>ROUND(AB75,0)</f>
        <v>17896211</v>
      </c>
      <c r="O759" s="275">
        <f>ROUND(AB73,0)</f>
        <v>5381881</v>
      </c>
      <c r="P759" s="275">
        <f>IF(AB76&gt;0,ROUND(AB76,0),0)</f>
        <v>1163</v>
      </c>
      <c r="Q759" s="275">
        <f>IF(AB77&gt;0,ROUND(AB77,0),0)</f>
        <v>0</v>
      </c>
      <c r="R759" s="275">
        <f>IF(AB78&gt;0,ROUND(AB78,0),0)</f>
        <v>175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1945311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140*2021*7180*A</v>
      </c>
      <c r="B760" s="275">
        <f>ROUND(AC59,0)</f>
        <v>0</v>
      </c>
      <c r="C760" s="277">
        <f>ROUND(AC60,2)</f>
        <v>7.64</v>
      </c>
      <c r="D760" s="275">
        <f>ROUND(AC61,0)</f>
        <v>609148</v>
      </c>
      <c r="E760" s="275">
        <f>ROUND(AC62,0)</f>
        <v>148460</v>
      </c>
      <c r="F760" s="275">
        <f>ROUND(AC63,0)</f>
        <v>3485</v>
      </c>
      <c r="G760" s="275">
        <f>ROUND(AC64,0)</f>
        <v>107989</v>
      </c>
      <c r="H760" s="275">
        <f>ROUND(AC65,0)</f>
        <v>0</v>
      </c>
      <c r="I760" s="275">
        <f>ROUND(AC66,0)</f>
        <v>2177</v>
      </c>
      <c r="J760" s="275">
        <f>ROUND(AC67,0)</f>
        <v>53082</v>
      </c>
      <c r="K760" s="275">
        <f>ROUND(AC68,0)</f>
        <v>6686</v>
      </c>
      <c r="L760" s="275">
        <f>ROUND(AC69,0)</f>
        <v>348</v>
      </c>
      <c r="M760" s="275">
        <f>ROUND(AC70,0)</f>
        <v>0</v>
      </c>
      <c r="N760" s="275">
        <f>ROUND(AC75,0)</f>
        <v>2406628</v>
      </c>
      <c r="O760" s="275">
        <f>ROUND(AC73,0)</f>
        <v>529391</v>
      </c>
      <c r="P760" s="275">
        <f>IF(AC76&gt;0,ROUND(AC76,0),0)</f>
        <v>1032</v>
      </c>
      <c r="Q760" s="275">
        <f>IF(AC77&gt;0,ROUND(AC77,0),0)</f>
        <v>0</v>
      </c>
      <c r="R760" s="275">
        <f>IF(AC78&gt;0,ROUND(AC78,0),0)</f>
        <v>270</v>
      </c>
      <c r="S760" s="275">
        <f>IF(AC79&gt;0,ROUND(AC79,0),0)</f>
        <v>1816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340450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140*2021*7190*A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140*2021*7200*A</v>
      </c>
      <c r="B762" s="275">
        <f>ROUND(AE59,0)</f>
        <v>15095</v>
      </c>
      <c r="C762" s="277">
        <f>ROUND(AE60,2)</f>
        <v>3.87</v>
      </c>
      <c r="D762" s="275">
        <f>ROUND(AE61,0)</f>
        <v>296723</v>
      </c>
      <c r="E762" s="275">
        <f>ROUND(AE62,0)</f>
        <v>72317</v>
      </c>
      <c r="F762" s="275">
        <f>ROUND(AE63,0)</f>
        <v>980</v>
      </c>
      <c r="G762" s="275">
        <f>ROUND(AE64,0)</f>
        <v>19324</v>
      </c>
      <c r="H762" s="275">
        <f>ROUND(AE65,0)</f>
        <v>1269</v>
      </c>
      <c r="I762" s="275">
        <f>ROUND(AE66,0)</f>
        <v>1180420</v>
      </c>
      <c r="J762" s="275">
        <f>ROUND(AE67,0)</f>
        <v>4347</v>
      </c>
      <c r="K762" s="275">
        <f>ROUND(AE68,0)</f>
        <v>143794</v>
      </c>
      <c r="L762" s="275">
        <f>ROUND(AE69,0)</f>
        <v>2579</v>
      </c>
      <c r="M762" s="275">
        <f>ROUND(AE70,0)</f>
        <v>0</v>
      </c>
      <c r="N762" s="275">
        <f>ROUND(AE75,0)</f>
        <v>4311223</v>
      </c>
      <c r="O762" s="275">
        <f>ROUND(AE73,0)</f>
        <v>241595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1811</v>
      </c>
      <c r="S762" s="275">
        <f>IF(AE79&gt;0,ROUND(AE79,0),0)</f>
        <v>9079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597432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140*2021*7220*A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140*2021*7230*A</v>
      </c>
      <c r="B764" s="275">
        <f>ROUND(AG59,0)</f>
        <v>13988</v>
      </c>
      <c r="C764" s="277">
        <f>ROUND(AG60,2)</f>
        <v>32.21</v>
      </c>
      <c r="D764" s="275">
        <f>ROUND(AG61,0)</f>
        <v>5127040</v>
      </c>
      <c r="E764" s="275">
        <f>ROUND(AG62,0)</f>
        <v>1249552</v>
      </c>
      <c r="F764" s="275">
        <f>ROUND(AG63,0)</f>
        <v>0</v>
      </c>
      <c r="G764" s="275">
        <f>ROUND(AG64,0)</f>
        <v>359515</v>
      </c>
      <c r="H764" s="275">
        <f>ROUND(AG65,0)</f>
        <v>0</v>
      </c>
      <c r="I764" s="275">
        <f>ROUND(AG66,0)</f>
        <v>116245</v>
      </c>
      <c r="J764" s="275">
        <f>ROUND(AG67,0)</f>
        <v>112652</v>
      </c>
      <c r="K764" s="275">
        <f>ROUND(AG68,0)</f>
        <v>0</v>
      </c>
      <c r="L764" s="275">
        <f>ROUND(AG69,0)</f>
        <v>90133</v>
      </c>
      <c r="M764" s="275">
        <f>ROUND(AG70,0)</f>
        <v>0</v>
      </c>
      <c r="N764" s="275">
        <f>ROUND(AG75,0)</f>
        <v>20540911</v>
      </c>
      <c r="O764" s="275">
        <f>ROUND(AG73,0)</f>
        <v>400220</v>
      </c>
      <c r="P764" s="275">
        <f>IF(AG76&gt;0,ROUND(AG76,0),0)</f>
        <v>5160</v>
      </c>
      <c r="Q764" s="275">
        <f>IF(AG77&gt;0,ROUND(AG77,0),0)</f>
        <v>524</v>
      </c>
      <c r="R764" s="275">
        <f>IF(AG78&gt;0,ROUND(AG78,0),0)</f>
        <v>1352</v>
      </c>
      <c r="S764" s="275">
        <f>IF(AG79&gt;0,ROUND(AG79,0),0)</f>
        <v>72997</v>
      </c>
      <c r="T764" s="277">
        <f>IF(AG80&gt;0,ROUND(AG80,2),0)</f>
        <v>16.79</v>
      </c>
      <c r="U764" s="275"/>
      <c r="V764" s="276"/>
      <c r="W764" s="275"/>
      <c r="X764" s="275"/>
      <c r="Y764" s="275">
        <f t="shared" si="21"/>
        <v>2896925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140*2021*7240*A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140*2021*7250*A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140*2021*7260*A</v>
      </c>
      <c r="B767" s="275">
        <f>ROUND(AJ59,0)</f>
        <v>88964</v>
      </c>
      <c r="C767" s="277">
        <f>ROUND(AJ60,2)</f>
        <v>151.87</v>
      </c>
      <c r="D767" s="275">
        <f>ROUND(AJ61,0)</f>
        <v>17031935</v>
      </c>
      <c r="E767" s="275">
        <f>ROUND(AJ62,0)</f>
        <v>4150990</v>
      </c>
      <c r="F767" s="275">
        <f>ROUND(AJ63,0)</f>
        <v>732496</v>
      </c>
      <c r="G767" s="275">
        <f>ROUND(AJ64,0)</f>
        <v>1450896</v>
      </c>
      <c r="H767" s="275">
        <f>ROUND(AJ65,0)</f>
        <v>131786</v>
      </c>
      <c r="I767" s="275">
        <f>ROUND(AJ66,0)</f>
        <v>968496</v>
      </c>
      <c r="J767" s="275">
        <f>ROUND(AJ67,0)</f>
        <v>729837</v>
      </c>
      <c r="K767" s="275">
        <f>ROUND(AJ68,0)</f>
        <v>304705</v>
      </c>
      <c r="L767" s="275">
        <f>ROUND(AJ69,0)</f>
        <v>444804</v>
      </c>
      <c r="M767" s="275">
        <f>ROUND(AJ70,0)</f>
        <v>0</v>
      </c>
      <c r="N767" s="275">
        <f>ROUND(AJ75,0)</f>
        <v>29957923</v>
      </c>
      <c r="O767" s="275">
        <f>ROUND(AJ73,0)</f>
        <v>0</v>
      </c>
      <c r="P767" s="275">
        <f>IF(AJ76&gt;0,ROUND(AJ76,0),0)</f>
        <v>31709</v>
      </c>
      <c r="Q767" s="275">
        <f>IF(AJ77&gt;0,ROUND(AJ77,0),0)</f>
        <v>0</v>
      </c>
      <c r="R767" s="275">
        <f>IF(AJ78&gt;0,ROUND(AJ78,0),0)</f>
        <v>8308</v>
      </c>
      <c r="S767" s="275">
        <f>IF(AJ79&gt;0,ROUND(AJ79,0),0)</f>
        <v>29656</v>
      </c>
      <c r="T767" s="277">
        <f>IF(AJ80&gt;0,ROUND(AJ80,2),0)</f>
        <v>13.2</v>
      </c>
      <c r="U767" s="275"/>
      <c r="V767" s="276"/>
      <c r="W767" s="275"/>
      <c r="X767" s="275"/>
      <c r="Y767" s="275">
        <f t="shared" si="21"/>
        <v>6603762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140*2021*7310*A</v>
      </c>
      <c r="B768" s="275">
        <f>ROUND(AK59,0)</f>
        <v>3129</v>
      </c>
      <c r="C768" s="277">
        <f>ROUND(AK60,2)</f>
        <v>0</v>
      </c>
      <c r="D768" s="275">
        <f>ROUND(AK61,0)</f>
        <v>184</v>
      </c>
      <c r="E768" s="275">
        <f>ROUND(AK62,0)</f>
        <v>45</v>
      </c>
      <c r="F768" s="275">
        <f>ROUND(AK63,0)</f>
        <v>0</v>
      </c>
      <c r="G768" s="275">
        <f>ROUND(AK64,0)</f>
        <v>11661</v>
      </c>
      <c r="H768" s="275">
        <f>ROUND(AK65,0)</f>
        <v>0</v>
      </c>
      <c r="I768" s="275">
        <f>ROUND(AK66,0)</f>
        <v>281485</v>
      </c>
      <c r="J768" s="275">
        <f>ROUND(AK67,0)</f>
        <v>1964</v>
      </c>
      <c r="K768" s="275">
        <f>ROUND(AK68,0)</f>
        <v>45695</v>
      </c>
      <c r="L768" s="275">
        <f>ROUND(AK69,0)</f>
        <v>43</v>
      </c>
      <c r="M768" s="275">
        <f>ROUND(AK70,0)</f>
        <v>0</v>
      </c>
      <c r="N768" s="275">
        <f>ROUND(AK75,0)</f>
        <v>839886</v>
      </c>
      <c r="O768" s="275">
        <f>ROUND(AK73,0)</f>
        <v>76366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719</v>
      </c>
      <c r="S768" s="275">
        <f>IF(AK79&gt;0,ROUND(AK79,0),0)</f>
        <v>3632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138995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140*2021*7320*A</v>
      </c>
      <c r="B769" s="275">
        <f>ROUND(AL59,0)</f>
        <v>3176</v>
      </c>
      <c r="C769" s="277">
        <f>ROUND(AL60,2)</f>
        <v>0</v>
      </c>
      <c r="D769" s="275">
        <f>ROUND(AL61,0)</f>
        <v>513</v>
      </c>
      <c r="E769" s="275">
        <f>ROUND(AL62,0)</f>
        <v>125</v>
      </c>
      <c r="F769" s="275">
        <f>ROUND(AL63,0)</f>
        <v>11620</v>
      </c>
      <c r="G769" s="275">
        <f>ROUND(AL64,0)</f>
        <v>3766</v>
      </c>
      <c r="H769" s="275">
        <f>ROUND(AL65,0)</f>
        <v>0</v>
      </c>
      <c r="I769" s="275">
        <f>ROUND(AL66,0)</f>
        <v>295511</v>
      </c>
      <c r="J769" s="275">
        <f>ROUND(AL67,0)</f>
        <v>0</v>
      </c>
      <c r="K769" s="275">
        <f>ROUND(AL68,0)</f>
        <v>13428</v>
      </c>
      <c r="L769" s="275">
        <f>ROUND(AL69,0)</f>
        <v>43</v>
      </c>
      <c r="M769" s="275">
        <f>ROUND(AL70,0)</f>
        <v>0</v>
      </c>
      <c r="N769" s="275">
        <f>ROUND(AL75,0)</f>
        <v>794782</v>
      </c>
      <c r="O769" s="275">
        <f>ROUND(AL73,0)</f>
        <v>50384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211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96955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140*2021*7330*A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140*2021*7340*A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140*2021*7350*A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140*2021*7380*A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140*2021*7390*A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140*2021*7400*A</v>
      </c>
      <c r="B775" s="275">
        <f>ROUND(AR59,0)</f>
        <v>13181</v>
      </c>
      <c r="C775" s="277">
        <f>ROUND(AR60,2)</f>
        <v>18.87</v>
      </c>
      <c r="D775" s="275">
        <f>ROUND(AR61,0)</f>
        <v>1587175</v>
      </c>
      <c r="E775" s="275">
        <f>ROUND(AR62,0)</f>
        <v>386823</v>
      </c>
      <c r="F775" s="275">
        <f>ROUND(AR63,0)</f>
        <v>0</v>
      </c>
      <c r="G775" s="275">
        <f>ROUND(AR64,0)</f>
        <v>114416</v>
      </c>
      <c r="H775" s="275">
        <f>ROUND(AR65,0)</f>
        <v>0</v>
      </c>
      <c r="I775" s="275">
        <f>ROUND(AR66,0)</f>
        <v>225580</v>
      </c>
      <c r="J775" s="275">
        <f>ROUND(AR67,0)</f>
        <v>41697</v>
      </c>
      <c r="K775" s="275">
        <f>ROUND(AR68,0)</f>
        <v>37835</v>
      </c>
      <c r="L775" s="275">
        <f>ROUND(AR69,0)</f>
        <v>75623</v>
      </c>
      <c r="M775" s="275">
        <f>ROUND(AR70,0)</f>
        <v>0</v>
      </c>
      <c r="N775" s="275">
        <f>ROUND(AR75,0)</f>
        <v>2849159</v>
      </c>
      <c r="O775" s="275">
        <f>ROUND(AR73,0)</f>
        <v>0</v>
      </c>
      <c r="P775" s="275">
        <f>IF(AR76&gt;0,ROUND(AR76,0),0)</f>
        <v>1394</v>
      </c>
      <c r="Q775" s="275">
        <f>IF(AR77&gt;0,ROUND(AR77,0),0)</f>
        <v>0</v>
      </c>
      <c r="R775" s="275">
        <f>IF(AR78&gt;0,ROUND(AR78,0),0)</f>
        <v>366</v>
      </c>
      <c r="S775" s="275">
        <f>IF(AR79&gt;0,ROUND(AR79,0),0)</f>
        <v>0</v>
      </c>
      <c r="T775" s="277">
        <f>IF(AR80&gt;0,ROUND(AR80,2),0)</f>
        <v>6.44</v>
      </c>
      <c r="U775" s="275"/>
      <c r="V775" s="276"/>
      <c r="W775" s="275"/>
      <c r="X775" s="275"/>
      <c r="Y775" s="275">
        <f t="shared" si="21"/>
        <v>693597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140*2021*7410*A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140*2021*7420*A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140*2021*7430*A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140*2021*7490*A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140*2021*8200*A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140*2021*8310*A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140*2021*8320*A</v>
      </c>
      <c r="B782" s="275">
        <f>ROUND(AY59,0)</f>
        <v>11541</v>
      </c>
      <c r="C782" s="277">
        <f>ROUND(AY60,2)</f>
        <v>4.03</v>
      </c>
      <c r="D782" s="275">
        <f>ROUND(AY61,0)</f>
        <v>209790</v>
      </c>
      <c r="E782" s="275">
        <f>ROUND(AY62,0)</f>
        <v>51130</v>
      </c>
      <c r="F782" s="275">
        <f>ROUND(AY63,0)</f>
        <v>0</v>
      </c>
      <c r="G782" s="275">
        <f>ROUND(AY64,0)</f>
        <v>84687</v>
      </c>
      <c r="H782" s="275">
        <f>ROUND(AY65,0)</f>
        <v>56</v>
      </c>
      <c r="I782" s="275">
        <f>ROUND(AY66,0)</f>
        <v>7269</v>
      </c>
      <c r="J782" s="275">
        <f>ROUND(AY67,0)</f>
        <v>39507</v>
      </c>
      <c r="K782" s="275">
        <f>ROUND(AY68,0)</f>
        <v>543</v>
      </c>
      <c r="L782" s="275">
        <f>ROUND(AY69,0)</f>
        <v>6169</v>
      </c>
      <c r="M782" s="275">
        <f>ROUND(AY70,0)</f>
        <v>0</v>
      </c>
      <c r="N782" s="275"/>
      <c r="O782" s="275"/>
      <c r="P782" s="275">
        <f>IF(AY76&gt;0,ROUND(AY76,0),0)</f>
        <v>2628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140*2021*8330*A</v>
      </c>
      <c r="B783" s="275">
        <f>ROUND(AZ59,0)</f>
        <v>28225</v>
      </c>
      <c r="C783" s="277">
        <f>ROUND(AZ60,2)</f>
        <v>9.8699999999999992</v>
      </c>
      <c r="D783" s="275">
        <f>ROUND(AZ61,0)</f>
        <v>513624</v>
      </c>
      <c r="E783" s="275">
        <f>ROUND(AZ62,0)</f>
        <v>125179</v>
      </c>
      <c r="F783" s="275">
        <f>ROUND(AZ63,0)</f>
        <v>0</v>
      </c>
      <c r="G783" s="275">
        <f>ROUND(AZ64,0)</f>
        <v>207335</v>
      </c>
      <c r="H783" s="275">
        <f>ROUND(AZ65,0)</f>
        <v>0</v>
      </c>
      <c r="I783" s="275">
        <f>ROUND(AZ66,0)</f>
        <v>0</v>
      </c>
      <c r="J783" s="275">
        <f>ROUND(AZ67,0)</f>
        <v>22150</v>
      </c>
      <c r="K783" s="275">
        <f>ROUND(AZ68,0)</f>
        <v>1329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1372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140*2021*8350*A</v>
      </c>
      <c r="B784" s="275">
        <f>ROUND(BA59,0)</f>
        <v>0</v>
      </c>
      <c r="C784" s="277">
        <f>ROUND(BA60,2)</f>
        <v>2.89</v>
      </c>
      <c r="D784" s="275">
        <f>ROUND(BA61,0)</f>
        <v>129990</v>
      </c>
      <c r="E784" s="275">
        <f>ROUND(BA62,0)</f>
        <v>31681</v>
      </c>
      <c r="F784" s="275">
        <f>ROUND(BA63,0)</f>
        <v>0</v>
      </c>
      <c r="G784" s="275">
        <f>ROUND(BA64,0)</f>
        <v>30221</v>
      </c>
      <c r="H784" s="275">
        <f>ROUND(BA65,0)</f>
        <v>0</v>
      </c>
      <c r="I784" s="275">
        <f>ROUND(BA66,0)</f>
        <v>1152</v>
      </c>
      <c r="J784" s="275">
        <f>ROUND(BA67,0)</f>
        <v>18939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855</v>
      </c>
      <c r="Q784" s="275">
        <f>IF(BA77&gt;0,ROUND(BA77,0),0)</f>
        <v>0</v>
      </c>
      <c r="R784" s="275">
        <f>IF(BA78&gt;0,ROUND(BA78,0),0)</f>
        <v>224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140*2021*8360*A</v>
      </c>
      <c r="B785" s="275"/>
      <c r="C785" s="277">
        <f>ROUND(BB60,2)</f>
        <v>1.6</v>
      </c>
      <c r="D785" s="275">
        <f>ROUND(BB61,0)</f>
        <v>136099</v>
      </c>
      <c r="E785" s="275">
        <f>ROUND(BB62,0)</f>
        <v>33170</v>
      </c>
      <c r="F785" s="275">
        <f>ROUND(BB63,0)</f>
        <v>0</v>
      </c>
      <c r="G785" s="275">
        <f>ROUND(BB64,0)</f>
        <v>132</v>
      </c>
      <c r="H785" s="275">
        <f>ROUND(BB65,0)</f>
        <v>0</v>
      </c>
      <c r="I785" s="275">
        <f>ROUND(BB66,0)</f>
        <v>4191</v>
      </c>
      <c r="J785" s="275">
        <f>ROUND(BB67,0)</f>
        <v>0</v>
      </c>
      <c r="K785" s="275">
        <f>ROUND(BB68,0)</f>
        <v>0</v>
      </c>
      <c r="L785" s="275">
        <f>ROUND(BB69,0)</f>
        <v>59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140*2021*8370*A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140*2021*8420*A</v>
      </c>
      <c r="B787" s="275"/>
      <c r="C787" s="277">
        <f>ROUND(BD60,2)</f>
        <v>5.64</v>
      </c>
      <c r="D787" s="275">
        <f>ROUND(BD61,0)</f>
        <v>311435</v>
      </c>
      <c r="E787" s="275">
        <f>ROUND(BD62,0)</f>
        <v>75902</v>
      </c>
      <c r="F787" s="275">
        <f>ROUND(BD63,0)</f>
        <v>0</v>
      </c>
      <c r="G787" s="275">
        <f>ROUND(BD64,0)</f>
        <v>-155300</v>
      </c>
      <c r="H787" s="275">
        <f>ROUND(BD65,0)</f>
        <v>0</v>
      </c>
      <c r="I787" s="275">
        <f>ROUND(BD66,0)</f>
        <v>88599</v>
      </c>
      <c r="J787" s="275">
        <f>ROUND(BD67,0)</f>
        <v>23673</v>
      </c>
      <c r="K787" s="275">
        <f>ROUND(BD68,0)</f>
        <v>98</v>
      </c>
      <c r="L787" s="275">
        <f>ROUND(BD69,0)</f>
        <v>123748</v>
      </c>
      <c r="M787" s="275">
        <f>ROUND(BD70,0)</f>
        <v>0</v>
      </c>
      <c r="N787" s="275"/>
      <c r="O787" s="275"/>
      <c r="P787" s="275">
        <f>IF(BD76&gt;0,ROUND(BD76,0),0)</f>
        <v>1607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140*2021*8430*A</v>
      </c>
      <c r="B788" s="275">
        <f>ROUND(BE59,0)</f>
        <v>139151</v>
      </c>
      <c r="C788" s="277">
        <f>ROUND(BE60,2)</f>
        <v>7.5</v>
      </c>
      <c r="D788" s="275">
        <f>ROUND(BE61,0)</f>
        <v>566397</v>
      </c>
      <c r="E788" s="275">
        <f>ROUND(BE62,0)</f>
        <v>138041</v>
      </c>
      <c r="F788" s="275">
        <f>ROUND(BE63,0)</f>
        <v>0</v>
      </c>
      <c r="G788" s="275">
        <f>ROUND(BE64,0)</f>
        <v>72924</v>
      </c>
      <c r="H788" s="275">
        <f>ROUND(BE65,0)</f>
        <v>1025500</v>
      </c>
      <c r="I788" s="275">
        <f>ROUND(BE66,0)</f>
        <v>1156064</v>
      </c>
      <c r="J788" s="275">
        <f>ROUND(BE67,0)</f>
        <v>130894</v>
      </c>
      <c r="K788" s="275">
        <f>ROUND(BE68,0)</f>
        <v>2124</v>
      </c>
      <c r="L788" s="275">
        <f>ROUND(BE69,0)</f>
        <v>7049</v>
      </c>
      <c r="M788" s="275">
        <f>ROUND(BE70,0)</f>
        <v>0</v>
      </c>
      <c r="N788" s="275"/>
      <c r="O788" s="275"/>
      <c r="P788" s="275">
        <f>IF(BE76&gt;0,ROUND(BE76,0),0)</f>
        <v>5182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140*2021*8460*A</v>
      </c>
      <c r="B789" s="275"/>
      <c r="C789" s="277">
        <f>ROUND(BF60,2)</f>
        <v>19.27</v>
      </c>
      <c r="D789" s="275">
        <f>ROUND(BF61,0)</f>
        <v>856838</v>
      </c>
      <c r="E789" s="275">
        <f>ROUND(BF62,0)</f>
        <v>208827</v>
      </c>
      <c r="F789" s="275">
        <f>ROUND(BF63,0)</f>
        <v>0</v>
      </c>
      <c r="G789" s="275">
        <f>ROUND(BF64,0)</f>
        <v>330194</v>
      </c>
      <c r="H789" s="275">
        <f>ROUND(BF65,0)</f>
        <v>0</v>
      </c>
      <c r="I789" s="275">
        <f>ROUND(BF66,0)</f>
        <v>314046</v>
      </c>
      <c r="J789" s="275">
        <f>ROUND(BF67,0)</f>
        <v>7387</v>
      </c>
      <c r="K789" s="275">
        <f>ROUND(BF68,0)</f>
        <v>0</v>
      </c>
      <c r="L789" s="275">
        <f>ROUND(BF69,0)</f>
        <v>379</v>
      </c>
      <c r="M789" s="275">
        <f>ROUND(BF70,0)</f>
        <v>0</v>
      </c>
      <c r="N789" s="275"/>
      <c r="O789" s="275"/>
      <c r="P789" s="275">
        <f>IF(BF76&gt;0,ROUND(BF76,0),0)</f>
        <v>343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140*2021*8470*A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140*2021*8480*A</v>
      </c>
      <c r="B791" s="275"/>
      <c r="C791" s="277">
        <f>ROUND(BH60,2)</f>
        <v>15.29</v>
      </c>
      <c r="D791" s="275">
        <f>ROUND(BH61,0)</f>
        <v>1446152</v>
      </c>
      <c r="E791" s="275">
        <f>ROUND(BH62,0)</f>
        <v>352453</v>
      </c>
      <c r="F791" s="275">
        <f>ROUND(BH63,0)</f>
        <v>0</v>
      </c>
      <c r="G791" s="275">
        <f>ROUND(BH64,0)</f>
        <v>235525</v>
      </c>
      <c r="H791" s="275">
        <f>ROUND(BH65,0)</f>
        <v>19059</v>
      </c>
      <c r="I791" s="275">
        <f>ROUND(BH66,0)</f>
        <v>2602857</v>
      </c>
      <c r="J791" s="275">
        <f>ROUND(BH67,0)</f>
        <v>1075172</v>
      </c>
      <c r="K791" s="275">
        <f>ROUND(BH68,0)</f>
        <v>0</v>
      </c>
      <c r="L791" s="275">
        <f>ROUND(BH69,0)</f>
        <v>460</v>
      </c>
      <c r="M791" s="275">
        <f>ROUND(BH70,0)</f>
        <v>0</v>
      </c>
      <c r="N791" s="275"/>
      <c r="O791" s="275"/>
      <c r="P791" s="275">
        <f>IF(BH76&gt;0,ROUND(BH76,0),0)</f>
        <v>3456</v>
      </c>
      <c r="Q791" s="275">
        <f>IF(BH77&gt;0,ROUND(BH77,0),0)</f>
        <v>0</v>
      </c>
      <c r="R791" s="275">
        <f>IF(BH78&gt;0,ROUND(BH78,0),0)</f>
        <v>881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140*2021*8490*A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140*2021*8510*A</v>
      </c>
      <c r="B793" s="275"/>
      <c r="C793" s="277">
        <f>ROUND(BJ60,2)</f>
        <v>5.93</v>
      </c>
      <c r="D793" s="275">
        <f>ROUND(BJ61,0)</f>
        <v>492710</v>
      </c>
      <c r="E793" s="275">
        <f>ROUND(BJ62,0)</f>
        <v>120082</v>
      </c>
      <c r="F793" s="275">
        <f>ROUND(BJ63,0)</f>
        <v>56692</v>
      </c>
      <c r="G793" s="275">
        <f>ROUND(BJ64,0)</f>
        <v>4973</v>
      </c>
      <c r="H793" s="275">
        <f>ROUND(BJ65,0)</f>
        <v>0</v>
      </c>
      <c r="I793" s="275">
        <f>ROUND(BJ66,0)</f>
        <v>258163</v>
      </c>
      <c r="J793" s="275">
        <f>ROUND(BJ67,0)</f>
        <v>10523</v>
      </c>
      <c r="K793" s="275">
        <f>ROUND(BJ68,0)</f>
        <v>0</v>
      </c>
      <c r="L793" s="275">
        <f>ROUND(BJ69,0)</f>
        <v>923</v>
      </c>
      <c r="M793" s="275">
        <f>ROUND(BJ70,0)</f>
        <v>0</v>
      </c>
      <c r="N793" s="275"/>
      <c r="O793" s="275"/>
      <c r="P793" s="275">
        <f>IF(BJ76&gt;0,ROUND(BJ76,0),0)</f>
        <v>664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140*2021*8530*A</v>
      </c>
      <c r="B794" s="275"/>
      <c r="C794" s="277">
        <f>ROUND(BK60,2)</f>
        <v>19.3</v>
      </c>
      <c r="D794" s="275">
        <f>ROUND(BK61,0)</f>
        <v>1217369</v>
      </c>
      <c r="E794" s="275">
        <f>ROUND(BK62,0)</f>
        <v>296695</v>
      </c>
      <c r="F794" s="275">
        <f>ROUND(BK63,0)</f>
        <v>15600</v>
      </c>
      <c r="G794" s="275">
        <f>ROUND(BK64,0)</f>
        <v>17070</v>
      </c>
      <c r="H794" s="275">
        <f>ROUND(BK65,0)</f>
        <v>1100</v>
      </c>
      <c r="I794" s="275">
        <f>ROUND(BK66,0)</f>
        <v>649130</v>
      </c>
      <c r="J794" s="275">
        <f>ROUND(BK67,0)</f>
        <v>119980</v>
      </c>
      <c r="K794" s="275">
        <f>ROUND(BK68,0)</f>
        <v>0</v>
      </c>
      <c r="L794" s="275">
        <f>ROUND(BK69,0)</f>
        <v>9899</v>
      </c>
      <c r="M794" s="275">
        <f>ROUND(BK70,0)</f>
        <v>0</v>
      </c>
      <c r="N794" s="275"/>
      <c r="O794" s="275"/>
      <c r="P794" s="275">
        <f>IF(BK76&gt;0,ROUND(BK76,0),0)</f>
        <v>7998</v>
      </c>
      <c r="Q794" s="275">
        <f>IF(BK77&gt;0,ROUND(BK77,0),0)</f>
        <v>0</v>
      </c>
      <c r="R794" s="275">
        <f>IF(BK78&gt;0,ROUND(BK78,0),0)</f>
        <v>2096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140*2021*8560*A</v>
      </c>
      <c r="B795" s="275"/>
      <c r="C795" s="277">
        <f>ROUND(BL60,2)</f>
        <v>14.56</v>
      </c>
      <c r="D795" s="275">
        <f>ROUND(BL61,0)</f>
        <v>686702</v>
      </c>
      <c r="E795" s="275">
        <f>ROUND(BL62,0)</f>
        <v>167362</v>
      </c>
      <c r="F795" s="275">
        <f>ROUND(BL63,0)</f>
        <v>0</v>
      </c>
      <c r="G795" s="275">
        <f>ROUND(BL64,0)</f>
        <v>33127</v>
      </c>
      <c r="H795" s="275">
        <f>ROUND(BL65,0)</f>
        <v>0</v>
      </c>
      <c r="I795" s="275">
        <f>ROUND(BL66,0)</f>
        <v>9890</v>
      </c>
      <c r="J795" s="275">
        <f>ROUND(BL67,0)</f>
        <v>6202</v>
      </c>
      <c r="K795" s="275">
        <f>ROUND(BL68,0)</f>
        <v>0</v>
      </c>
      <c r="L795" s="275">
        <f>ROUND(BL69,0)</f>
        <v>878</v>
      </c>
      <c r="M795" s="275">
        <f>ROUND(BL70,0)</f>
        <v>0</v>
      </c>
      <c r="N795" s="275"/>
      <c r="O795" s="275"/>
      <c r="P795" s="275">
        <f>IF(BL76&gt;0,ROUND(BL76,0),0)</f>
        <v>421</v>
      </c>
      <c r="Q795" s="275">
        <f>IF(BL77&gt;0,ROUND(BL77,0),0)</f>
        <v>0</v>
      </c>
      <c r="R795" s="275">
        <f>IF(BL78&gt;0,ROUND(BL78,0),0)</f>
        <v>110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140*2021*8590*A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140*2021*8610*A</v>
      </c>
      <c r="B797" s="275"/>
      <c r="C797" s="277">
        <f>ROUND(BN60,2)</f>
        <v>6.5</v>
      </c>
      <c r="D797" s="275">
        <f>ROUND(BN61,0)</f>
        <v>1059123</v>
      </c>
      <c r="E797" s="275">
        <f>ROUND(BN62,0)</f>
        <v>258127</v>
      </c>
      <c r="F797" s="275">
        <f>ROUND(BN63,0)</f>
        <v>51173</v>
      </c>
      <c r="G797" s="275">
        <f>ROUND(BN64,0)</f>
        <v>52108</v>
      </c>
      <c r="H797" s="275">
        <f>ROUND(BN65,0)</f>
        <v>0</v>
      </c>
      <c r="I797" s="275">
        <f>ROUND(BN66,0)</f>
        <v>47283</v>
      </c>
      <c r="J797" s="275">
        <f>ROUND(BN67,0)</f>
        <v>447889</v>
      </c>
      <c r="K797" s="275">
        <f>ROUND(BN68,0)</f>
        <v>56038</v>
      </c>
      <c r="L797" s="275">
        <f>ROUND(BN69,0)</f>
        <v>1936563</v>
      </c>
      <c r="M797" s="275">
        <f>ROUND(BN70,0)</f>
        <v>0</v>
      </c>
      <c r="N797" s="275"/>
      <c r="O797" s="275"/>
      <c r="P797" s="275">
        <f>IF(BN76&gt;0,ROUND(BN76,0),0)</f>
        <v>29935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140*2021*8620*A</v>
      </c>
      <c r="B798" s="275"/>
      <c r="C798" s="277">
        <f>ROUND(BO60,2)</f>
        <v>5.99</v>
      </c>
      <c r="D798" s="275">
        <f>ROUND(BO61,0)</f>
        <v>495392</v>
      </c>
      <c r="E798" s="275">
        <f>ROUND(BO62,0)</f>
        <v>120736</v>
      </c>
      <c r="F798" s="275">
        <f>ROUND(BO63,0)</f>
        <v>0</v>
      </c>
      <c r="G798" s="275">
        <f>ROUND(BO64,0)</f>
        <v>7292</v>
      </c>
      <c r="H798" s="275">
        <f>ROUND(BO65,0)</f>
        <v>4926</v>
      </c>
      <c r="I798" s="275">
        <f>ROUND(BO66,0)</f>
        <v>121026</v>
      </c>
      <c r="J798" s="275">
        <f>ROUND(BO67,0)</f>
        <v>3358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140*2021*8630*A</v>
      </c>
      <c r="B799" s="275"/>
      <c r="C799" s="277">
        <f>ROUND(BP60,2)</f>
        <v>3.13</v>
      </c>
      <c r="D799" s="275">
        <f>ROUND(BP61,0)</f>
        <v>319616</v>
      </c>
      <c r="E799" s="275">
        <f>ROUND(BP62,0)</f>
        <v>77896</v>
      </c>
      <c r="F799" s="275">
        <f>ROUND(BP63,0)</f>
        <v>0</v>
      </c>
      <c r="G799" s="275">
        <f>ROUND(BP64,0)</f>
        <v>4091</v>
      </c>
      <c r="H799" s="275">
        <f>ROUND(BP65,0)</f>
        <v>0</v>
      </c>
      <c r="I799" s="275">
        <f>ROUND(BP66,0)</f>
        <v>35781</v>
      </c>
      <c r="J799" s="275">
        <f>ROUND(BP67,0)</f>
        <v>0</v>
      </c>
      <c r="K799" s="275">
        <f>ROUND(BP68,0)</f>
        <v>0</v>
      </c>
      <c r="L799" s="275">
        <f>ROUND(BP69,0)</f>
        <v>152506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140*2021*8640*A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140*2021*8650*A</v>
      </c>
      <c r="B801" s="275"/>
      <c r="C801" s="277">
        <f>ROUND(BR60,2)</f>
        <v>5.47</v>
      </c>
      <c r="D801" s="275">
        <f>ROUND(BR61,0)</f>
        <v>476065</v>
      </c>
      <c r="E801" s="275">
        <f>ROUND(BR62,0)</f>
        <v>116026</v>
      </c>
      <c r="F801" s="275">
        <f>ROUND(BR63,0)</f>
        <v>22468</v>
      </c>
      <c r="G801" s="275">
        <f>ROUND(BR64,0)</f>
        <v>4283</v>
      </c>
      <c r="H801" s="275">
        <f>ROUND(BR65,0)</f>
        <v>0</v>
      </c>
      <c r="I801" s="275">
        <f>ROUND(BR66,0)</f>
        <v>169765</v>
      </c>
      <c r="J801" s="275">
        <f>ROUND(BR67,0)</f>
        <v>62021</v>
      </c>
      <c r="K801" s="275">
        <f>ROUND(BR68,0)</f>
        <v>0</v>
      </c>
      <c r="L801" s="275">
        <f>ROUND(BR69,0)</f>
        <v>57800</v>
      </c>
      <c r="M801" s="275">
        <f>ROUND(BR70,0)</f>
        <v>0</v>
      </c>
      <c r="N801" s="275"/>
      <c r="O801" s="275"/>
      <c r="P801" s="275">
        <f>IF(BR76&gt;0,ROUND(BR76,0),0)</f>
        <v>1527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140*2021*8660*A</v>
      </c>
      <c r="B802" s="275"/>
      <c r="C802" s="277">
        <f>ROUND(BS60,2)</f>
        <v>0.51</v>
      </c>
      <c r="D802" s="275">
        <f>ROUND(BS61,0)</f>
        <v>34125</v>
      </c>
      <c r="E802" s="275">
        <f>ROUND(BS62,0)</f>
        <v>8317</v>
      </c>
      <c r="F802" s="275">
        <f>ROUND(BS63,0)</f>
        <v>0</v>
      </c>
      <c r="G802" s="275">
        <f>ROUND(BS64,0)</f>
        <v>7623</v>
      </c>
      <c r="H802" s="275">
        <f>ROUND(BS65,0)</f>
        <v>0</v>
      </c>
      <c r="I802" s="275">
        <f>ROUND(BS66,0)</f>
        <v>907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140*2021*8670*A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140*2021*8680*A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140*2021*8690*A</v>
      </c>
      <c r="B805" s="275"/>
      <c r="C805" s="277">
        <f>ROUND(BV60,2)</f>
        <v>22.05</v>
      </c>
      <c r="D805" s="275">
        <f>ROUND(BV61,0)</f>
        <v>1289084</v>
      </c>
      <c r="E805" s="275">
        <f>ROUND(BV62,0)</f>
        <v>314173</v>
      </c>
      <c r="F805" s="275">
        <f>ROUND(BV63,0)</f>
        <v>0</v>
      </c>
      <c r="G805" s="275">
        <f>ROUND(BV64,0)</f>
        <v>10239</v>
      </c>
      <c r="H805" s="275">
        <f>ROUND(BV65,0)</f>
        <v>0</v>
      </c>
      <c r="I805" s="275">
        <f>ROUND(BV66,0)</f>
        <v>478452</v>
      </c>
      <c r="J805" s="275">
        <f>ROUND(BV67,0)</f>
        <v>5669</v>
      </c>
      <c r="K805" s="275">
        <f>ROUND(BV68,0)</f>
        <v>0</v>
      </c>
      <c r="L805" s="275">
        <f>ROUND(BV69,0)</f>
        <v>2229</v>
      </c>
      <c r="M805" s="275">
        <f>ROUND(BV70,0)</f>
        <v>0</v>
      </c>
      <c r="N805" s="275"/>
      <c r="O805" s="275"/>
      <c r="P805" s="275">
        <f>IF(BV76&gt;0,ROUND(BV76,0),0)</f>
        <v>0</v>
      </c>
      <c r="Q805" s="275">
        <f>IF(BV77&gt;0,ROUND(BV77,0),0)</f>
        <v>0</v>
      </c>
      <c r="R805" s="275">
        <f>IF(BV78&gt;0,ROUND(BV78,0),0)</f>
        <v>408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140*2021*8700*A</v>
      </c>
      <c r="B806" s="275"/>
      <c r="C806" s="277">
        <f>ROUND(BW60,2)</f>
        <v>3.6</v>
      </c>
      <c r="D806" s="275">
        <f>ROUND(BW61,0)</f>
        <v>835882</v>
      </c>
      <c r="E806" s="275">
        <f>ROUND(BW62,0)</f>
        <v>203720</v>
      </c>
      <c r="F806" s="275">
        <f>ROUND(BW63,0)</f>
        <v>0</v>
      </c>
      <c r="G806" s="275">
        <f>ROUND(BW64,0)</f>
        <v>3863</v>
      </c>
      <c r="H806" s="275">
        <f>ROUND(BW65,0)</f>
        <v>0</v>
      </c>
      <c r="I806" s="275">
        <f>ROUND(BW66,0)</f>
        <v>27422</v>
      </c>
      <c r="J806" s="275">
        <f>ROUND(BW67,0)</f>
        <v>1237</v>
      </c>
      <c r="K806" s="275">
        <f>ROUND(BW68,0)</f>
        <v>0</v>
      </c>
      <c r="L806" s="275">
        <f>ROUND(BW69,0)</f>
        <v>114880</v>
      </c>
      <c r="M806" s="275">
        <f>ROUND(BW70,0)</f>
        <v>0</v>
      </c>
      <c r="N806" s="275"/>
      <c r="O806" s="275"/>
      <c r="P806" s="275">
        <f>IF(BW76&gt;0,ROUND(BW76,0),0)</f>
        <v>84</v>
      </c>
      <c r="Q806" s="275">
        <f>IF(BW77&gt;0,ROUND(BW77,0),0)</f>
        <v>0</v>
      </c>
      <c r="R806" s="275">
        <f>IF(BW78&gt;0,ROUND(BW78,0),0)</f>
        <v>22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140*2021*8710*A</v>
      </c>
      <c r="B807" s="275"/>
      <c r="C807" s="277">
        <f>ROUND(BX60,2)</f>
        <v>5.93</v>
      </c>
      <c r="D807" s="275">
        <f>ROUND(BX61,0)</f>
        <v>612511</v>
      </c>
      <c r="E807" s="275">
        <f>ROUND(BX62,0)</f>
        <v>149280</v>
      </c>
      <c r="F807" s="275">
        <f>ROUND(BX63,0)</f>
        <v>4961</v>
      </c>
      <c r="G807" s="275">
        <f>ROUND(BX64,0)</f>
        <v>3115</v>
      </c>
      <c r="H807" s="275">
        <f>ROUND(BX65,0)</f>
        <v>0</v>
      </c>
      <c r="I807" s="275">
        <f>ROUND(BX66,0)</f>
        <v>104137</v>
      </c>
      <c r="J807" s="275">
        <f>ROUND(BX67,0)</f>
        <v>576</v>
      </c>
      <c r="K807" s="275">
        <f>ROUND(BX68,0)</f>
        <v>0</v>
      </c>
      <c r="L807" s="275">
        <f>ROUND(BX69,0)</f>
        <v>18685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22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140*2021*8720*A</v>
      </c>
      <c r="B808" s="275"/>
      <c r="C808" s="277">
        <f>ROUND(BY60,2)</f>
        <v>8.3000000000000007</v>
      </c>
      <c r="D808" s="275">
        <f>ROUND(BY61,0)</f>
        <v>1049615</v>
      </c>
      <c r="E808" s="275">
        <f>ROUND(BY62,0)</f>
        <v>255810</v>
      </c>
      <c r="F808" s="275">
        <f>ROUND(BY63,0)</f>
        <v>0</v>
      </c>
      <c r="G808" s="275">
        <f>ROUND(BY64,0)</f>
        <v>14348</v>
      </c>
      <c r="H808" s="275">
        <f>ROUND(BY65,0)</f>
        <v>0</v>
      </c>
      <c r="I808" s="275">
        <f>ROUND(BY66,0)</f>
        <v>516978</v>
      </c>
      <c r="J808" s="275">
        <f>ROUND(BY67,0)</f>
        <v>10009</v>
      </c>
      <c r="K808" s="275">
        <f>ROUND(BY68,0)</f>
        <v>0</v>
      </c>
      <c r="L808" s="275">
        <f>ROUND(BY69,0)</f>
        <v>3676</v>
      </c>
      <c r="M808" s="275">
        <f>ROUND(BY70,0)</f>
        <v>0</v>
      </c>
      <c r="N808" s="275"/>
      <c r="O808" s="275"/>
      <c r="P808" s="275">
        <f>IF(BY76&gt;0,ROUND(BY76,0),0)</f>
        <v>474</v>
      </c>
      <c r="Q808" s="275">
        <f>IF(BY77&gt;0,ROUND(BY77,0),0)</f>
        <v>0</v>
      </c>
      <c r="R808" s="275">
        <f>IF(BY78&gt;0,ROUND(BY78,0),0)</f>
        <v>732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140*2021*8730*A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140*2021*8740*A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140*2021*8770*A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140*2021*8790*A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140*2021*9000*A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0</v>
      </c>
      <c r="X813" s="275">
        <f>ROUND(C131,0)</f>
        <v>77481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2">SUM(C734:C813)</f>
        <v>529.9</v>
      </c>
      <c r="D815" s="276">
        <f t="shared" si="22"/>
        <v>50820948</v>
      </c>
      <c r="E815" s="276">
        <f t="shared" si="22"/>
        <v>12385981</v>
      </c>
      <c r="F815" s="276">
        <f t="shared" si="22"/>
        <v>917875</v>
      </c>
      <c r="G815" s="276">
        <f t="shared" si="22"/>
        <v>12099940</v>
      </c>
      <c r="H815" s="276">
        <f t="shared" si="22"/>
        <v>1185983</v>
      </c>
      <c r="I815" s="276">
        <f t="shared" si="22"/>
        <v>14030879</v>
      </c>
      <c r="J815" s="276">
        <f t="shared" si="22"/>
        <v>4416656</v>
      </c>
      <c r="K815" s="276">
        <f t="shared" si="22"/>
        <v>1263014</v>
      </c>
      <c r="L815" s="276">
        <f>SUM(L734:L813)+SUM(U734:U813)</f>
        <v>3124571</v>
      </c>
      <c r="M815" s="276">
        <f>SUM(M734:M813)+SUM(V734:V813)</f>
        <v>0</v>
      </c>
      <c r="N815" s="276">
        <f t="shared" ref="N815:Y815" si="23">SUM(N734:N813)</f>
        <v>198630104</v>
      </c>
      <c r="O815" s="276">
        <f t="shared" si="23"/>
        <v>26135038</v>
      </c>
      <c r="P815" s="276">
        <f t="shared" si="23"/>
        <v>139151</v>
      </c>
      <c r="Q815" s="276">
        <f t="shared" si="23"/>
        <v>11541</v>
      </c>
      <c r="R815" s="276">
        <f t="shared" si="23"/>
        <v>28751</v>
      </c>
      <c r="S815" s="276">
        <f t="shared" si="23"/>
        <v>417220</v>
      </c>
      <c r="T815" s="280">
        <f t="shared" si="23"/>
        <v>96.810000000000016</v>
      </c>
      <c r="U815" s="276">
        <f t="shared" si="23"/>
        <v>0</v>
      </c>
      <c r="V815" s="276">
        <f t="shared" si="23"/>
        <v>0</v>
      </c>
      <c r="W815" s="276">
        <f t="shared" si="23"/>
        <v>0</v>
      </c>
      <c r="X815" s="276">
        <f t="shared" si="23"/>
        <v>77481</v>
      </c>
      <c r="Y815" s="276">
        <f t="shared" si="23"/>
        <v>29086844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529.9</v>
      </c>
      <c r="D816" s="276">
        <f>CE61</f>
        <v>50820948</v>
      </c>
      <c r="E816" s="276">
        <f>CE62</f>
        <v>12385981</v>
      </c>
      <c r="F816" s="276">
        <f>CE63</f>
        <v>917875</v>
      </c>
      <c r="G816" s="276">
        <f>CE64</f>
        <v>12099940</v>
      </c>
      <c r="H816" s="279">
        <f>CE65</f>
        <v>1185983</v>
      </c>
      <c r="I816" s="279">
        <f>CE66</f>
        <v>14030879</v>
      </c>
      <c r="J816" s="279">
        <f>CE67</f>
        <v>4416656</v>
      </c>
      <c r="K816" s="279">
        <f>CE68</f>
        <v>1263014</v>
      </c>
      <c r="L816" s="279">
        <f>CE69</f>
        <v>3124571</v>
      </c>
      <c r="M816" s="279">
        <f>CE70</f>
        <v>0</v>
      </c>
      <c r="N816" s="276">
        <f>CE75</f>
        <v>198630104</v>
      </c>
      <c r="O816" s="276">
        <f>CE73</f>
        <v>26135038</v>
      </c>
      <c r="P816" s="276">
        <f>CE76</f>
        <v>139151</v>
      </c>
      <c r="Q816" s="276">
        <f>CE77</f>
        <v>11541</v>
      </c>
      <c r="R816" s="276">
        <f>CE78</f>
        <v>28751</v>
      </c>
      <c r="S816" s="276">
        <f>CE79</f>
        <v>417220</v>
      </c>
      <c r="T816" s="280">
        <f>CE80</f>
        <v>96.809999999999988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29086844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50820948</v>
      </c>
      <c r="E817" s="180">
        <f>C379</f>
        <v>12385981</v>
      </c>
      <c r="F817" s="180">
        <f>C380</f>
        <v>917874</v>
      </c>
      <c r="G817" s="240">
        <f>C381</f>
        <v>12099940</v>
      </c>
      <c r="H817" s="240">
        <f>C382</f>
        <v>1185983</v>
      </c>
      <c r="I817" s="240">
        <f>C383</f>
        <v>14030879</v>
      </c>
      <c r="J817" s="240">
        <f>C384</f>
        <v>4416659</v>
      </c>
      <c r="K817" s="240">
        <f>C385</f>
        <v>1263014</v>
      </c>
      <c r="L817" s="240">
        <f>C386+C387+C388+C389</f>
        <v>3124572</v>
      </c>
      <c r="M817" s="240">
        <f>C370</f>
        <v>4307325</v>
      </c>
      <c r="N817" s="180">
        <f>D361</f>
        <v>198630104</v>
      </c>
      <c r="O817" s="180">
        <f>C359</f>
        <v>26135038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4" transitionEvaluation="1" transitionEntry="1" codeName="Sheet10">
    <pageSetUpPr autoPageBreaks="0" fitToPage="1"/>
  </sheetPr>
  <dimension ref="A1:CF816"/>
  <sheetViews>
    <sheetView showGridLines="0" topLeftCell="A54" zoomScale="75" workbookViewId="0">
      <selection activeCell="D78" sqref="D7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1" t="s">
        <v>1265</v>
      </c>
      <c r="C16" s="235"/>
    </row>
    <row r="17" spans="1:7" ht="12.75" customHeight="1" x14ac:dyDescent="0.3">
      <c r="A17" s="291" t="s">
        <v>1264</v>
      </c>
      <c r="C17" s="286"/>
      <c r="F17" s="236"/>
    </row>
    <row r="18" spans="1:7" ht="12.75" customHeight="1" x14ac:dyDescent="0.3">
      <c r="A18" s="289"/>
      <c r="C18" s="235"/>
    </row>
    <row r="19" spans="1:7" ht="12.75" customHeight="1" x14ac:dyDescent="0.3">
      <c r="C19" s="235"/>
    </row>
    <row r="20" spans="1:7" ht="12.75" customHeight="1" x14ac:dyDescent="0.3">
      <c r="A20" s="272" t="s">
        <v>1233</v>
      </c>
      <c r="B20" s="272"/>
      <c r="C20" s="287"/>
      <c r="D20" s="272"/>
      <c r="E20" s="272"/>
      <c r="F20" s="272"/>
      <c r="G20" s="272"/>
    </row>
    <row r="21" spans="1:7" ht="22.5" customHeight="1" x14ac:dyDescent="0.3">
      <c r="A21" s="199"/>
      <c r="C21" s="235"/>
    </row>
    <row r="22" spans="1:7" ht="12.65" customHeight="1" x14ac:dyDescent="0.3">
      <c r="A22" s="272" t="s">
        <v>1253</v>
      </c>
      <c r="B22" s="290"/>
      <c r="C22" s="287"/>
      <c r="D22" s="272"/>
      <c r="E22" s="272"/>
      <c r="F22" s="272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">
      <c r="A47" s="294" t="s">
        <v>204</v>
      </c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4"/>
      <c r="CE47" s="294">
        <f>SUM(C47:CC47)</f>
        <v>0</v>
      </c>
      <c r="CF47" s="2"/>
    </row>
    <row r="48" spans="1:84" ht="12.65" customHeight="1" x14ac:dyDescent="0.3">
      <c r="A48" s="294" t="s">
        <v>205</v>
      </c>
      <c r="B48" s="298">
        <v>10498081</v>
      </c>
      <c r="C48" s="300">
        <f>ROUND(((B48/CE61)*C61),0)</f>
        <v>289469</v>
      </c>
      <c r="D48" s="300">
        <f>ROUND(((B48/CE61)*D61),0)</f>
        <v>0</v>
      </c>
      <c r="E48" s="294">
        <f>ROUND(((B48/CE61)*E61),0)</f>
        <v>361179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0</v>
      </c>
      <c r="I48" s="294">
        <f>ROUND(((B48/CE61)*I61),0)</f>
        <v>0</v>
      </c>
      <c r="J48" s="294">
        <f>ROUND(((B48/CE61)*J61),0)</f>
        <v>27386</v>
      </c>
      <c r="K48" s="294">
        <f>ROUND(((B48/CE61)*K61),0)</f>
        <v>0</v>
      </c>
      <c r="L48" s="294">
        <f>ROUND(((B48/CE61)*L61),0)</f>
        <v>0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318778</v>
      </c>
      <c r="P48" s="294">
        <f>ROUND(((B48/CE61)*P61),0)</f>
        <v>543624</v>
      </c>
      <c r="Q48" s="294">
        <f>ROUND(((B48/CE61)*Q61),0)</f>
        <v>30217</v>
      </c>
      <c r="R48" s="294">
        <f>ROUND(((B48/CE61)*R61),0)</f>
        <v>0</v>
      </c>
      <c r="S48" s="294">
        <f>ROUND(((B48/CE61)*S61),0)</f>
        <v>41991</v>
      </c>
      <c r="T48" s="294">
        <f>ROUND(((B48/CE61)*T61),0)</f>
        <v>0</v>
      </c>
      <c r="U48" s="294">
        <f>ROUND(((B48/CE61)*U61),0)</f>
        <v>487769</v>
      </c>
      <c r="V48" s="294">
        <f>ROUND(((B48/CE61)*V61),0)</f>
        <v>0</v>
      </c>
      <c r="W48" s="294">
        <f>ROUND(((B48/CE61)*W61),0)</f>
        <v>0</v>
      </c>
      <c r="X48" s="294">
        <f>ROUND(((B48/CE61)*X61),0)</f>
        <v>129836</v>
      </c>
      <c r="Y48" s="294">
        <f>ROUND(((B48/CE61)*Y61),0)</f>
        <v>213787</v>
      </c>
      <c r="Z48" s="294">
        <f>ROUND(((B48/CE61)*Z61),0)</f>
        <v>0</v>
      </c>
      <c r="AA48" s="294">
        <f>ROUND(((B48/CE61)*AA61),0)</f>
        <v>0</v>
      </c>
      <c r="AB48" s="294">
        <f>ROUND(((B48/CE61)*AB61),0)</f>
        <v>292555</v>
      </c>
      <c r="AC48" s="294">
        <f>ROUND(((B48/CE61)*AC61),0)</f>
        <v>125391</v>
      </c>
      <c r="AD48" s="294">
        <f>ROUND(((B48/CE61)*AD61),0)</f>
        <v>0</v>
      </c>
      <c r="AE48" s="294">
        <f>ROUND(((B48/CE61)*AE61),0)</f>
        <v>51834</v>
      </c>
      <c r="AF48" s="294">
        <f>ROUND(((B48/CE61)*AF61),0)</f>
        <v>0</v>
      </c>
      <c r="AG48" s="294">
        <f>ROUND(((B48/CE61)*AG61),0)</f>
        <v>1067996</v>
      </c>
      <c r="AH48" s="294">
        <f>ROUND(((B48/CE61)*AH61),0)</f>
        <v>0</v>
      </c>
      <c r="AI48" s="294">
        <f>ROUND(((B48/CE61)*AI61),0)</f>
        <v>0</v>
      </c>
      <c r="AJ48" s="294">
        <f>ROUND(((B48/CE61)*AJ61),0)</f>
        <v>3576724</v>
      </c>
      <c r="AK48" s="294">
        <f>ROUND(((B48/CE61)*AK61),0)</f>
        <v>0</v>
      </c>
      <c r="AL48" s="294">
        <f>ROUND(((B48/CE61)*AL61),0)</f>
        <v>0</v>
      </c>
      <c r="AM48" s="294">
        <f>ROUND(((B48/CE61)*AM61),0)</f>
        <v>0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380920</v>
      </c>
      <c r="AS48" s="294">
        <f>ROUND(((B48/CE61)*AS61),0)</f>
        <v>0</v>
      </c>
      <c r="AT48" s="294">
        <f>ROUND(((B48/CE61)*AT61),0)</f>
        <v>0</v>
      </c>
      <c r="AU48" s="294">
        <f>ROUND(((B48/CE61)*AU61),0)</f>
        <v>0</v>
      </c>
      <c r="AV48" s="294">
        <f>ROUND(((B48/CE61)*AV61),0)</f>
        <v>0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148410</v>
      </c>
      <c r="AZ48" s="294">
        <f>ROUND(((B48/CE61)*AZ61),0)</f>
        <v>0</v>
      </c>
      <c r="BA48" s="294">
        <f>ROUND(((B48/CE61)*BA61),0)</f>
        <v>29101</v>
      </c>
      <c r="BB48" s="294">
        <f>ROUND(((B48/CE61)*BB61),0)</f>
        <v>29420</v>
      </c>
      <c r="BC48" s="294">
        <f>ROUND(((B48/CE61)*BC61),0)</f>
        <v>0</v>
      </c>
      <c r="BD48" s="294">
        <f>ROUND(((B48/CE61)*BD61),0)</f>
        <v>69714</v>
      </c>
      <c r="BE48" s="294">
        <f>ROUND(((B48/CE61)*BE61),0)</f>
        <v>113300</v>
      </c>
      <c r="BF48" s="294">
        <f>ROUND(((B48/CE61)*BF61),0)</f>
        <v>138895</v>
      </c>
      <c r="BG48" s="294">
        <f>ROUND(((B48/CE61)*BG61),0)</f>
        <v>0</v>
      </c>
      <c r="BH48" s="294">
        <f>ROUND(((B48/CE61)*BH61),0)</f>
        <v>315260</v>
      </c>
      <c r="BI48" s="294">
        <f>ROUND(((B48/CE61)*BI61),0)</f>
        <v>0</v>
      </c>
      <c r="BJ48" s="294">
        <f>ROUND(((B48/CE61)*BJ61),0)</f>
        <v>106597</v>
      </c>
      <c r="BK48" s="294">
        <f>ROUND(((B48/CE61)*BK61),0)</f>
        <v>254045</v>
      </c>
      <c r="BL48" s="294">
        <f>ROUND(((B48/CE61)*BL61),0)</f>
        <v>124613</v>
      </c>
      <c r="BM48" s="294">
        <f>ROUND(((B48/CE61)*BM61),0)</f>
        <v>0</v>
      </c>
      <c r="BN48" s="294">
        <f>ROUND(((B48/CE61)*BN61),0)</f>
        <v>336803</v>
      </c>
      <c r="BO48" s="294">
        <f>ROUND(((B48/CE61)*BO61),0)</f>
        <v>22169</v>
      </c>
      <c r="BP48" s="294">
        <f>ROUND(((B48/CE61)*BP61),0)</f>
        <v>50835</v>
      </c>
      <c r="BQ48" s="294">
        <f>ROUND(((B48/CE61)*BQ61),0)</f>
        <v>0</v>
      </c>
      <c r="BR48" s="294">
        <f>ROUND(((B48/CE61)*BR61),0)</f>
        <v>104266</v>
      </c>
      <c r="BS48" s="294">
        <f>ROUND(((B48/CE61)*BS61),0)</f>
        <v>2070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229330</v>
      </c>
      <c r="BW48" s="294">
        <f>ROUND(((B48/CE61)*BW61),0)</f>
        <v>118001</v>
      </c>
      <c r="BX48" s="294">
        <f>ROUND(((B48/CE61)*BX61),0)</f>
        <v>122386</v>
      </c>
      <c r="BY48" s="294">
        <f>ROUND(((B48/CE61)*BY61),0)</f>
        <v>243411</v>
      </c>
      <c r="BZ48" s="294">
        <f>ROUND(((B48/CE61)*BZ61),0)</f>
        <v>0</v>
      </c>
      <c r="CA48" s="294">
        <f>ROUND(((B48/CE61)*CA61),0)</f>
        <v>0</v>
      </c>
      <c r="CB48" s="294">
        <f>ROUND(((B48/CE61)*CB61),0)</f>
        <v>0</v>
      </c>
      <c r="CC48" s="294">
        <f>ROUND(((B48/CE61)*CC61),0)</f>
        <v>0</v>
      </c>
      <c r="CD48" s="294"/>
      <c r="CE48" s="294">
        <f>SUM(C48:CD48)</f>
        <v>10498082</v>
      </c>
      <c r="CF48" s="2"/>
    </row>
    <row r="49" spans="1:84" ht="12.65" customHeight="1" x14ac:dyDescent="0.3">
      <c r="A49" s="294" t="s">
        <v>206</v>
      </c>
      <c r="B49" s="294">
        <f>B47+B48</f>
        <v>10498081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">
      <c r="A51" s="301" t="s">
        <v>207</v>
      </c>
      <c r="B51" s="299"/>
      <c r="C51" s="299">
        <v>31298</v>
      </c>
      <c r="D51" s="299"/>
      <c r="E51" s="299">
        <v>65321</v>
      </c>
      <c r="F51" s="299"/>
      <c r="G51" s="299"/>
      <c r="H51" s="299"/>
      <c r="I51" s="299"/>
      <c r="J51" s="299"/>
      <c r="K51" s="299"/>
      <c r="L51" s="299"/>
      <c r="M51" s="299"/>
      <c r="N51" s="299"/>
      <c r="O51" s="299">
        <v>52893</v>
      </c>
      <c r="P51" s="299">
        <f>215478+1388+4867</f>
        <v>221733</v>
      </c>
      <c r="Q51" s="299">
        <v>8817</v>
      </c>
      <c r="R51" s="299">
        <v>16031</v>
      </c>
      <c r="S51" s="299">
        <v>50310</v>
      </c>
      <c r="T51" s="299"/>
      <c r="U51" s="299">
        <v>126038</v>
      </c>
      <c r="V51" s="299">
        <v>13780</v>
      </c>
      <c r="W51" s="299"/>
      <c r="X51" s="299"/>
      <c r="Y51" s="299">
        <f>136126+7229+5863</f>
        <v>149218</v>
      </c>
      <c r="Z51" s="299"/>
      <c r="AA51" s="299"/>
      <c r="AB51" s="299">
        <v>2368</v>
      </c>
      <c r="AC51" s="299">
        <v>23545</v>
      </c>
      <c r="AD51" s="299"/>
      <c r="AE51" s="299">
        <v>4359</v>
      </c>
      <c r="AF51" s="299"/>
      <c r="AG51" s="299">
        <v>35767</v>
      </c>
      <c r="AH51" s="299"/>
      <c r="AI51" s="299"/>
      <c r="AJ51" s="299">
        <f>9056+191829</f>
        <v>200885</v>
      </c>
      <c r="AK51" s="299">
        <v>1794</v>
      </c>
      <c r="AL51" s="299"/>
      <c r="AM51" s="299"/>
      <c r="AN51" s="299"/>
      <c r="AO51" s="299"/>
      <c r="AP51" s="299"/>
      <c r="AQ51" s="299"/>
      <c r="AR51" s="299">
        <v>20251</v>
      </c>
      <c r="AS51" s="299"/>
      <c r="AT51" s="299"/>
      <c r="AU51" s="299"/>
      <c r="AV51" s="299"/>
      <c r="AW51" s="299"/>
      <c r="AX51" s="299"/>
      <c r="AY51" s="299">
        <v>2277</v>
      </c>
      <c r="AZ51" s="299"/>
      <c r="BA51" s="299">
        <v>5717</v>
      </c>
      <c r="BB51" s="299"/>
      <c r="BC51" s="299"/>
      <c r="BD51" s="299"/>
      <c r="BE51" s="299">
        <v>51144</v>
      </c>
      <c r="BF51" s="299">
        <v>1438</v>
      </c>
      <c r="BG51" s="299"/>
      <c r="BH51" s="299">
        <v>1103326</v>
      </c>
      <c r="BI51" s="299"/>
      <c r="BJ51" s="299">
        <v>29188</v>
      </c>
      <c r="BK51" s="299"/>
      <c r="BL51" s="299">
        <v>0</v>
      </c>
      <c r="BM51" s="299"/>
      <c r="BN51" s="299">
        <f>9345</f>
        <v>9345</v>
      </c>
      <c r="BO51" s="299">
        <f>2613</f>
        <v>2613</v>
      </c>
      <c r="BP51" s="299"/>
      <c r="BQ51" s="299"/>
      <c r="BR51" s="299">
        <f>76267+1091</f>
        <v>77358</v>
      </c>
      <c r="BS51" s="299"/>
      <c r="BT51" s="299"/>
      <c r="BU51" s="299"/>
      <c r="BV51" s="299">
        <v>9051</v>
      </c>
      <c r="BW51" s="299"/>
      <c r="BX51" s="299">
        <v>1149</v>
      </c>
      <c r="BY51" s="299">
        <f>55+2979</f>
        <v>3034</v>
      </c>
      <c r="BZ51" s="299"/>
      <c r="CA51" s="299"/>
      <c r="CB51" s="299"/>
      <c r="CC51" s="299"/>
      <c r="CD51" s="294"/>
      <c r="CE51" s="294">
        <f>SUM(C51:CD51)</f>
        <v>2320048</v>
      </c>
      <c r="CF51" s="2"/>
    </row>
    <row r="52" spans="1:84" ht="12.65" customHeight="1" x14ac:dyDescent="0.3">
      <c r="A52" s="301" t="s">
        <v>208</v>
      </c>
      <c r="B52" s="299">
        <v>1920441</v>
      </c>
      <c r="C52" s="294">
        <f>ROUND((B52/(CE76+CF76)*C76),0)</f>
        <v>47714</v>
      </c>
      <c r="D52" s="294">
        <f>ROUND((B52/(CE76+CF76)*D76),0)</f>
        <v>0</v>
      </c>
      <c r="E52" s="294">
        <f>ROUND((B52/(CE76+CF76)*E76),0)</f>
        <v>206287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0</v>
      </c>
      <c r="I52" s="294">
        <f>ROUND((B52/(CE76+CF76)*I76),0)</f>
        <v>0</v>
      </c>
      <c r="J52" s="294">
        <f>ROUND((B52/(CE76+CF76)*J76),0)</f>
        <v>4150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32479</v>
      </c>
      <c r="P52" s="294">
        <f>ROUND((B52/(CE76+CF76)*P76),0)</f>
        <v>202499</v>
      </c>
      <c r="Q52" s="294">
        <f>ROUND((B52/(CE76+CF76)*Q76),0)</f>
        <v>16668</v>
      </c>
      <c r="R52" s="294">
        <f>ROUND((B52/(CE76+CF76)*R76),0)</f>
        <v>0</v>
      </c>
      <c r="S52" s="294">
        <f>ROUND((B52/(CE76+CF76)*S76),0)</f>
        <v>25183</v>
      </c>
      <c r="T52" s="294">
        <f>ROUND((B52/(CE76+CF76)*T76),0)</f>
        <v>0</v>
      </c>
      <c r="U52" s="294">
        <f>ROUND((B52/(CE76+CF76)*U76),0)</f>
        <v>48422</v>
      </c>
      <c r="V52" s="294">
        <f>ROUND((B52/(CE76+CF76)*V76),0)</f>
        <v>3953</v>
      </c>
      <c r="W52" s="294">
        <f>ROUND((B52/(CE76+CF76)*W76),0)</f>
        <v>2339</v>
      </c>
      <c r="X52" s="294">
        <f>ROUND((B52/(CE76+CF76)*X76),0)</f>
        <v>37420</v>
      </c>
      <c r="Y52" s="294">
        <f>ROUND((B52/(CE76+CF76)*Y76),0)</f>
        <v>38803</v>
      </c>
      <c r="Z52" s="294">
        <f>ROUND((B52/(CE76+CF76)*Z76),0)</f>
        <v>0</v>
      </c>
      <c r="AA52" s="294">
        <f>ROUND((B52/(CE76+CF76)*AA76),0)</f>
        <v>0</v>
      </c>
      <c r="AB52" s="294">
        <f>ROUND((B52/(CE76+CF76)*AB76),0)</f>
        <v>19155</v>
      </c>
      <c r="AC52" s="294">
        <f>ROUND((B52/(CE76+CF76)*AC76),0)</f>
        <v>13044</v>
      </c>
      <c r="AD52" s="294">
        <f>ROUND((B52/(CE76+CF76)*AD76),0)</f>
        <v>0</v>
      </c>
      <c r="AE52" s="294">
        <f>ROUND((B52/(CE76+CF76)*AE76),0)</f>
        <v>9306</v>
      </c>
      <c r="AF52" s="294">
        <f>ROUND((B52/(CE76+CF76)*AF76),0)</f>
        <v>0</v>
      </c>
      <c r="AG52" s="294">
        <f>ROUND((B52/(CE76+CF76)*AG76),0)</f>
        <v>84985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389121</v>
      </c>
      <c r="AK52" s="294">
        <f>ROUND((B52/(CE76+CF76)*AK76),0)</f>
        <v>0</v>
      </c>
      <c r="AL52" s="294">
        <f>ROUND((B52/(CE76+CF76)*AL76),0)</f>
        <v>0</v>
      </c>
      <c r="AM52" s="294">
        <f>ROUND((B52/(CE76+CF76)*AM76),0)</f>
        <v>0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22959</v>
      </c>
      <c r="AS52" s="294">
        <f>ROUND((B52/(CE76+CF76)*AS76),0)</f>
        <v>0</v>
      </c>
      <c r="AT52" s="294">
        <f>ROUND((B52/(CE76+CF76)*AT76),0)</f>
        <v>0</v>
      </c>
      <c r="AU52" s="294">
        <f>ROUND((B52/(CE76+CF76)*AU76),0)</f>
        <v>0</v>
      </c>
      <c r="AV52" s="294">
        <f>ROUND((B52/(CE76+CF76)*AV76),0)</f>
        <v>0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67955</v>
      </c>
      <c r="AZ52" s="294">
        <f>ROUND((B52/(CE76+CF76)*AZ76),0)</f>
        <v>0</v>
      </c>
      <c r="BA52" s="294">
        <f>ROUND((B52/(CE76+CF76)*BA76),0)</f>
        <v>14082</v>
      </c>
      <c r="BB52" s="294">
        <f>ROUND((B52/(CE76+CF76)*BB76),0)</f>
        <v>0</v>
      </c>
      <c r="BC52" s="294">
        <f>ROUND((B52/(CE76+CF76)*BC76),0)</f>
        <v>0</v>
      </c>
      <c r="BD52" s="294">
        <f>ROUND((B52/(CE76+CF76)*BD76),0)</f>
        <v>26467</v>
      </c>
      <c r="BE52" s="294">
        <f>ROUND((B52/(CE76+CF76)*BE76),0)</f>
        <v>125502</v>
      </c>
      <c r="BF52" s="294">
        <f>ROUND((B52/(CE76+CF76)*BF76),0)</f>
        <v>5649</v>
      </c>
      <c r="BG52" s="294">
        <f>ROUND((B52/(CE76+CF76)*BG76),0)</f>
        <v>0</v>
      </c>
      <c r="BH52" s="294">
        <f>ROUND((B52/(CE76+CF76)*BH76),0)</f>
        <v>56920</v>
      </c>
      <c r="BI52" s="294">
        <f>ROUND((B52/(CE76+CF76)*BI76),0)</f>
        <v>0</v>
      </c>
      <c r="BJ52" s="294">
        <f>ROUND((B52/(CE76+CF76)*BJ76),0)</f>
        <v>7955</v>
      </c>
      <c r="BK52" s="294">
        <f>ROUND((B52/(CE76+CF76)*BK76),0)</f>
        <v>112062</v>
      </c>
      <c r="BL52" s="294">
        <f>ROUND((B52/(CE76+CF76)*BL76),0)</f>
        <v>0</v>
      </c>
      <c r="BM52" s="294">
        <f>ROUND((B52/(CE76+CF76)*BM76),0)</f>
        <v>0</v>
      </c>
      <c r="BN52" s="294">
        <f>ROUND((B52/(CE76+CF76)*BN76),0)</f>
        <v>276549</v>
      </c>
      <c r="BO52" s="294">
        <f>ROUND((B52/(CE76+CF76)*BO76),0)</f>
        <v>0</v>
      </c>
      <c r="BP52" s="294">
        <f>ROUND((B52/(CE76+CF76)*BP76),0)</f>
        <v>0</v>
      </c>
      <c r="BQ52" s="294">
        <f>ROUND((B52/(CE76+CF76)*BQ76),0)</f>
        <v>0</v>
      </c>
      <c r="BR52" s="294">
        <f>ROUND((B52/(CE76+CF76)*BR76),0)</f>
        <v>10063</v>
      </c>
      <c r="BS52" s="294">
        <f>ROUND((B52/(CE76+CF76)*BS76),0)</f>
        <v>0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0</v>
      </c>
      <c r="BW52" s="294">
        <f>ROUND((B52/(CE76+CF76)*BW76),0)</f>
        <v>1383</v>
      </c>
      <c r="BX52" s="294">
        <f>ROUND((B52/(CE76+CF76)*BX76),0)</f>
        <v>0</v>
      </c>
      <c r="BY52" s="294">
        <f>ROUND((B52/(CE76+CF76)*BY76),0)</f>
        <v>11364</v>
      </c>
      <c r="BZ52" s="294">
        <f>ROUND((B52/(CE76+CF76)*BZ76),0)</f>
        <v>0</v>
      </c>
      <c r="CA52" s="294">
        <f>ROUND((B52/(CE76+CF76)*CA76),0)</f>
        <v>0</v>
      </c>
      <c r="CB52" s="294">
        <f>ROUND((B52/(CE76+CF76)*CB76),0)</f>
        <v>0</v>
      </c>
      <c r="CC52" s="294">
        <f>ROUND((B52/(CE76+CF76)*CC76),0)</f>
        <v>0</v>
      </c>
      <c r="CD52" s="294"/>
      <c r="CE52" s="294">
        <f>SUM(C52:CD52)</f>
        <v>1920438</v>
      </c>
      <c r="CF52" s="2"/>
    </row>
    <row r="53" spans="1:84" ht="12.65" customHeight="1" x14ac:dyDescent="0.3">
      <c r="A53" s="294" t="s">
        <v>206</v>
      </c>
      <c r="B53" s="294">
        <f>B51+B52</f>
        <v>1920441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">
      <c r="A59" s="301" t="s">
        <v>233</v>
      </c>
      <c r="B59" s="294"/>
      <c r="C59" s="299">
        <v>368</v>
      </c>
      <c r="D59" s="299"/>
      <c r="E59" s="299">
        <f>1743+245</f>
        <v>1988</v>
      </c>
      <c r="F59" s="299"/>
      <c r="G59" s="299"/>
      <c r="H59" s="299"/>
      <c r="I59" s="299"/>
      <c r="J59" s="299">
        <v>469</v>
      </c>
      <c r="K59" s="299"/>
      <c r="L59" s="299">
        <v>123</v>
      </c>
      <c r="M59" s="299"/>
      <c r="N59" s="299"/>
      <c r="O59" s="299">
        <v>284</v>
      </c>
      <c r="P59" s="185">
        <f>25446+76367</f>
        <v>101813</v>
      </c>
      <c r="Q59" s="185"/>
      <c r="R59" s="185"/>
      <c r="S59" s="248"/>
      <c r="T59" s="248"/>
      <c r="U59" s="224">
        <f>16920+220790</f>
        <v>237710</v>
      </c>
      <c r="V59" s="185"/>
      <c r="W59" s="185" t="s">
        <v>1268</v>
      </c>
      <c r="X59" s="185">
        <f>474+4684</f>
        <v>5158</v>
      </c>
      <c r="Y59" s="185">
        <f>239+4513+2326+705+968+13739</f>
        <v>22490</v>
      </c>
      <c r="Z59" s="185"/>
      <c r="AA59" s="185"/>
      <c r="AB59" s="248"/>
      <c r="AC59" s="185"/>
      <c r="AD59" s="185"/>
      <c r="AE59" s="185">
        <f>713+8654+2170</f>
        <v>11537</v>
      </c>
      <c r="AF59" s="185"/>
      <c r="AG59" s="185">
        <f>2167+10040</f>
        <v>12207</v>
      </c>
      <c r="AH59" s="185"/>
      <c r="AI59" s="185"/>
      <c r="AJ59" s="185">
        <v>96196</v>
      </c>
      <c r="AK59" s="185">
        <f>329+2301</f>
        <v>2630</v>
      </c>
      <c r="AL59" s="185">
        <f>160+2397</f>
        <v>2557</v>
      </c>
      <c r="AM59" s="185"/>
      <c r="AN59" s="185"/>
      <c r="AO59" s="185"/>
      <c r="AP59" s="185"/>
      <c r="AQ59" s="185"/>
      <c r="AR59" s="185">
        <f>6560+8081</f>
        <v>14641</v>
      </c>
      <c r="AS59" s="185"/>
      <c r="AT59" s="185"/>
      <c r="AU59" s="185"/>
      <c r="AV59" s="248"/>
      <c r="AW59" s="248"/>
      <c r="AX59" s="248"/>
      <c r="AY59" s="185">
        <v>10916</v>
      </c>
      <c r="AZ59" s="185"/>
      <c r="BA59" s="248"/>
      <c r="BB59" s="248"/>
      <c r="BC59" s="248"/>
      <c r="BD59" s="248"/>
      <c r="BE59" s="185">
        <v>116602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4"/>
      <c r="CE59" s="294"/>
      <c r="CF59" s="2"/>
    </row>
    <row r="60" spans="1:84" ht="12.65" customHeight="1" x14ac:dyDescent="0.3">
      <c r="A60" s="305" t="s">
        <v>234</v>
      </c>
      <c r="B60" s="294"/>
      <c r="C60" s="186">
        <v>13.21</v>
      </c>
      <c r="D60" s="187"/>
      <c r="E60" s="187">
        <v>22.75</v>
      </c>
      <c r="F60" s="223"/>
      <c r="G60" s="187"/>
      <c r="H60" s="187"/>
      <c r="I60" s="187"/>
      <c r="J60" s="223">
        <v>2</v>
      </c>
      <c r="K60" s="187"/>
      <c r="L60" s="187"/>
      <c r="M60" s="187"/>
      <c r="N60" s="187"/>
      <c r="O60" s="187">
        <f>15.01+0.04-2</f>
        <v>13.049999999999999</v>
      </c>
      <c r="P60" s="221">
        <f>10.33+0.18+1.02+1.67+12.81</f>
        <v>26.009999999999998</v>
      </c>
      <c r="Q60" s="221">
        <v>0.55000000000000004</v>
      </c>
      <c r="R60" s="221"/>
      <c r="S60" s="221">
        <v>3.66</v>
      </c>
      <c r="T60" s="221"/>
      <c r="U60" s="221">
        <f>24.49+5.61</f>
        <v>30.099999999999998</v>
      </c>
      <c r="V60" s="221"/>
      <c r="W60" s="221"/>
      <c r="X60" s="221">
        <v>7.5</v>
      </c>
      <c r="Y60" s="221">
        <f>3.55+1.5+1.22+5.79</f>
        <v>12.059999999999999</v>
      </c>
      <c r="Z60" s="221"/>
      <c r="AA60" s="221"/>
      <c r="AB60" s="221">
        <f>10.75+1.97</f>
        <v>12.72</v>
      </c>
      <c r="AC60" s="221">
        <v>7.22</v>
      </c>
      <c r="AD60" s="221"/>
      <c r="AE60" s="221">
        <f>0.46+2.42</f>
        <v>2.88</v>
      </c>
      <c r="AF60" s="221"/>
      <c r="AG60" s="221">
        <f>24.44+0.18+0.17+6.98</f>
        <v>31.770000000000003</v>
      </c>
      <c r="AH60" s="221"/>
      <c r="AI60" s="221"/>
      <c r="AJ60" s="221">
        <f>4.3+132.6+6.7</f>
        <v>143.6</v>
      </c>
      <c r="AK60" s="221">
        <v>0</v>
      </c>
      <c r="AL60" s="221"/>
      <c r="AM60" s="221"/>
      <c r="AN60" s="221"/>
      <c r="AO60" s="221"/>
      <c r="AP60" s="221"/>
      <c r="AQ60" s="221"/>
      <c r="AR60" s="221">
        <f>13.62+6.68</f>
        <v>20.299999999999997</v>
      </c>
      <c r="AS60" s="221"/>
      <c r="AT60" s="221"/>
      <c r="AU60" s="221"/>
      <c r="AV60" s="221"/>
      <c r="AW60" s="221"/>
      <c r="AX60" s="221"/>
      <c r="AY60" s="221">
        <f>13.08+0.8</f>
        <v>13.88</v>
      </c>
      <c r="AZ60" s="221"/>
      <c r="BA60" s="221">
        <v>3.25</v>
      </c>
      <c r="BB60" s="221">
        <v>1.56</v>
      </c>
      <c r="BC60" s="221"/>
      <c r="BD60" s="221">
        <v>6.01</v>
      </c>
      <c r="BE60" s="221">
        <v>6.95</v>
      </c>
      <c r="BF60" s="221">
        <v>15.49</v>
      </c>
      <c r="BG60" s="221"/>
      <c r="BH60" s="221">
        <v>15.11</v>
      </c>
      <c r="BI60" s="221"/>
      <c r="BJ60" s="221">
        <v>5.75</v>
      </c>
      <c r="BK60" s="221">
        <v>17.89</v>
      </c>
      <c r="BL60" s="221">
        <v>12.75</v>
      </c>
      <c r="BM60" s="221"/>
      <c r="BN60" s="221">
        <f>6.5+0.1+0.1</f>
        <v>6.6999999999999993</v>
      </c>
      <c r="BO60" s="221">
        <f>6.11-5.61</f>
        <v>0.5</v>
      </c>
      <c r="BP60" s="221">
        <v>3</v>
      </c>
      <c r="BQ60" s="221"/>
      <c r="BR60" s="221">
        <f>4.59+0.8</f>
        <v>5.39</v>
      </c>
      <c r="BS60" s="221">
        <v>0.4</v>
      </c>
      <c r="BT60" s="221"/>
      <c r="BU60" s="221"/>
      <c r="BV60" s="221">
        <v>16.68</v>
      </c>
      <c r="BW60" s="221">
        <v>3.45</v>
      </c>
      <c r="BX60" s="221">
        <v>6.07</v>
      </c>
      <c r="BY60" s="221">
        <f>1.3+2.5+5</f>
        <v>8.8000000000000007</v>
      </c>
      <c r="BZ60" s="221"/>
      <c r="CA60" s="221"/>
      <c r="CB60" s="221"/>
      <c r="CC60" s="221"/>
      <c r="CD60" s="304" t="s">
        <v>221</v>
      </c>
      <c r="CE60" s="306">
        <f t="shared" ref="CE60:CE70" si="0">SUM(C60:CD60)</f>
        <v>499.00999999999993</v>
      </c>
      <c r="CF60" s="2"/>
    </row>
    <row r="61" spans="1:84" ht="12.65" customHeight="1" x14ac:dyDescent="0.3">
      <c r="A61" s="301" t="s">
        <v>235</v>
      </c>
      <c r="B61" s="294"/>
      <c r="C61" s="299">
        <f>1162656+92497</f>
        <v>1255153</v>
      </c>
      <c r="D61" s="299"/>
      <c r="E61" s="299">
        <f>1548592+17498</f>
        <v>1566090</v>
      </c>
      <c r="F61" s="185"/>
      <c r="G61" s="299"/>
      <c r="H61" s="299"/>
      <c r="I61" s="185"/>
      <c r="J61" s="185">
        <v>118746</v>
      </c>
      <c r="K61" s="185"/>
      <c r="L61" s="185"/>
      <c r="M61" s="299"/>
      <c r="N61" s="299"/>
      <c r="O61" s="299">
        <f>1359929+135094+298+5665-118746</f>
        <v>1382240</v>
      </c>
      <c r="P61" s="185">
        <f>862631+52813+2831+11028+69275+121257+1237350</f>
        <v>2357185</v>
      </c>
      <c r="Q61" s="185">
        <v>131021</v>
      </c>
      <c r="R61" s="185"/>
      <c r="S61" s="185">
        <f>180343+1733</f>
        <v>182076</v>
      </c>
      <c r="T61" s="185"/>
      <c r="U61" s="185">
        <f>1579757+535235</f>
        <v>2114992</v>
      </c>
      <c r="V61" s="185"/>
      <c r="W61" s="185"/>
      <c r="X61" s="185">
        <v>562974</v>
      </c>
      <c r="Y61" s="185">
        <f>325203+130853+109757+355408+5772</f>
        <v>926993</v>
      </c>
      <c r="Z61" s="185"/>
      <c r="AA61" s="185"/>
      <c r="AB61" s="185">
        <f>1101519+167014</f>
        <v>1268533</v>
      </c>
      <c r="AC61" s="185">
        <f>543700</f>
        <v>543700</v>
      </c>
      <c r="AD61" s="185"/>
      <c r="AE61" s="185">
        <f>26877+197878</f>
        <v>224755</v>
      </c>
      <c r="AF61" s="185"/>
      <c r="AG61" s="185">
        <f>2115588+21417+7159+2422450+60166+4109</f>
        <v>4630889</v>
      </c>
      <c r="AH61" s="185"/>
      <c r="AI61" s="185"/>
      <c r="AJ61" s="185">
        <f>1319323+328+763904+13424666+648</f>
        <v>15508869</v>
      </c>
      <c r="AK61" s="185"/>
      <c r="AL61" s="185"/>
      <c r="AM61" s="185"/>
      <c r="AN61" s="185"/>
      <c r="AO61" s="185"/>
      <c r="AP61" s="185"/>
      <c r="AQ61" s="185"/>
      <c r="AR61" s="185">
        <f>1200888+450801</f>
        <v>1651689</v>
      </c>
      <c r="AS61" s="185"/>
      <c r="AT61" s="185"/>
      <c r="AU61" s="185"/>
      <c r="AV61" s="185"/>
      <c r="AW61" s="185"/>
      <c r="AX61" s="185"/>
      <c r="AY61" s="185">
        <f>578068+65444</f>
        <v>643512</v>
      </c>
      <c r="AZ61" s="185"/>
      <c r="BA61" s="185">
        <v>126182</v>
      </c>
      <c r="BB61" s="185">
        <f>127369+198</f>
        <v>127567</v>
      </c>
      <c r="BC61" s="185"/>
      <c r="BD61" s="185">
        <v>302283</v>
      </c>
      <c r="BE61" s="185">
        <f>490455+821</f>
        <v>491276</v>
      </c>
      <c r="BF61" s="185">
        <v>602258</v>
      </c>
      <c r="BG61" s="185"/>
      <c r="BH61" s="185">
        <v>1366986</v>
      </c>
      <c r="BI61" s="185"/>
      <c r="BJ61" s="185">
        <v>462212</v>
      </c>
      <c r="BK61" s="185">
        <f>903089+198462</f>
        <v>1101551</v>
      </c>
      <c r="BL61" s="185">
        <v>540329</v>
      </c>
      <c r="BM61" s="185"/>
      <c r="BN61" s="185">
        <f>1046637+252445+33463+22905+104944</f>
        <v>1460394</v>
      </c>
      <c r="BO61" s="185">
        <f>586433+28375+16552-535235</f>
        <v>96125</v>
      </c>
      <c r="BP61" s="185">
        <v>220424</v>
      </c>
      <c r="BQ61" s="185"/>
      <c r="BR61" s="185">
        <f>396146+55956</f>
        <v>452102</v>
      </c>
      <c r="BS61" s="185">
        <f>8975</f>
        <v>8975</v>
      </c>
      <c r="BT61" s="185"/>
      <c r="BU61" s="185"/>
      <c r="BV61" s="185">
        <v>994388</v>
      </c>
      <c r="BW61" s="185">
        <v>511659</v>
      </c>
      <c r="BX61" s="185">
        <v>530672</v>
      </c>
      <c r="BY61" s="185">
        <f>150238+302481+609803-9116+2045-8</f>
        <v>1055443</v>
      </c>
      <c r="BZ61" s="185"/>
      <c r="CA61" s="185"/>
      <c r="CB61" s="185"/>
      <c r="CC61" s="185"/>
      <c r="CD61" s="304" t="s">
        <v>221</v>
      </c>
      <c r="CE61" s="294">
        <f t="shared" si="0"/>
        <v>45520243</v>
      </c>
      <c r="CF61" s="2"/>
    </row>
    <row r="62" spans="1:84" ht="12.65" customHeight="1" x14ac:dyDescent="0.3">
      <c r="A62" s="301" t="s">
        <v>3</v>
      </c>
      <c r="B62" s="294"/>
      <c r="C62" s="294">
        <f t="shared" ref="C62:BN62" si="1">ROUND(C47+C48,0)</f>
        <v>289469</v>
      </c>
      <c r="D62" s="294">
        <f t="shared" si="1"/>
        <v>0</v>
      </c>
      <c r="E62" s="294">
        <f t="shared" si="1"/>
        <v>361179</v>
      </c>
      <c r="F62" s="294">
        <f t="shared" si="1"/>
        <v>0</v>
      </c>
      <c r="G62" s="294">
        <f t="shared" si="1"/>
        <v>0</v>
      </c>
      <c r="H62" s="294">
        <f t="shared" si="1"/>
        <v>0</v>
      </c>
      <c r="I62" s="294">
        <f t="shared" si="1"/>
        <v>0</v>
      </c>
      <c r="J62" s="294">
        <f>ROUND(J47+J48,0)</f>
        <v>27386</v>
      </c>
      <c r="K62" s="294">
        <f t="shared" si="1"/>
        <v>0</v>
      </c>
      <c r="L62" s="294">
        <f t="shared" si="1"/>
        <v>0</v>
      </c>
      <c r="M62" s="294">
        <f t="shared" si="1"/>
        <v>0</v>
      </c>
      <c r="N62" s="294">
        <f t="shared" si="1"/>
        <v>0</v>
      </c>
      <c r="O62" s="294">
        <f t="shared" si="1"/>
        <v>318778</v>
      </c>
      <c r="P62" s="294">
        <f t="shared" si="1"/>
        <v>543624</v>
      </c>
      <c r="Q62" s="294">
        <f t="shared" si="1"/>
        <v>30217</v>
      </c>
      <c r="R62" s="294">
        <f t="shared" si="1"/>
        <v>0</v>
      </c>
      <c r="S62" s="294">
        <f t="shared" si="1"/>
        <v>41991</v>
      </c>
      <c r="T62" s="294">
        <f t="shared" si="1"/>
        <v>0</v>
      </c>
      <c r="U62" s="294">
        <f t="shared" si="1"/>
        <v>487769</v>
      </c>
      <c r="V62" s="294">
        <f t="shared" si="1"/>
        <v>0</v>
      </c>
      <c r="W62" s="294">
        <f t="shared" si="1"/>
        <v>0</v>
      </c>
      <c r="X62" s="294">
        <f t="shared" si="1"/>
        <v>129836</v>
      </c>
      <c r="Y62" s="294">
        <f t="shared" si="1"/>
        <v>213787</v>
      </c>
      <c r="Z62" s="294">
        <f t="shared" si="1"/>
        <v>0</v>
      </c>
      <c r="AA62" s="294">
        <f t="shared" si="1"/>
        <v>0</v>
      </c>
      <c r="AB62" s="294">
        <f t="shared" si="1"/>
        <v>292555</v>
      </c>
      <c r="AC62" s="294">
        <f t="shared" si="1"/>
        <v>125391</v>
      </c>
      <c r="AD62" s="294">
        <f t="shared" si="1"/>
        <v>0</v>
      </c>
      <c r="AE62" s="294">
        <f t="shared" si="1"/>
        <v>51834</v>
      </c>
      <c r="AF62" s="294">
        <f t="shared" si="1"/>
        <v>0</v>
      </c>
      <c r="AG62" s="294">
        <f t="shared" si="1"/>
        <v>1067996</v>
      </c>
      <c r="AH62" s="294">
        <f t="shared" si="1"/>
        <v>0</v>
      </c>
      <c r="AI62" s="294">
        <f t="shared" si="1"/>
        <v>0</v>
      </c>
      <c r="AJ62" s="294">
        <f t="shared" si="1"/>
        <v>3576724</v>
      </c>
      <c r="AK62" s="294">
        <f t="shared" si="1"/>
        <v>0</v>
      </c>
      <c r="AL62" s="294">
        <f t="shared" si="1"/>
        <v>0</v>
      </c>
      <c r="AM62" s="294">
        <f t="shared" si="1"/>
        <v>0</v>
      </c>
      <c r="AN62" s="294">
        <f t="shared" si="1"/>
        <v>0</v>
      </c>
      <c r="AO62" s="294">
        <f t="shared" si="1"/>
        <v>0</v>
      </c>
      <c r="AP62" s="294">
        <f t="shared" si="1"/>
        <v>0</v>
      </c>
      <c r="AQ62" s="294">
        <f t="shared" si="1"/>
        <v>0</v>
      </c>
      <c r="AR62" s="294">
        <f t="shared" si="1"/>
        <v>380920</v>
      </c>
      <c r="AS62" s="294">
        <f t="shared" si="1"/>
        <v>0</v>
      </c>
      <c r="AT62" s="294">
        <f t="shared" si="1"/>
        <v>0</v>
      </c>
      <c r="AU62" s="294">
        <f t="shared" si="1"/>
        <v>0</v>
      </c>
      <c r="AV62" s="294">
        <f t="shared" si="1"/>
        <v>0</v>
      </c>
      <c r="AW62" s="294">
        <f t="shared" si="1"/>
        <v>0</v>
      </c>
      <c r="AX62" s="294">
        <f t="shared" si="1"/>
        <v>0</v>
      </c>
      <c r="AY62" s="294">
        <f>ROUND(AY47+AY48,0)</f>
        <v>148410</v>
      </c>
      <c r="AZ62" s="294">
        <f>ROUND(AZ47+AZ48,0)</f>
        <v>0</v>
      </c>
      <c r="BA62" s="294">
        <f>ROUND(BA47+BA48,0)</f>
        <v>29101</v>
      </c>
      <c r="BB62" s="294">
        <f t="shared" si="1"/>
        <v>29420</v>
      </c>
      <c r="BC62" s="294">
        <f t="shared" si="1"/>
        <v>0</v>
      </c>
      <c r="BD62" s="294">
        <f t="shared" si="1"/>
        <v>69714</v>
      </c>
      <c r="BE62" s="294">
        <f t="shared" si="1"/>
        <v>113300</v>
      </c>
      <c r="BF62" s="294">
        <f t="shared" si="1"/>
        <v>138895</v>
      </c>
      <c r="BG62" s="294">
        <f t="shared" si="1"/>
        <v>0</v>
      </c>
      <c r="BH62" s="294">
        <f t="shared" si="1"/>
        <v>315260</v>
      </c>
      <c r="BI62" s="294">
        <f t="shared" si="1"/>
        <v>0</v>
      </c>
      <c r="BJ62" s="294">
        <f t="shared" si="1"/>
        <v>106597</v>
      </c>
      <c r="BK62" s="294">
        <f t="shared" si="1"/>
        <v>254045</v>
      </c>
      <c r="BL62" s="294">
        <f t="shared" si="1"/>
        <v>124613</v>
      </c>
      <c r="BM62" s="294">
        <f t="shared" si="1"/>
        <v>0</v>
      </c>
      <c r="BN62" s="294">
        <f t="shared" si="1"/>
        <v>336803</v>
      </c>
      <c r="BO62" s="294">
        <f t="shared" ref="BO62:CC62" si="2">ROUND(BO47+BO48,0)</f>
        <v>22169</v>
      </c>
      <c r="BP62" s="294">
        <f t="shared" si="2"/>
        <v>50835</v>
      </c>
      <c r="BQ62" s="294">
        <f t="shared" si="2"/>
        <v>0</v>
      </c>
      <c r="BR62" s="294">
        <f t="shared" si="2"/>
        <v>104266</v>
      </c>
      <c r="BS62" s="294">
        <f t="shared" si="2"/>
        <v>2070</v>
      </c>
      <c r="BT62" s="294">
        <f t="shared" si="2"/>
        <v>0</v>
      </c>
      <c r="BU62" s="294">
        <f t="shared" si="2"/>
        <v>0</v>
      </c>
      <c r="BV62" s="294">
        <f t="shared" si="2"/>
        <v>229330</v>
      </c>
      <c r="BW62" s="294">
        <f t="shared" si="2"/>
        <v>118001</v>
      </c>
      <c r="BX62" s="294">
        <f t="shared" si="2"/>
        <v>122386</v>
      </c>
      <c r="BY62" s="294">
        <f t="shared" si="2"/>
        <v>243411</v>
      </c>
      <c r="BZ62" s="294">
        <f t="shared" si="2"/>
        <v>0</v>
      </c>
      <c r="CA62" s="294">
        <f t="shared" si="2"/>
        <v>0</v>
      </c>
      <c r="CB62" s="294">
        <f t="shared" si="2"/>
        <v>0</v>
      </c>
      <c r="CC62" s="294">
        <f t="shared" si="2"/>
        <v>0</v>
      </c>
      <c r="CD62" s="304" t="s">
        <v>221</v>
      </c>
      <c r="CE62" s="294">
        <f t="shared" si="0"/>
        <v>10498082</v>
      </c>
      <c r="CF62" s="2"/>
    </row>
    <row r="63" spans="1:84" ht="12.65" customHeight="1" x14ac:dyDescent="0.3">
      <c r="A63" s="301" t="s">
        <v>236</v>
      </c>
      <c r="B63" s="294"/>
      <c r="C63" s="299"/>
      <c r="D63" s="299"/>
      <c r="E63" s="299"/>
      <c r="F63" s="185"/>
      <c r="G63" s="299"/>
      <c r="H63" s="299"/>
      <c r="I63" s="185"/>
      <c r="J63" s="185"/>
      <c r="K63" s="185"/>
      <c r="L63" s="185"/>
      <c r="M63" s="299"/>
      <c r="N63" s="299"/>
      <c r="O63" s="299"/>
      <c r="P63" s="185">
        <v>3927</v>
      </c>
      <c r="Q63" s="185"/>
      <c r="R63" s="185"/>
      <c r="S63" s="185"/>
      <c r="T63" s="185"/>
      <c r="U63" s="185">
        <f>15803+690</f>
        <v>16493</v>
      </c>
      <c r="V63" s="185"/>
      <c r="W63" s="185"/>
      <c r="X63" s="185"/>
      <c r="Y63" s="185">
        <v>715037</v>
      </c>
      <c r="Z63" s="185"/>
      <c r="AA63" s="185"/>
      <c r="AB63" s="185"/>
      <c r="AC63" s="185">
        <v>3275</v>
      </c>
      <c r="AD63" s="185"/>
      <c r="AE63" s="185"/>
      <c r="AF63" s="185"/>
      <c r="AG63" s="185"/>
      <c r="AH63" s="185"/>
      <c r="AI63" s="185"/>
      <c r="AJ63" s="185">
        <f>135824+33781</f>
        <v>169605</v>
      </c>
      <c r="AK63" s="185"/>
      <c r="AL63" s="185">
        <v>5460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f>22450+67354</f>
        <v>89804</v>
      </c>
      <c r="BK63" s="185">
        <v>15600</v>
      </c>
      <c r="BL63" s="185"/>
      <c r="BM63" s="185"/>
      <c r="BN63" s="185">
        <f>49015</f>
        <v>49015</v>
      </c>
      <c r="BO63" s="185">
        <f>690-690</f>
        <v>0</v>
      </c>
      <c r="BP63" s="185">
        <v>30</v>
      </c>
      <c r="BQ63" s="185"/>
      <c r="BR63" s="185">
        <v>17177</v>
      </c>
      <c r="BS63" s="185"/>
      <c r="BT63" s="185"/>
      <c r="BU63" s="185"/>
      <c r="BV63" s="185">
        <v>46080</v>
      </c>
      <c r="BW63" s="185">
        <v>15795</v>
      </c>
      <c r="BX63" s="185">
        <v>158</v>
      </c>
      <c r="BY63" s="185">
        <v>30109</v>
      </c>
      <c r="BZ63" s="185"/>
      <c r="CA63" s="185"/>
      <c r="CB63" s="185"/>
      <c r="CC63" s="185"/>
      <c r="CD63" s="304" t="s">
        <v>221</v>
      </c>
      <c r="CE63" s="294">
        <f t="shared" si="0"/>
        <v>1177565</v>
      </c>
      <c r="CF63" s="2"/>
    </row>
    <row r="64" spans="1:84" ht="12.65" customHeight="1" x14ac:dyDescent="0.3">
      <c r="A64" s="301" t="s">
        <v>237</v>
      </c>
      <c r="B64" s="294"/>
      <c r="C64" s="299">
        <v>69598</v>
      </c>
      <c r="D64" s="299"/>
      <c r="E64" s="185">
        <v>148181</v>
      </c>
      <c r="F64" s="185"/>
      <c r="G64" s="299"/>
      <c r="H64" s="299"/>
      <c r="I64" s="185"/>
      <c r="J64" s="185">
        <v>26224</v>
      </c>
      <c r="K64" s="185"/>
      <c r="L64" s="185"/>
      <c r="M64" s="299"/>
      <c r="N64" s="299"/>
      <c r="O64" s="299">
        <f>145688-26224</f>
        <v>119464</v>
      </c>
      <c r="P64" s="185">
        <f>2196135+4560+3213+82504+245897</f>
        <v>2532309</v>
      </c>
      <c r="Q64" s="185">
        <v>23602</v>
      </c>
      <c r="R64" s="185">
        <f>50+34446</f>
        <v>34496</v>
      </c>
      <c r="S64" s="185">
        <v>117773</v>
      </c>
      <c r="T64" s="185"/>
      <c r="U64" s="185">
        <f>1586032+176756</f>
        <v>1762788</v>
      </c>
      <c r="V64" s="185"/>
      <c r="W64" s="185">
        <v>353</v>
      </c>
      <c r="X64" s="185">
        <v>122808</v>
      </c>
      <c r="Y64" s="185">
        <v>76314</v>
      </c>
      <c r="Z64" s="185"/>
      <c r="AA64" s="185"/>
      <c r="AB64" s="185">
        <f>1173696+169004+397366+281362</f>
        <v>2021428</v>
      </c>
      <c r="AC64" s="185">
        <v>80099</v>
      </c>
      <c r="AD64" s="185"/>
      <c r="AE64" s="185">
        <f>11270+19851</f>
        <v>31121</v>
      </c>
      <c r="AF64" s="185"/>
      <c r="AG64" s="185">
        <f>471759+307+2634</f>
        <v>474700</v>
      </c>
      <c r="AH64" s="185"/>
      <c r="AI64" s="185"/>
      <c r="AJ64" s="185">
        <f>57859+1990961+1799</f>
        <v>2050619</v>
      </c>
      <c r="AK64" s="185">
        <f>11614</f>
        <v>11614</v>
      </c>
      <c r="AL64" s="185">
        <f>2118</f>
        <v>2118</v>
      </c>
      <c r="AM64" s="185"/>
      <c r="AN64" s="185"/>
      <c r="AO64" s="185"/>
      <c r="AP64" s="185"/>
      <c r="AQ64" s="185"/>
      <c r="AR64" s="185">
        <f>61195+65462</f>
        <v>126657</v>
      </c>
      <c r="AS64" s="185"/>
      <c r="AT64" s="185"/>
      <c r="AU64" s="185"/>
      <c r="AV64" s="185"/>
      <c r="AW64" s="185"/>
      <c r="AX64" s="185"/>
      <c r="AY64" s="185">
        <f>300388+145</f>
        <v>300533</v>
      </c>
      <c r="AZ64" s="185"/>
      <c r="BA64" s="185">
        <v>63503</v>
      </c>
      <c r="BB64" s="185">
        <v>75</v>
      </c>
      <c r="BC64" s="185"/>
      <c r="BD64" s="185">
        <v>4893</v>
      </c>
      <c r="BE64" s="185">
        <f>50767+28+55</f>
        <v>50850</v>
      </c>
      <c r="BF64" s="185">
        <v>174303</v>
      </c>
      <c r="BG64" s="185"/>
      <c r="BH64" s="185">
        <v>216882</v>
      </c>
      <c r="BI64" s="185"/>
      <c r="BJ64" s="185">
        <v>14532</v>
      </c>
      <c r="BK64" s="185">
        <v>8420</v>
      </c>
      <c r="BL64" s="185">
        <f>46938</f>
        <v>46938</v>
      </c>
      <c r="BM64" s="185"/>
      <c r="BN64" s="185">
        <f>49945+570+434+245</f>
        <v>51194</v>
      </c>
      <c r="BO64" s="185">
        <f>191756-176756</f>
        <v>15000</v>
      </c>
      <c r="BP64" s="185">
        <v>5490</v>
      </c>
      <c r="BQ64" s="185"/>
      <c r="BR64" s="185">
        <f>5067+1169</f>
        <v>6236</v>
      </c>
      <c r="BS64" s="185">
        <f>22159</f>
        <v>22159</v>
      </c>
      <c r="BT64" s="185"/>
      <c r="BU64" s="185"/>
      <c r="BV64" s="185">
        <v>8158</v>
      </c>
      <c r="BW64" s="185">
        <v>1819</v>
      </c>
      <c r="BX64" s="185">
        <v>2108</v>
      </c>
      <c r="BY64" s="185">
        <f>160+6930+244+3857+108+2</f>
        <v>11301</v>
      </c>
      <c r="BZ64" s="185"/>
      <c r="CA64" s="185"/>
      <c r="CB64" s="185"/>
      <c r="CC64" s="185"/>
      <c r="CD64" s="304" t="s">
        <v>221</v>
      </c>
      <c r="CE64" s="294">
        <f t="shared" si="0"/>
        <v>10836660</v>
      </c>
      <c r="CF64" s="2"/>
    </row>
    <row r="65" spans="1:84" ht="12.65" customHeight="1" x14ac:dyDescent="0.3">
      <c r="A65" s="301" t="s">
        <v>238</v>
      </c>
      <c r="B65" s="294"/>
      <c r="C65" s="299">
        <v>0</v>
      </c>
      <c r="D65" s="299"/>
      <c r="E65" s="299">
        <v>0</v>
      </c>
      <c r="F65" s="299"/>
      <c r="G65" s="299"/>
      <c r="H65" s="299"/>
      <c r="I65" s="185"/>
      <c r="J65" s="299"/>
      <c r="K65" s="185"/>
      <c r="L65" s="185"/>
      <c r="M65" s="299"/>
      <c r="N65" s="299"/>
      <c r="O65" s="299"/>
      <c r="P65" s="185">
        <v>435</v>
      </c>
      <c r="Q65" s="185"/>
      <c r="R65" s="185"/>
      <c r="S65" s="185"/>
      <c r="T65" s="185"/>
      <c r="U65" s="185">
        <v>1537</v>
      </c>
      <c r="V65" s="185"/>
      <c r="W65" s="185"/>
      <c r="X65" s="185"/>
      <c r="Y65" s="185">
        <v>0</v>
      </c>
      <c r="Z65" s="185"/>
      <c r="AA65" s="185"/>
      <c r="AB65" s="185"/>
      <c r="AC65" s="185"/>
      <c r="AD65" s="185"/>
      <c r="AE65" s="185">
        <v>1584</v>
      </c>
      <c r="AF65" s="185"/>
      <c r="AG65" s="185"/>
      <c r="AH65" s="185"/>
      <c r="AI65" s="185"/>
      <c r="AJ65" s="185">
        <f>63491+12752+124833</f>
        <v>201076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746550+26181+55557</f>
        <v>828288</v>
      </c>
      <c r="BF65" s="185"/>
      <c r="BG65" s="185"/>
      <c r="BH65" s="185">
        <f>6163+9245</f>
        <v>15408</v>
      </c>
      <c r="BI65" s="185"/>
      <c r="BJ65" s="185"/>
      <c r="BK65" s="185"/>
      <c r="BL65" s="185"/>
      <c r="BM65" s="185"/>
      <c r="BN65" s="185"/>
      <c r="BO65" s="185">
        <f>1739-2-1537</f>
        <v>200</v>
      </c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4" t="s">
        <v>221</v>
      </c>
      <c r="CE65" s="294">
        <f t="shared" si="0"/>
        <v>1048528</v>
      </c>
      <c r="CF65" s="2"/>
    </row>
    <row r="66" spans="1:84" ht="12.65" customHeight="1" x14ac:dyDescent="0.3">
      <c r="A66" s="301" t="s">
        <v>239</v>
      </c>
      <c r="B66" s="294"/>
      <c r="C66" s="299">
        <v>5800</v>
      </c>
      <c r="D66" s="299"/>
      <c r="E66" s="299">
        <v>7263</v>
      </c>
      <c r="F66" s="299"/>
      <c r="G66" s="299"/>
      <c r="H66" s="299"/>
      <c r="I66" s="299"/>
      <c r="J66" s="299"/>
      <c r="K66" s="185"/>
      <c r="L66" s="185"/>
      <c r="M66" s="299"/>
      <c r="N66" s="299"/>
      <c r="O66" s="185">
        <f>15599+70</f>
        <v>15669</v>
      </c>
      <c r="P66" s="185">
        <f>508+28121+68205+27601+35+2961</f>
        <v>127431</v>
      </c>
      <c r="Q66" s="185"/>
      <c r="R66" s="185">
        <f>65434+2999</f>
        <v>68433</v>
      </c>
      <c r="S66" s="299">
        <f>14723+31853</f>
        <v>46576</v>
      </c>
      <c r="T66" s="299"/>
      <c r="U66" s="185">
        <f>1899314+538000</f>
        <v>2437314</v>
      </c>
      <c r="V66" s="185"/>
      <c r="W66" s="185">
        <v>616676</v>
      </c>
      <c r="X66" s="185">
        <f>762+5558+93702</f>
        <v>100022</v>
      </c>
      <c r="Y66" s="185">
        <v>341276</v>
      </c>
      <c r="Z66" s="185"/>
      <c r="AA66" s="185"/>
      <c r="AB66" s="185">
        <f>42820+4874+260267+132188</f>
        <v>440149</v>
      </c>
      <c r="AC66" s="185">
        <f>20643</f>
        <v>20643</v>
      </c>
      <c r="AD66" s="185"/>
      <c r="AE66" s="185">
        <f>930959</f>
        <v>930959</v>
      </c>
      <c r="AF66" s="185"/>
      <c r="AG66" s="185">
        <v>101138</v>
      </c>
      <c r="AH66" s="185"/>
      <c r="AI66" s="185"/>
      <c r="AJ66" s="185">
        <f>67968+39640+649724+1285-3</f>
        <v>758614</v>
      </c>
      <c r="AK66" s="185">
        <v>242750</v>
      </c>
      <c r="AL66" s="185">
        <v>239459</v>
      </c>
      <c r="AM66" s="185"/>
      <c r="AN66" s="185"/>
      <c r="AO66" s="185"/>
      <c r="AP66" s="185"/>
      <c r="AQ66" s="185"/>
      <c r="AR66" s="185">
        <f>115774+38836</f>
        <v>154610</v>
      </c>
      <c r="AS66" s="185"/>
      <c r="AT66" s="185"/>
      <c r="AU66" s="185"/>
      <c r="AV66" s="185"/>
      <c r="AW66" s="185"/>
      <c r="AX66" s="185"/>
      <c r="AY66" s="185">
        <f>18568+3227</f>
        <v>21795</v>
      </c>
      <c r="AZ66" s="185"/>
      <c r="BA66" s="185">
        <f>401+801</f>
        <v>1202</v>
      </c>
      <c r="BB66" s="185">
        <f>4540</f>
        <v>4540</v>
      </c>
      <c r="BC66" s="185"/>
      <c r="BD66" s="185">
        <v>138824</v>
      </c>
      <c r="BE66" s="185">
        <f>460801+25837+197839</f>
        <v>684477</v>
      </c>
      <c r="BF66" s="185">
        <v>128581</v>
      </c>
      <c r="BG66" s="185"/>
      <c r="BH66" s="185">
        <v>2003038</v>
      </c>
      <c r="BI66" s="185"/>
      <c r="BJ66" s="185">
        <f>211955+2</f>
        <v>211957</v>
      </c>
      <c r="BK66" s="185">
        <v>580857</v>
      </c>
      <c r="BL66" s="185">
        <v>4529</v>
      </c>
      <c r="BM66" s="185"/>
      <c r="BN66" s="185">
        <f>103582+130</f>
        <v>103712</v>
      </c>
      <c r="BO66" s="185">
        <f>538673-538000</f>
        <v>673</v>
      </c>
      <c r="BP66" s="185">
        <f>23250</f>
        <v>23250</v>
      </c>
      <c r="BQ66" s="185"/>
      <c r="BR66" s="185">
        <f>181395+290</f>
        <v>181685</v>
      </c>
      <c r="BS66" s="185">
        <f>1377</f>
        <v>1377</v>
      </c>
      <c r="BT66" s="185"/>
      <c r="BU66" s="185"/>
      <c r="BV66" s="185">
        <v>623828</v>
      </c>
      <c r="BW66" s="185">
        <v>13058</v>
      </c>
      <c r="BX66" s="185">
        <v>347196</v>
      </c>
      <c r="BY66" s="185">
        <f>14294+40997+177172</f>
        <v>232463</v>
      </c>
      <c r="BZ66" s="185"/>
      <c r="CA66" s="185"/>
      <c r="CB66" s="185"/>
      <c r="CC66" s="185"/>
      <c r="CD66" s="304" t="s">
        <v>221</v>
      </c>
      <c r="CE66" s="294">
        <f t="shared" si="0"/>
        <v>11961824</v>
      </c>
      <c r="CF66" s="2"/>
    </row>
    <row r="67" spans="1:84" ht="12.65" customHeight="1" x14ac:dyDescent="0.3">
      <c r="A67" s="301" t="s">
        <v>6</v>
      </c>
      <c r="B67" s="294"/>
      <c r="C67" s="294">
        <f>ROUND(C51+C52,0)</f>
        <v>79012</v>
      </c>
      <c r="D67" s="294">
        <f>ROUND(D51+D52,0)</f>
        <v>0</v>
      </c>
      <c r="E67" s="294">
        <f t="shared" ref="E67:BP67" si="3">ROUND(E51+E52,0)</f>
        <v>271608</v>
      </c>
      <c r="F67" s="294">
        <f t="shared" si="3"/>
        <v>0</v>
      </c>
      <c r="G67" s="294">
        <f t="shared" si="3"/>
        <v>0</v>
      </c>
      <c r="H67" s="294">
        <f t="shared" si="3"/>
        <v>0</v>
      </c>
      <c r="I67" s="294">
        <f t="shared" si="3"/>
        <v>0</v>
      </c>
      <c r="J67" s="294">
        <f>ROUND(J51+J52,0)</f>
        <v>4150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85372</v>
      </c>
      <c r="P67" s="294">
        <f t="shared" si="3"/>
        <v>424232</v>
      </c>
      <c r="Q67" s="294">
        <f t="shared" si="3"/>
        <v>25485</v>
      </c>
      <c r="R67" s="294">
        <f t="shared" si="3"/>
        <v>16031</v>
      </c>
      <c r="S67" s="294">
        <f t="shared" si="3"/>
        <v>75493</v>
      </c>
      <c r="T67" s="294">
        <f t="shared" si="3"/>
        <v>0</v>
      </c>
      <c r="U67" s="294">
        <f t="shared" si="3"/>
        <v>174460</v>
      </c>
      <c r="V67" s="294">
        <f t="shared" si="3"/>
        <v>17733</v>
      </c>
      <c r="W67" s="294">
        <f t="shared" si="3"/>
        <v>2339</v>
      </c>
      <c r="X67" s="294">
        <f t="shared" si="3"/>
        <v>37420</v>
      </c>
      <c r="Y67" s="294">
        <f t="shared" si="3"/>
        <v>188021</v>
      </c>
      <c r="Z67" s="294">
        <f t="shared" si="3"/>
        <v>0</v>
      </c>
      <c r="AA67" s="294">
        <f t="shared" si="3"/>
        <v>0</v>
      </c>
      <c r="AB67" s="294">
        <f t="shared" si="3"/>
        <v>21523</v>
      </c>
      <c r="AC67" s="294">
        <f t="shared" si="3"/>
        <v>36589</v>
      </c>
      <c r="AD67" s="294">
        <f t="shared" si="3"/>
        <v>0</v>
      </c>
      <c r="AE67" s="294">
        <f t="shared" si="3"/>
        <v>13665</v>
      </c>
      <c r="AF67" s="294">
        <f t="shared" si="3"/>
        <v>0</v>
      </c>
      <c r="AG67" s="294">
        <f t="shared" si="3"/>
        <v>120752</v>
      </c>
      <c r="AH67" s="294">
        <f t="shared" si="3"/>
        <v>0</v>
      </c>
      <c r="AI67" s="294">
        <f t="shared" si="3"/>
        <v>0</v>
      </c>
      <c r="AJ67" s="294">
        <f t="shared" si="3"/>
        <v>590006</v>
      </c>
      <c r="AK67" s="294">
        <f t="shared" si="3"/>
        <v>1794</v>
      </c>
      <c r="AL67" s="294">
        <f t="shared" si="3"/>
        <v>0</v>
      </c>
      <c r="AM67" s="294">
        <f t="shared" si="3"/>
        <v>0</v>
      </c>
      <c r="AN67" s="294">
        <f t="shared" si="3"/>
        <v>0</v>
      </c>
      <c r="AO67" s="294">
        <f t="shared" si="3"/>
        <v>0</v>
      </c>
      <c r="AP67" s="294">
        <f t="shared" si="3"/>
        <v>0</v>
      </c>
      <c r="AQ67" s="294">
        <f t="shared" si="3"/>
        <v>0</v>
      </c>
      <c r="AR67" s="294">
        <f t="shared" si="3"/>
        <v>43210</v>
      </c>
      <c r="AS67" s="294">
        <f t="shared" si="3"/>
        <v>0</v>
      </c>
      <c r="AT67" s="294">
        <f t="shared" si="3"/>
        <v>0</v>
      </c>
      <c r="AU67" s="294">
        <f t="shared" si="3"/>
        <v>0</v>
      </c>
      <c r="AV67" s="294">
        <f t="shared" si="3"/>
        <v>0</v>
      </c>
      <c r="AW67" s="294">
        <f t="shared" si="3"/>
        <v>0</v>
      </c>
      <c r="AX67" s="294">
        <f t="shared" si="3"/>
        <v>0</v>
      </c>
      <c r="AY67" s="294">
        <f t="shared" si="3"/>
        <v>70232</v>
      </c>
      <c r="AZ67" s="294">
        <f>ROUND(AZ51+AZ52,0)</f>
        <v>0</v>
      </c>
      <c r="BA67" s="294">
        <f>ROUND(BA51+BA52,0)</f>
        <v>19799</v>
      </c>
      <c r="BB67" s="294">
        <f t="shared" si="3"/>
        <v>0</v>
      </c>
      <c r="BC67" s="294">
        <f t="shared" si="3"/>
        <v>0</v>
      </c>
      <c r="BD67" s="294">
        <f t="shared" si="3"/>
        <v>26467</v>
      </c>
      <c r="BE67" s="294">
        <f t="shared" si="3"/>
        <v>176646</v>
      </c>
      <c r="BF67" s="294">
        <f t="shared" si="3"/>
        <v>7087</v>
      </c>
      <c r="BG67" s="294">
        <f t="shared" si="3"/>
        <v>0</v>
      </c>
      <c r="BH67" s="294">
        <f t="shared" si="3"/>
        <v>1160246</v>
      </c>
      <c r="BI67" s="294">
        <f t="shared" si="3"/>
        <v>0</v>
      </c>
      <c r="BJ67" s="294">
        <f t="shared" si="3"/>
        <v>37143</v>
      </c>
      <c r="BK67" s="294">
        <f t="shared" si="3"/>
        <v>112062</v>
      </c>
      <c r="BL67" s="294">
        <f t="shared" si="3"/>
        <v>0</v>
      </c>
      <c r="BM67" s="294">
        <f t="shared" si="3"/>
        <v>0</v>
      </c>
      <c r="BN67" s="294">
        <f t="shared" si="3"/>
        <v>285894</v>
      </c>
      <c r="BO67" s="294">
        <f t="shared" si="3"/>
        <v>2613</v>
      </c>
      <c r="BP67" s="294">
        <f t="shared" si="3"/>
        <v>0</v>
      </c>
      <c r="BQ67" s="294">
        <f t="shared" ref="BQ67:CC67" si="4">ROUND(BQ51+BQ52,0)</f>
        <v>0</v>
      </c>
      <c r="BR67" s="294">
        <f t="shared" si="4"/>
        <v>87421</v>
      </c>
      <c r="BS67" s="294">
        <f t="shared" si="4"/>
        <v>0</v>
      </c>
      <c r="BT67" s="294">
        <f t="shared" si="4"/>
        <v>0</v>
      </c>
      <c r="BU67" s="294">
        <f t="shared" si="4"/>
        <v>0</v>
      </c>
      <c r="BV67" s="294">
        <f t="shared" si="4"/>
        <v>9051</v>
      </c>
      <c r="BW67" s="294">
        <f t="shared" si="4"/>
        <v>1383</v>
      </c>
      <c r="BX67" s="294">
        <f t="shared" si="4"/>
        <v>1149</v>
      </c>
      <c r="BY67" s="294">
        <f t="shared" si="4"/>
        <v>14398</v>
      </c>
      <c r="BZ67" s="294">
        <f t="shared" si="4"/>
        <v>0</v>
      </c>
      <c r="CA67" s="294">
        <f t="shared" si="4"/>
        <v>0</v>
      </c>
      <c r="CB67" s="294">
        <f t="shared" si="4"/>
        <v>0</v>
      </c>
      <c r="CC67" s="294">
        <f t="shared" si="4"/>
        <v>0</v>
      </c>
      <c r="CD67" s="304" t="s">
        <v>221</v>
      </c>
      <c r="CE67" s="294">
        <f t="shared" si="0"/>
        <v>4240486</v>
      </c>
      <c r="CF67" s="2"/>
    </row>
    <row r="68" spans="1:84" ht="12.65" customHeight="1" x14ac:dyDescent="0.3">
      <c r="A68" s="301" t="s">
        <v>240</v>
      </c>
      <c r="B68" s="294"/>
      <c r="C68" s="299">
        <v>0</v>
      </c>
      <c r="D68" s="299"/>
      <c r="E68" s="299">
        <v>7726</v>
      </c>
      <c r="F68" s="299"/>
      <c r="G68" s="299"/>
      <c r="H68" s="299"/>
      <c r="I68" s="299"/>
      <c r="J68" s="299"/>
      <c r="K68" s="185"/>
      <c r="L68" s="185"/>
      <c r="M68" s="299"/>
      <c r="N68" s="299"/>
      <c r="O68" s="299"/>
      <c r="P68" s="185">
        <v>66256</v>
      </c>
      <c r="Q68" s="185"/>
      <c r="R68" s="185"/>
      <c r="S68" s="185"/>
      <c r="T68" s="185"/>
      <c r="U68" s="185">
        <f>6726+123387</f>
        <v>130113</v>
      </c>
      <c r="V68" s="185"/>
      <c r="W68" s="185"/>
      <c r="X68" s="185">
        <v>67922</v>
      </c>
      <c r="Y68" s="185">
        <f>266386</f>
        <v>266386</v>
      </c>
      <c r="Z68" s="185"/>
      <c r="AA68" s="185"/>
      <c r="AB68" s="185">
        <f>157680+46955</f>
        <v>204635</v>
      </c>
      <c r="AC68" s="185">
        <v>1849</v>
      </c>
      <c r="AD68" s="185"/>
      <c r="AE68" s="185">
        <f>127856+13748</f>
        <v>141604</v>
      </c>
      <c r="AF68" s="185"/>
      <c r="AG68" s="185"/>
      <c r="AH68" s="185"/>
      <c r="AI68" s="185"/>
      <c r="AJ68" s="185">
        <f>279244</f>
        <v>279244</v>
      </c>
      <c r="AK68" s="185">
        <v>43267</v>
      </c>
      <c r="AL68" s="185">
        <v>12714</v>
      </c>
      <c r="AM68" s="185"/>
      <c r="AN68" s="185"/>
      <c r="AO68" s="185"/>
      <c r="AP68" s="185"/>
      <c r="AQ68" s="185"/>
      <c r="AR68" s="185">
        <f>30959</f>
        <v>30959</v>
      </c>
      <c r="AS68" s="185"/>
      <c r="AT68" s="185"/>
      <c r="AU68" s="185"/>
      <c r="AV68" s="185"/>
      <c r="AW68" s="185"/>
      <c r="AX68" s="185"/>
      <c r="AY68" s="185">
        <v>1716</v>
      </c>
      <c r="AZ68" s="185"/>
      <c r="BA68" s="185"/>
      <c r="BB68" s="185"/>
      <c r="BC68" s="185"/>
      <c r="BD68" s="185">
        <v>48991</v>
      </c>
      <c r="BE68" s="185">
        <f>1380</f>
        <v>1380</v>
      </c>
      <c r="BF68" s="185"/>
      <c r="BG68" s="185"/>
      <c r="BH68" s="185"/>
      <c r="BI68" s="185"/>
      <c r="BJ68" s="185"/>
      <c r="BK68" s="185">
        <v>2829</v>
      </c>
      <c r="BL68" s="185"/>
      <c r="BM68" s="185"/>
      <c r="BN68" s="185">
        <f>56751</f>
        <v>56751</v>
      </c>
      <c r="BO68" s="185">
        <f>123387-123387</f>
        <v>0</v>
      </c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304" t="s">
        <v>221</v>
      </c>
      <c r="CE68" s="294">
        <f t="shared" si="0"/>
        <v>1364342</v>
      </c>
      <c r="CF68" s="2"/>
    </row>
    <row r="69" spans="1:84" ht="12.65" customHeight="1" x14ac:dyDescent="0.3">
      <c r="A69" s="301" t="s">
        <v>241</v>
      </c>
      <c r="B69" s="294"/>
      <c r="C69" s="299">
        <v>2801</v>
      </c>
      <c r="D69" s="299"/>
      <c r="E69" s="185">
        <v>6895</v>
      </c>
      <c r="F69" s="185"/>
      <c r="G69" s="299"/>
      <c r="H69" s="299"/>
      <c r="I69" s="185"/>
      <c r="J69" s="185"/>
      <c r="K69" s="185"/>
      <c r="L69" s="185"/>
      <c r="M69" s="299"/>
      <c r="N69" s="299"/>
      <c r="O69" s="299">
        <f>3263+157+231</f>
        <v>3651</v>
      </c>
      <c r="P69" s="185">
        <f>215+75+373+1204</f>
        <v>1867</v>
      </c>
      <c r="Q69" s="185"/>
      <c r="R69" s="224"/>
      <c r="S69" s="185">
        <f>878+1575</f>
        <v>2453</v>
      </c>
      <c r="T69" s="299"/>
      <c r="U69" s="185">
        <f>655+269+24250</f>
        <v>25174</v>
      </c>
      <c r="V69" s="185"/>
      <c r="W69" s="299"/>
      <c r="X69" s="185"/>
      <c r="Y69" s="185">
        <v>7487</v>
      </c>
      <c r="Z69" s="185"/>
      <c r="AA69" s="185"/>
      <c r="AB69" s="185">
        <v>6830</v>
      </c>
      <c r="AC69" s="185">
        <v>230</v>
      </c>
      <c r="AD69" s="185"/>
      <c r="AE69" s="185">
        <f>730+484+1737</f>
        <v>2951</v>
      </c>
      <c r="AF69" s="185"/>
      <c r="AG69" s="185">
        <v>68527</v>
      </c>
      <c r="AH69" s="185"/>
      <c r="AI69" s="185"/>
      <c r="AJ69" s="185">
        <f>163708+23283+354+15589+1449+12270+49208</f>
        <v>265861</v>
      </c>
      <c r="AK69" s="185">
        <f>21+300</f>
        <v>321</v>
      </c>
      <c r="AL69" s="185">
        <v>1602</v>
      </c>
      <c r="AM69" s="185"/>
      <c r="AN69" s="185"/>
      <c r="AO69" s="299"/>
      <c r="AP69" s="185"/>
      <c r="AQ69" s="299"/>
      <c r="AR69" s="299">
        <v>504143</v>
      </c>
      <c r="AS69" s="299"/>
      <c r="AT69" s="299"/>
      <c r="AU69" s="185"/>
      <c r="AV69" s="185"/>
      <c r="AW69" s="185"/>
      <c r="AX69" s="185"/>
      <c r="AY69" s="185">
        <f>33+190+54+2018</f>
        <v>2295</v>
      </c>
      <c r="AZ69" s="185"/>
      <c r="BA69" s="185"/>
      <c r="BB69" s="185">
        <v>36</v>
      </c>
      <c r="BC69" s="185"/>
      <c r="BD69" s="185">
        <f>106326+40</f>
        <v>106366</v>
      </c>
      <c r="BE69" s="185">
        <f>1435+456+2160+557+252+5200+967</f>
        <v>11027</v>
      </c>
      <c r="BF69" s="185">
        <f>1070+968</f>
        <v>2038</v>
      </c>
      <c r="BG69" s="185"/>
      <c r="BH69" s="224">
        <f>16+1807+128</f>
        <v>1951</v>
      </c>
      <c r="BI69" s="185"/>
      <c r="BJ69" s="185">
        <f>13+14+471+1053</f>
        <v>1551</v>
      </c>
      <c r="BK69" s="185">
        <f>250+2830</f>
        <v>3080</v>
      </c>
      <c r="BL69" s="185">
        <f>142+322</f>
        <v>464</v>
      </c>
      <c r="BM69" s="185"/>
      <c r="BN69" s="185">
        <f>578+319241+645703+607942+144121-327998</f>
        <v>1389587</v>
      </c>
      <c r="BO69" s="185">
        <f>169+129+24956+2287+9-24250</f>
        <v>3300</v>
      </c>
      <c r="BP69" s="185">
        <f>20+2639+50+129311+5054</f>
        <v>137074</v>
      </c>
      <c r="BQ69" s="185"/>
      <c r="BR69" s="185">
        <f>2469+786+14505+219</f>
        <v>17979</v>
      </c>
      <c r="BS69" s="185"/>
      <c r="BT69" s="185"/>
      <c r="BU69" s="185"/>
      <c r="BV69" s="185">
        <f>537</f>
        <v>537</v>
      </c>
      <c r="BW69" s="185">
        <f>731+6369+40041</f>
        <v>47141</v>
      </c>
      <c r="BX69" s="185">
        <f>194+2460+954+1268</f>
        <v>4876</v>
      </c>
      <c r="BY69" s="185">
        <f>4681+2004</f>
        <v>6685</v>
      </c>
      <c r="BZ69" s="185"/>
      <c r="CA69" s="185"/>
      <c r="CB69" s="185"/>
      <c r="CC69" s="185"/>
      <c r="CD69" s="307"/>
      <c r="CE69" s="294">
        <f t="shared" si="0"/>
        <v>2636780</v>
      </c>
      <c r="CF69" s="2"/>
    </row>
    <row r="70" spans="1:84" ht="12.65" customHeight="1" x14ac:dyDescent="0.3">
      <c r="A70" s="301" t="s">
        <v>242</v>
      </c>
      <c r="B70" s="294"/>
      <c r="C70" s="299"/>
      <c r="D70" s="299"/>
      <c r="E70" s="299"/>
      <c r="F70" s="185"/>
      <c r="G70" s="299"/>
      <c r="H70" s="299"/>
      <c r="I70" s="299"/>
      <c r="J70" s="185"/>
      <c r="K70" s="185"/>
      <c r="L70" s="185"/>
      <c r="M70" s="299"/>
      <c r="N70" s="299"/>
      <c r="O70" s="299"/>
      <c r="P70" s="299"/>
      <c r="Q70" s="299"/>
      <c r="R70" s="299"/>
      <c r="S70" s="299"/>
      <c r="T70" s="299"/>
      <c r="U70" s="185"/>
      <c r="V70" s="299"/>
      <c r="W70" s="299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7"/>
      <c r="CE70" s="294">
        <f t="shared" si="0"/>
        <v>0</v>
      </c>
      <c r="CF70" s="2"/>
    </row>
    <row r="71" spans="1:84" ht="12.65" customHeight="1" x14ac:dyDescent="0.3">
      <c r="A71" s="301" t="s">
        <v>243</v>
      </c>
      <c r="B71" s="294"/>
      <c r="C71" s="294">
        <f>SUM(C61:C68)+C69-C70</f>
        <v>1701833</v>
      </c>
      <c r="D71" s="294">
        <f t="shared" ref="D71:AI71" si="5">SUM(D61:D69)-D70</f>
        <v>0</v>
      </c>
      <c r="E71" s="294">
        <f t="shared" si="5"/>
        <v>2368942</v>
      </c>
      <c r="F71" s="294">
        <f t="shared" si="5"/>
        <v>0</v>
      </c>
      <c r="G71" s="294">
        <f t="shared" si="5"/>
        <v>0</v>
      </c>
      <c r="H71" s="294">
        <f t="shared" si="5"/>
        <v>0</v>
      </c>
      <c r="I71" s="294">
        <f t="shared" si="5"/>
        <v>0</v>
      </c>
      <c r="J71" s="294">
        <f t="shared" si="5"/>
        <v>176506</v>
      </c>
      <c r="K71" s="294">
        <f t="shared" si="5"/>
        <v>0</v>
      </c>
      <c r="L71" s="294">
        <f t="shared" si="5"/>
        <v>0</v>
      </c>
      <c r="M71" s="294">
        <f t="shared" si="5"/>
        <v>0</v>
      </c>
      <c r="N71" s="294">
        <f t="shared" si="5"/>
        <v>0</v>
      </c>
      <c r="O71" s="294">
        <f t="shared" si="5"/>
        <v>1925174</v>
      </c>
      <c r="P71" s="294">
        <f t="shared" si="5"/>
        <v>6057266</v>
      </c>
      <c r="Q71" s="294">
        <f t="shared" si="5"/>
        <v>210325</v>
      </c>
      <c r="R71" s="294">
        <f t="shared" si="5"/>
        <v>118960</v>
      </c>
      <c r="S71" s="294">
        <f t="shared" si="5"/>
        <v>466362</v>
      </c>
      <c r="T71" s="294">
        <f t="shared" si="5"/>
        <v>0</v>
      </c>
      <c r="U71" s="294">
        <f t="shared" si="5"/>
        <v>7150640</v>
      </c>
      <c r="V71" s="294">
        <f t="shared" si="5"/>
        <v>17733</v>
      </c>
      <c r="W71" s="294">
        <f t="shared" si="5"/>
        <v>619368</v>
      </c>
      <c r="X71" s="294">
        <f t="shared" si="5"/>
        <v>1020982</v>
      </c>
      <c r="Y71" s="294">
        <f t="shared" si="5"/>
        <v>2735301</v>
      </c>
      <c r="Z71" s="294">
        <f t="shared" si="5"/>
        <v>0</v>
      </c>
      <c r="AA71" s="294">
        <f t="shared" si="5"/>
        <v>0</v>
      </c>
      <c r="AB71" s="294">
        <f t="shared" si="5"/>
        <v>4255653</v>
      </c>
      <c r="AC71" s="294">
        <f t="shared" si="5"/>
        <v>811776</v>
      </c>
      <c r="AD71" s="294">
        <f t="shared" si="5"/>
        <v>0</v>
      </c>
      <c r="AE71" s="294">
        <f t="shared" si="5"/>
        <v>1398473</v>
      </c>
      <c r="AF71" s="294">
        <f t="shared" si="5"/>
        <v>0</v>
      </c>
      <c r="AG71" s="294">
        <f t="shared" si="5"/>
        <v>6464002</v>
      </c>
      <c r="AH71" s="294">
        <f t="shared" si="5"/>
        <v>0</v>
      </c>
      <c r="AI71" s="294">
        <f t="shared" si="5"/>
        <v>0</v>
      </c>
      <c r="AJ71" s="294">
        <f t="shared" ref="AJ71:BO71" si="6">SUM(AJ61:AJ69)-AJ70</f>
        <v>23400618</v>
      </c>
      <c r="AK71" s="294">
        <f t="shared" si="6"/>
        <v>299746</v>
      </c>
      <c r="AL71" s="294">
        <f t="shared" si="6"/>
        <v>261353</v>
      </c>
      <c r="AM71" s="294">
        <f t="shared" si="6"/>
        <v>0</v>
      </c>
      <c r="AN71" s="294">
        <f t="shared" si="6"/>
        <v>0</v>
      </c>
      <c r="AO71" s="294">
        <f t="shared" si="6"/>
        <v>0</v>
      </c>
      <c r="AP71" s="294">
        <f t="shared" si="6"/>
        <v>0</v>
      </c>
      <c r="AQ71" s="294">
        <f t="shared" si="6"/>
        <v>0</v>
      </c>
      <c r="AR71" s="294">
        <f t="shared" si="6"/>
        <v>2892188</v>
      </c>
      <c r="AS71" s="294">
        <f t="shared" si="6"/>
        <v>0</v>
      </c>
      <c r="AT71" s="294">
        <f t="shared" si="6"/>
        <v>0</v>
      </c>
      <c r="AU71" s="294">
        <f t="shared" si="6"/>
        <v>0</v>
      </c>
      <c r="AV71" s="294">
        <f t="shared" si="6"/>
        <v>0</v>
      </c>
      <c r="AW71" s="294">
        <f t="shared" si="6"/>
        <v>0</v>
      </c>
      <c r="AX71" s="294">
        <f t="shared" si="6"/>
        <v>0</v>
      </c>
      <c r="AY71" s="294">
        <f t="shared" si="6"/>
        <v>1188493</v>
      </c>
      <c r="AZ71" s="294">
        <f t="shared" si="6"/>
        <v>0</v>
      </c>
      <c r="BA71" s="294">
        <f t="shared" si="6"/>
        <v>239787</v>
      </c>
      <c r="BB71" s="294">
        <f t="shared" si="6"/>
        <v>161638</v>
      </c>
      <c r="BC71" s="294">
        <f t="shared" si="6"/>
        <v>0</v>
      </c>
      <c r="BD71" s="294">
        <f t="shared" si="6"/>
        <v>697538</v>
      </c>
      <c r="BE71" s="294">
        <f t="shared" si="6"/>
        <v>2357244</v>
      </c>
      <c r="BF71" s="294">
        <f t="shared" si="6"/>
        <v>1053162</v>
      </c>
      <c r="BG71" s="294">
        <f t="shared" si="6"/>
        <v>0</v>
      </c>
      <c r="BH71" s="294">
        <f t="shared" si="6"/>
        <v>5079771</v>
      </c>
      <c r="BI71" s="294">
        <f t="shared" si="6"/>
        <v>0</v>
      </c>
      <c r="BJ71" s="294">
        <f t="shared" si="6"/>
        <v>923796</v>
      </c>
      <c r="BK71" s="294">
        <f t="shared" si="6"/>
        <v>2078444</v>
      </c>
      <c r="BL71" s="294">
        <f t="shared" si="6"/>
        <v>716873</v>
      </c>
      <c r="BM71" s="294">
        <f t="shared" si="6"/>
        <v>0</v>
      </c>
      <c r="BN71" s="294">
        <f t="shared" si="6"/>
        <v>3733350</v>
      </c>
      <c r="BO71" s="294">
        <f t="shared" si="6"/>
        <v>140080</v>
      </c>
      <c r="BP71" s="294">
        <f t="shared" ref="BP71:CC71" si="7">SUM(BP61:BP69)-BP70</f>
        <v>437103</v>
      </c>
      <c r="BQ71" s="294">
        <f t="shared" si="7"/>
        <v>0</v>
      </c>
      <c r="BR71" s="294">
        <f t="shared" si="7"/>
        <v>866866</v>
      </c>
      <c r="BS71" s="294">
        <f t="shared" si="7"/>
        <v>34581</v>
      </c>
      <c r="BT71" s="294">
        <f t="shared" si="7"/>
        <v>0</v>
      </c>
      <c r="BU71" s="294">
        <f t="shared" si="7"/>
        <v>0</v>
      </c>
      <c r="BV71" s="294">
        <f t="shared" si="7"/>
        <v>1911372</v>
      </c>
      <c r="BW71" s="294">
        <f t="shared" si="7"/>
        <v>708856</v>
      </c>
      <c r="BX71" s="294">
        <f t="shared" si="7"/>
        <v>1008545</v>
      </c>
      <c r="BY71" s="294">
        <f t="shared" si="7"/>
        <v>1593810</v>
      </c>
      <c r="BZ71" s="294">
        <f t="shared" si="7"/>
        <v>0</v>
      </c>
      <c r="CA71" s="294">
        <f t="shared" si="7"/>
        <v>0</v>
      </c>
      <c r="CB71" s="294">
        <f t="shared" si="7"/>
        <v>0</v>
      </c>
      <c r="CC71" s="294">
        <f t="shared" si="7"/>
        <v>0</v>
      </c>
      <c r="CD71" s="300">
        <f>CD69-CD70</f>
        <v>0</v>
      </c>
      <c r="CE71" s="294">
        <f>SUM(CE61:CE69)-CE70</f>
        <v>89284510</v>
      </c>
      <c r="CF71" s="2"/>
    </row>
    <row r="72" spans="1:84" ht="12.65" customHeight="1" x14ac:dyDescent="0.3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3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/>
      <c r="CF72" s="2"/>
    </row>
    <row r="73" spans="1:84" ht="12.65" customHeight="1" x14ac:dyDescent="0.3">
      <c r="A73" s="301" t="s">
        <v>245</v>
      </c>
      <c r="B73" s="294"/>
      <c r="C73" s="299">
        <v>887529</v>
      </c>
      <c r="D73" s="299"/>
      <c r="E73" s="185">
        <f>2660756+1664495</f>
        <v>4325251</v>
      </c>
      <c r="F73" s="185"/>
      <c r="G73" s="299"/>
      <c r="H73" s="299"/>
      <c r="I73" s="185"/>
      <c r="J73" s="185">
        <v>640865</v>
      </c>
      <c r="K73" s="185"/>
      <c r="L73" s="185"/>
      <c r="M73" s="299"/>
      <c r="N73" s="299"/>
      <c r="O73" s="299">
        <f>3379278-640865-1664495</f>
        <v>1073918</v>
      </c>
      <c r="P73" s="185">
        <f>4692695+78870+10577</f>
        <v>4782142</v>
      </c>
      <c r="Q73" s="185">
        <v>200826</v>
      </c>
      <c r="R73" s="185">
        <v>975</v>
      </c>
      <c r="S73" s="185"/>
      <c r="T73" s="185"/>
      <c r="U73" s="185">
        <v>1533323</v>
      </c>
      <c r="V73" s="185">
        <v>27819</v>
      </c>
      <c r="W73" s="185">
        <v>127244</v>
      </c>
      <c r="X73" s="185">
        <v>1006156</v>
      </c>
      <c r="Y73" s="185">
        <f>219003+176997+67990</f>
        <v>463990</v>
      </c>
      <c r="Z73" s="185"/>
      <c r="AA73" s="185"/>
      <c r="AB73" s="185">
        <v>3087988</v>
      </c>
      <c r="AC73" s="185">
        <f>232577</f>
        <v>232577</v>
      </c>
      <c r="AD73" s="185"/>
      <c r="AE73" s="185">
        <f>189688</f>
        <v>189688</v>
      </c>
      <c r="AF73" s="185"/>
      <c r="AG73" s="185">
        <f>283503+41013</f>
        <v>324516</v>
      </c>
      <c r="AH73" s="185"/>
      <c r="AI73" s="185"/>
      <c r="AJ73" s="185">
        <f>7420</f>
        <v>7420</v>
      </c>
      <c r="AK73" s="185">
        <v>71136</v>
      </c>
      <c r="AL73" s="185">
        <v>59198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19042561</v>
      </c>
      <c r="CF73" s="2"/>
    </row>
    <row r="74" spans="1:84" ht="12.65" customHeight="1" x14ac:dyDescent="0.3">
      <c r="A74" s="301" t="s">
        <v>246</v>
      </c>
      <c r="B74" s="294"/>
      <c r="C74" s="299">
        <v>632374</v>
      </c>
      <c r="D74" s="299"/>
      <c r="E74" s="185">
        <f>2322812+361</f>
        <v>2323173</v>
      </c>
      <c r="F74" s="185"/>
      <c r="G74" s="299"/>
      <c r="H74" s="299"/>
      <c r="I74" s="299"/>
      <c r="J74" s="185"/>
      <c r="K74" s="185"/>
      <c r="L74" s="185"/>
      <c r="M74" s="299"/>
      <c r="N74" s="299"/>
      <c r="O74" s="299">
        <f>559530+6154</f>
        <v>565684</v>
      </c>
      <c r="P74" s="185">
        <f>13036573+4354+3476867+2672344+158870+100735</f>
        <v>19449743</v>
      </c>
      <c r="Q74" s="185">
        <v>746381</v>
      </c>
      <c r="R74" s="185"/>
      <c r="S74" s="185"/>
      <c r="T74" s="185"/>
      <c r="U74" s="185">
        <f>20479865+235659</f>
        <v>20715524</v>
      </c>
      <c r="V74" s="185">
        <v>386974</v>
      </c>
      <c r="W74" s="185">
        <v>5949461</v>
      </c>
      <c r="X74" s="185">
        <v>18987621</v>
      </c>
      <c r="Y74" s="185">
        <f>5980400+192+1070790+2733024+899581</f>
        <v>10683987</v>
      </c>
      <c r="Z74" s="185"/>
      <c r="AA74" s="185"/>
      <c r="AB74" s="185">
        <v>9889086</v>
      </c>
      <c r="AC74" s="185">
        <f>832051+4554</f>
        <v>836605</v>
      </c>
      <c r="AD74" s="185"/>
      <c r="AE74" s="185">
        <f>2351695+550800</f>
        <v>2902495</v>
      </c>
      <c r="AF74" s="185"/>
      <c r="AG74" s="185">
        <f>14360395+30+2255491+1124482</f>
        <v>17740398</v>
      </c>
      <c r="AH74" s="185"/>
      <c r="AI74" s="185"/>
      <c r="AJ74" s="185">
        <f>22603693+1832266+857285+42947-7420</f>
        <v>25328771</v>
      </c>
      <c r="AK74" s="185">
        <v>608012</v>
      </c>
      <c r="AL74" s="185">
        <v>566446</v>
      </c>
      <c r="AM74" s="185"/>
      <c r="AN74" s="185"/>
      <c r="AO74" s="185"/>
      <c r="AP74" s="185"/>
      <c r="AQ74" s="185"/>
      <c r="AR74" s="185">
        <f>1494060+1452272</f>
        <v>2946332</v>
      </c>
      <c r="AS74" s="185"/>
      <c r="AT74" s="185"/>
      <c r="AU74" s="185"/>
      <c r="AV74" s="185"/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141259067</v>
      </c>
      <c r="CF74" s="2"/>
    </row>
    <row r="75" spans="1:84" ht="12.65" customHeight="1" x14ac:dyDescent="0.3">
      <c r="A75" s="301" t="s">
        <v>247</v>
      </c>
      <c r="B75" s="294"/>
      <c r="C75" s="294">
        <f t="shared" ref="C75:AV75" si="9">SUM(C73:C74)</f>
        <v>1519903</v>
      </c>
      <c r="D75" s="294">
        <f t="shared" si="9"/>
        <v>0</v>
      </c>
      <c r="E75" s="294">
        <f t="shared" si="9"/>
        <v>6648424</v>
      </c>
      <c r="F75" s="294">
        <f t="shared" si="9"/>
        <v>0</v>
      </c>
      <c r="G75" s="294">
        <f t="shared" si="9"/>
        <v>0</v>
      </c>
      <c r="H75" s="294">
        <f t="shared" si="9"/>
        <v>0</v>
      </c>
      <c r="I75" s="294">
        <f t="shared" si="9"/>
        <v>0</v>
      </c>
      <c r="J75" s="294">
        <f t="shared" si="9"/>
        <v>640865</v>
      </c>
      <c r="K75" s="294">
        <f t="shared" si="9"/>
        <v>0</v>
      </c>
      <c r="L75" s="294">
        <f t="shared" si="9"/>
        <v>0</v>
      </c>
      <c r="M75" s="294">
        <f t="shared" si="9"/>
        <v>0</v>
      </c>
      <c r="N75" s="294">
        <f t="shared" si="9"/>
        <v>0</v>
      </c>
      <c r="O75" s="294">
        <f t="shared" si="9"/>
        <v>1639602</v>
      </c>
      <c r="P75" s="294">
        <f t="shared" si="9"/>
        <v>24231885</v>
      </c>
      <c r="Q75" s="294">
        <f t="shared" si="9"/>
        <v>947207</v>
      </c>
      <c r="R75" s="294">
        <f t="shared" si="9"/>
        <v>975</v>
      </c>
      <c r="S75" s="294">
        <f t="shared" si="9"/>
        <v>0</v>
      </c>
      <c r="T75" s="294">
        <f t="shared" si="9"/>
        <v>0</v>
      </c>
      <c r="U75" s="294">
        <f t="shared" si="9"/>
        <v>22248847</v>
      </c>
      <c r="V75" s="294">
        <f t="shared" si="9"/>
        <v>414793</v>
      </c>
      <c r="W75" s="294">
        <f t="shared" si="9"/>
        <v>6076705</v>
      </c>
      <c r="X75" s="294">
        <f t="shared" si="9"/>
        <v>19993777</v>
      </c>
      <c r="Y75" s="294">
        <f t="shared" si="9"/>
        <v>11147977</v>
      </c>
      <c r="Z75" s="294">
        <f t="shared" si="9"/>
        <v>0</v>
      </c>
      <c r="AA75" s="294">
        <f t="shared" si="9"/>
        <v>0</v>
      </c>
      <c r="AB75" s="294">
        <f t="shared" si="9"/>
        <v>12977074</v>
      </c>
      <c r="AC75" s="294">
        <f t="shared" si="9"/>
        <v>1069182</v>
      </c>
      <c r="AD75" s="294">
        <f t="shared" si="9"/>
        <v>0</v>
      </c>
      <c r="AE75" s="294">
        <f t="shared" si="9"/>
        <v>3092183</v>
      </c>
      <c r="AF75" s="294">
        <f t="shared" si="9"/>
        <v>0</v>
      </c>
      <c r="AG75" s="294">
        <f t="shared" si="9"/>
        <v>18064914</v>
      </c>
      <c r="AH75" s="294">
        <f t="shared" si="9"/>
        <v>0</v>
      </c>
      <c r="AI75" s="294">
        <f t="shared" si="9"/>
        <v>0</v>
      </c>
      <c r="AJ75" s="294">
        <f t="shared" si="9"/>
        <v>25336191</v>
      </c>
      <c r="AK75" s="294">
        <f t="shared" si="9"/>
        <v>679148</v>
      </c>
      <c r="AL75" s="294">
        <f t="shared" si="9"/>
        <v>625644</v>
      </c>
      <c r="AM75" s="294">
        <f t="shared" si="9"/>
        <v>0</v>
      </c>
      <c r="AN75" s="294">
        <f t="shared" si="9"/>
        <v>0</v>
      </c>
      <c r="AO75" s="294">
        <f t="shared" si="9"/>
        <v>0</v>
      </c>
      <c r="AP75" s="294">
        <f t="shared" si="9"/>
        <v>0</v>
      </c>
      <c r="AQ75" s="294">
        <f t="shared" si="9"/>
        <v>0</v>
      </c>
      <c r="AR75" s="294">
        <f t="shared" si="9"/>
        <v>2946332</v>
      </c>
      <c r="AS75" s="294">
        <f t="shared" si="9"/>
        <v>0</v>
      </c>
      <c r="AT75" s="294">
        <f t="shared" si="9"/>
        <v>0</v>
      </c>
      <c r="AU75" s="294">
        <f t="shared" si="9"/>
        <v>0</v>
      </c>
      <c r="AV75" s="294">
        <f t="shared" si="9"/>
        <v>0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160301628</v>
      </c>
      <c r="CF75" s="2"/>
    </row>
    <row r="76" spans="1:84" ht="12.65" customHeight="1" x14ac:dyDescent="0.3">
      <c r="A76" s="301" t="s">
        <v>248</v>
      </c>
      <c r="B76" s="294"/>
      <c r="C76" s="299">
        <v>2897</v>
      </c>
      <c r="D76" s="299"/>
      <c r="E76" s="185">
        <v>12525</v>
      </c>
      <c r="F76" s="185"/>
      <c r="G76" s="299"/>
      <c r="H76" s="299"/>
      <c r="I76" s="185"/>
      <c r="J76" s="185">
        <v>252</v>
      </c>
      <c r="K76" s="185"/>
      <c r="L76" s="185"/>
      <c r="M76" s="185"/>
      <c r="N76" s="185"/>
      <c r="O76" s="185">
        <v>1972</v>
      </c>
      <c r="P76" s="185">
        <v>12295</v>
      </c>
      <c r="Q76" s="185">
        <v>1012</v>
      </c>
      <c r="R76" s="185"/>
      <c r="S76" s="185">
        <v>1529</v>
      </c>
      <c r="T76" s="185"/>
      <c r="U76" s="185">
        <f>1600+1340</f>
        <v>2940</v>
      </c>
      <c r="V76" s="185">
        <v>240</v>
      </c>
      <c r="W76" s="185">
        <v>142</v>
      </c>
      <c r="X76" s="185">
        <v>2272</v>
      </c>
      <c r="Y76" s="185">
        <v>2356</v>
      </c>
      <c r="Z76" s="185"/>
      <c r="AA76" s="185"/>
      <c r="AB76" s="185">
        <v>1163</v>
      </c>
      <c r="AC76" s="185">
        <f>1032-240</f>
        <v>792</v>
      </c>
      <c r="AD76" s="185"/>
      <c r="AE76" s="185">
        <v>565</v>
      </c>
      <c r="AF76" s="185"/>
      <c r="AG76" s="185">
        <v>5160</v>
      </c>
      <c r="AH76" s="185"/>
      <c r="AI76" s="185"/>
      <c r="AJ76" s="185">
        <f>23626</f>
        <v>23626</v>
      </c>
      <c r="AK76" s="185"/>
      <c r="AL76" s="185"/>
      <c r="AM76" s="185"/>
      <c r="AN76" s="185"/>
      <c r="AO76" s="185"/>
      <c r="AP76" s="185"/>
      <c r="AQ76" s="185"/>
      <c r="AR76" s="185">
        <f>697+697</f>
        <v>1394</v>
      </c>
      <c r="AS76" s="185"/>
      <c r="AT76" s="185"/>
      <c r="AU76" s="185"/>
      <c r="AV76" s="185"/>
      <c r="AW76" s="185"/>
      <c r="AX76" s="185"/>
      <c r="AY76" s="185">
        <f>2653+1372+101</f>
        <v>4126</v>
      </c>
      <c r="AZ76" s="185"/>
      <c r="BA76" s="185">
        <v>855</v>
      </c>
      <c r="BB76" s="185"/>
      <c r="BC76" s="185"/>
      <c r="BD76" s="185">
        <v>1607</v>
      </c>
      <c r="BE76" s="185">
        <f>6088+1532</f>
        <v>7620</v>
      </c>
      <c r="BF76" s="185">
        <f>196+147</f>
        <v>343</v>
      </c>
      <c r="BG76" s="185"/>
      <c r="BH76" s="185">
        <v>3456</v>
      </c>
      <c r="BI76" s="185"/>
      <c r="BJ76" s="185">
        <v>483</v>
      </c>
      <c r="BK76" s="185">
        <v>6804</v>
      </c>
      <c r="BL76" s="185"/>
      <c r="BM76" s="185"/>
      <c r="BN76" s="185">
        <f>4854+11152+785</f>
        <v>16791</v>
      </c>
      <c r="BO76" s="185"/>
      <c r="BP76" s="185"/>
      <c r="BQ76" s="185"/>
      <c r="BR76" s="185">
        <f>558+53</f>
        <v>611</v>
      </c>
      <c r="BS76" s="185"/>
      <c r="BT76" s="185"/>
      <c r="BU76" s="185"/>
      <c r="BV76" s="185"/>
      <c r="BW76" s="185">
        <v>84</v>
      </c>
      <c r="BX76" s="185"/>
      <c r="BY76" s="185">
        <f>474+216</f>
        <v>690</v>
      </c>
      <c r="BZ76" s="185"/>
      <c r="CA76" s="185"/>
      <c r="CB76" s="185"/>
      <c r="CC76" s="185"/>
      <c r="CD76" s="304" t="s">
        <v>221</v>
      </c>
      <c r="CE76" s="294">
        <f t="shared" si="8"/>
        <v>116602</v>
      </c>
      <c r="CF76" s="294">
        <f>BE59-CE76</f>
        <v>0</v>
      </c>
    </row>
    <row r="77" spans="1:84" ht="12.65" customHeight="1" x14ac:dyDescent="0.3">
      <c r="A77" s="301" t="s">
        <v>249</v>
      </c>
      <c r="B77" s="294"/>
      <c r="C77" s="299">
        <v>1786</v>
      </c>
      <c r="D77" s="299"/>
      <c r="E77" s="299">
        <v>8691</v>
      </c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>
        <v>59</v>
      </c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>
        <v>380</v>
      </c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4" t="s">
        <v>221</v>
      </c>
      <c r="AY77" s="304" t="s">
        <v>221</v>
      </c>
      <c r="AZ77" s="299"/>
      <c r="BA77" s="299"/>
      <c r="BB77" s="299"/>
      <c r="BC77" s="299"/>
      <c r="BD77" s="304" t="s">
        <v>221</v>
      </c>
      <c r="BE77" s="304" t="s">
        <v>221</v>
      </c>
      <c r="BF77" s="299"/>
      <c r="BG77" s="304" t="s">
        <v>221</v>
      </c>
      <c r="BH77" s="299"/>
      <c r="BI77" s="299"/>
      <c r="BJ77" s="304" t="s">
        <v>221</v>
      </c>
      <c r="BK77" s="299"/>
      <c r="BL77" s="299"/>
      <c r="BM77" s="299"/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4" t="s">
        <v>221</v>
      </c>
      <c r="CD77" s="304" t="s">
        <v>221</v>
      </c>
      <c r="CE77" s="294">
        <f>SUM(C77:CD77)</f>
        <v>10916</v>
      </c>
      <c r="CF77" s="294">
        <f>AY59-CE77</f>
        <v>0</v>
      </c>
    </row>
    <row r="78" spans="1:84" ht="12.65" customHeight="1" x14ac:dyDescent="0.3">
      <c r="A78" s="301" t="s">
        <v>250</v>
      </c>
      <c r="B78" s="294"/>
      <c r="C78" s="299">
        <v>1160</v>
      </c>
      <c r="D78" s="299"/>
      <c r="E78" s="299">
        <v>5017</v>
      </c>
      <c r="F78" s="299"/>
      <c r="G78" s="299"/>
      <c r="H78" s="299"/>
      <c r="I78" s="299"/>
      <c r="J78" s="299">
        <v>101</v>
      </c>
      <c r="K78" s="299"/>
      <c r="L78" s="299"/>
      <c r="M78" s="299"/>
      <c r="N78" s="299"/>
      <c r="O78" s="299">
        <v>790</v>
      </c>
      <c r="P78" s="299">
        <v>4925</v>
      </c>
      <c r="Q78" s="299">
        <v>405</v>
      </c>
      <c r="R78" s="299"/>
      <c r="S78" s="299">
        <v>612</v>
      </c>
      <c r="T78" s="299"/>
      <c r="U78" s="299">
        <v>641</v>
      </c>
      <c r="V78" s="299"/>
      <c r="W78" s="299">
        <v>356</v>
      </c>
      <c r="X78" s="299">
        <v>974</v>
      </c>
      <c r="Y78" s="299">
        <v>580</v>
      </c>
      <c r="Z78" s="299"/>
      <c r="AA78" s="299"/>
      <c r="AB78" s="299">
        <v>466</v>
      </c>
      <c r="AC78" s="299">
        <v>413</v>
      </c>
      <c r="AD78" s="299"/>
      <c r="AE78" s="299">
        <v>2995</v>
      </c>
      <c r="AF78" s="299"/>
      <c r="AG78" s="299">
        <v>2067</v>
      </c>
      <c r="AH78" s="299"/>
      <c r="AI78" s="299"/>
      <c r="AJ78" s="299">
        <v>5935</v>
      </c>
      <c r="AK78" s="299">
        <v>831</v>
      </c>
      <c r="AL78" s="299">
        <v>554</v>
      </c>
      <c r="AM78" s="299"/>
      <c r="AN78" s="299"/>
      <c r="AO78" s="299"/>
      <c r="AP78" s="299"/>
      <c r="AQ78" s="299"/>
      <c r="AR78" s="299">
        <v>558</v>
      </c>
      <c r="AS78" s="299"/>
      <c r="AT78" s="299"/>
      <c r="AU78" s="299"/>
      <c r="AV78" s="299"/>
      <c r="AW78" s="299"/>
      <c r="AX78" s="304" t="s">
        <v>221</v>
      </c>
      <c r="AY78" s="304" t="s">
        <v>221</v>
      </c>
      <c r="AZ78" s="304" t="s">
        <v>221</v>
      </c>
      <c r="BA78" s="299"/>
      <c r="BB78" s="299">
        <v>87</v>
      </c>
      <c r="BC78" s="299"/>
      <c r="BD78" s="304" t="s">
        <v>221</v>
      </c>
      <c r="BE78" s="304" t="s">
        <v>221</v>
      </c>
      <c r="BF78" s="304" t="s">
        <v>221</v>
      </c>
      <c r="BG78" s="304" t="s">
        <v>221</v>
      </c>
      <c r="BH78" s="299"/>
      <c r="BI78" s="299"/>
      <c r="BJ78" s="304" t="s">
        <v>221</v>
      </c>
      <c r="BK78" s="299"/>
      <c r="BL78" s="299"/>
      <c r="BM78" s="299"/>
      <c r="BN78" s="304" t="s">
        <v>221</v>
      </c>
      <c r="BO78" s="304" t="s">
        <v>221</v>
      </c>
      <c r="BP78" s="304" t="s">
        <v>221</v>
      </c>
      <c r="BQ78" s="304" t="s">
        <v>221</v>
      </c>
      <c r="BR78" s="304" t="s">
        <v>221</v>
      </c>
      <c r="BS78" s="299"/>
      <c r="BT78" s="299"/>
      <c r="BU78" s="299"/>
      <c r="BV78" s="299">
        <v>408</v>
      </c>
      <c r="BW78" s="299"/>
      <c r="BX78" s="299"/>
      <c r="BY78" s="299">
        <v>732</v>
      </c>
      <c r="BZ78" s="299"/>
      <c r="CA78" s="299"/>
      <c r="CB78" s="299"/>
      <c r="CC78" s="304" t="s">
        <v>221</v>
      </c>
      <c r="CD78" s="304" t="s">
        <v>221</v>
      </c>
      <c r="CE78" s="294">
        <f t="shared" si="8"/>
        <v>30607</v>
      </c>
      <c r="CF78" s="294"/>
    </row>
    <row r="79" spans="1:84" ht="12.65" customHeight="1" x14ac:dyDescent="0.3">
      <c r="A79" s="301" t="s">
        <v>251</v>
      </c>
      <c r="B79" s="294"/>
      <c r="C79" s="225">
        <v>14447</v>
      </c>
      <c r="D79" s="225"/>
      <c r="E79" s="299">
        <v>71861</v>
      </c>
      <c r="F79" s="299"/>
      <c r="G79" s="299"/>
      <c r="H79" s="299"/>
      <c r="I79" s="299"/>
      <c r="J79" s="299">
        <v>4758</v>
      </c>
      <c r="K79" s="299"/>
      <c r="L79" s="299"/>
      <c r="M79" s="299"/>
      <c r="N79" s="299"/>
      <c r="O79" s="299">
        <v>25002</v>
      </c>
      <c r="P79" s="299">
        <v>65373</v>
      </c>
      <c r="Q79" s="299"/>
      <c r="R79" s="299"/>
      <c r="S79" s="299"/>
      <c r="T79" s="299"/>
      <c r="U79" s="299">
        <v>9516</v>
      </c>
      <c r="V79" s="299"/>
      <c r="W79" s="299">
        <v>9717</v>
      </c>
      <c r="X79" s="299">
        <v>30972</v>
      </c>
      <c r="Y79" s="299">
        <v>20041</v>
      </c>
      <c r="Z79" s="299"/>
      <c r="AA79" s="299"/>
      <c r="AB79" s="299"/>
      <c r="AC79" s="299">
        <v>2019</v>
      </c>
      <c r="AD79" s="299"/>
      <c r="AE79" s="299">
        <v>8651</v>
      </c>
      <c r="AF79" s="299"/>
      <c r="AG79" s="299">
        <v>62749</v>
      </c>
      <c r="AH79" s="299"/>
      <c r="AI79" s="299"/>
      <c r="AJ79" s="299">
        <v>14562</v>
      </c>
      <c r="AK79" s="299">
        <v>4326</v>
      </c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/>
      <c r="BJ79" s="304" t="s">
        <v>221</v>
      </c>
      <c r="BK79" s="299"/>
      <c r="BL79" s="299"/>
      <c r="BM79" s="299"/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4" t="s">
        <v>221</v>
      </c>
      <c r="CD79" s="304" t="s">
        <v>221</v>
      </c>
      <c r="CE79" s="294">
        <f>SUM(C79:CD79)</f>
        <v>343994</v>
      </c>
      <c r="CF79">
        <f>BA59</f>
        <v>0</v>
      </c>
    </row>
    <row r="80" spans="1:84" ht="12.65" customHeight="1" x14ac:dyDescent="0.3">
      <c r="A80" s="301" t="s">
        <v>252</v>
      </c>
      <c r="B80" s="294"/>
      <c r="C80" s="187">
        <v>10.53</v>
      </c>
      <c r="D80" s="187"/>
      <c r="E80" s="187">
        <v>24.59</v>
      </c>
      <c r="F80" s="187"/>
      <c r="G80" s="187"/>
      <c r="H80" s="187"/>
      <c r="I80" s="187"/>
      <c r="J80" s="187">
        <v>0.95</v>
      </c>
      <c r="K80" s="187"/>
      <c r="L80" s="187"/>
      <c r="M80" s="187"/>
      <c r="N80" s="187"/>
      <c r="O80" s="187">
        <v>4.9800000000000004</v>
      </c>
      <c r="P80" s="187">
        <v>13.02</v>
      </c>
      <c r="Q80" s="187">
        <v>0.95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20.59</v>
      </c>
      <c r="AH80" s="187"/>
      <c r="AI80" s="187"/>
      <c r="AJ80" s="187">
        <f>2.06+9.33</f>
        <v>11.39</v>
      </c>
      <c r="AK80" s="187"/>
      <c r="AL80" s="187"/>
      <c r="AM80" s="187"/>
      <c r="AN80" s="187"/>
      <c r="AO80" s="187"/>
      <c r="AP80" s="187"/>
      <c r="AQ80" s="187"/>
      <c r="AR80" s="187">
        <v>9.84</v>
      </c>
      <c r="AS80" s="187"/>
      <c r="AT80" s="187"/>
      <c r="AU80" s="187"/>
      <c r="AV80" s="187"/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96.84</v>
      </c>
      <c r="CF80" s="309"/>
    </row>
    <row r="81" spans="1:84" ht="21" customHeight="1" x14ac:dyDescent="0.3">
      <c r="A81" s="310" t="s">
        <v>253</v>
      </c>
      <c r="B81" s="310"/>
      <c r="C81" s="310"/>
      <c r="D81" s="310"/>
      <c r="E81" s="3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1" t="s">
        <v>254</v>
      </c>
      <c r="B82" s="311"/>
      <c r="C82" s="312" t="s">
        <v>1267</v>
      </c>
      <c r="D82" s="313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4" t="s">
        <v>255</v>
      </c>
      <c r="B83" s="311" t="s">
        <v>256</v>
      </c>
      <c r="C83" s="314" t="s">
        <v>1269</v>
      </c>
      <c r="D83" s="313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4" t="s">
        <v>257</v>
      </c>
      <c r="B84" s="311" t="s">
        <v>256</v>
      </c>
      <c r="C84" s="229" t="s">
        <v>1270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4" t="s">
        <v>1250</v>
      </c>
      <c r="B85" s="311"/>
      <c r="C85" s="270" t="s">
        <v>1271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4" t="s">
        <v>1251</v>
      </c>
      <c r="B86" s="311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4" t="s">
        <v>258</v>
      </c>
      <c r="B87" s="311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4" t="s">
        <v>259</v>
      </c>
      <c r="B88" s="311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4" t="s">
        <v>260</v>
      </c>
      <c r="B89" s="311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4" t="s">
        <v>261</v>
      </c>
      <c r="B90" s="311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4" t="s">
        <v>262</v>
      </c>
      <c r="B91" s="311" t="s">
        <v>256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4" t="s">
        <v>263</v>
      </c>
      <c r="B92" s="311" t="s">
        <v>256</v>
      </c>
      <c r="C92" s="226" t="s">
        <v>1277</v>
      </c>
      <c r="D92" s="313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4" t="s">
        <v>264</v>
      </c>
      <c r="B93" s="311" t="s">
        <v>256</v>
      </c>
      <c r="C93" s="315" t="s">
        <v>1278</v>
      </c>
      <c r="D93" s="313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0" t="s">
        <v>265</v>
      </c>
      <c r="B95" s="310"/>
      <c r="C95" s="310"/>
      <c r="D95" s="310"/>
      <c r="E95" s="3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4" t="s">
        <v>267</v>
      </c>
      <c r="B97" s="311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4" t="s">
        <v>259</v>
      </c>
      <c r="B98" s="311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4" t="s">
        <v>268</v>
      </c>
      <c r="B99" s="311" t="s">
        <v>256</v>
      </c>
      <c r="C99" s="189">
        <v>1</v>
      </c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4" t="s">
        <v>270</v>
      </c>
      <c r="B101" s="311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4" t="s">
        <v>132</v>
      </c>
      <c r="B102" s="311" t="s">
        <v>256</v>
      </c>
      <c r="C102" s="222"/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4" t="s">
        <v>272</v>
      </c>
      <c r="B104" s="311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4" t="s">
        <v>273</v>
      </c>
      <c r="B105" s="311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4" t="s">
        <v>274</v>
      </c>
      <c r="B106" s="311" t="s">
        <v>256</v>
      </c>
      <c r="C106" s="189"/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4"/>
      <c r="B107" s="311"/>
      <c r="C107" s="317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18" t="s">
        <v>275</v>
      </c>
      <c r="B108" s="310"/>
      <c r="C108" s="310"/>
      <c r="D108" s="310"/>
      <c r="E108" s="3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4"/>
      <c r="B109" s="311"/>
      <c r="C109" s="317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4" t="s">
        <v>278</v>
      </c>
      <c r="B111" s="311" t="s">
        <v>256</v>
      </c>
      <c r="C111" s="189">
        <f>798-6</f>
        <v>792</v>
      </c>
      <c r="D111" s="174">
        <f>368+1974+14</f>
        <v>2356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4" t="s">
        <v>279</v>
      </c>
      <c r="B112" s="311" t="s">
        <v>256</v>
      </c>
      <c r="C112" s="189">
        <v>6</v>
      </c>
      <c r="D112" s="174">
        <v>123</v>
      </c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4" t="s">
        <v>280</v>
      </c>
      <c r="B113" s="311" t="s">
        <v>256</v>
      </c>
      <c r="C113" s="189"/>
      <c r="D113" s="174"/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4" t="s">
        <v>281</v>
      </c>
      <c r="B114" s="311" t="s">
        <v>256</v>
      </c>
      <c r="C114" s="189">
        <v>284</v>
      </c>
      <c r="D114" s="174">
        <v>469</v>
      </c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4" t="s">
        <v>283</v>
      </c>
      <c r="B116" s="311" t="s">
        <v>256</v>
      </c>
      <c r="C116" s="189">
        <v>6</v>
      </c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4" t="s">
        <v>284</v>
      </c>
      <c r="B117" s="311" t="s">
        <v>256</v>
      </c>
      <c r="C117" s="189"/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4" t="s">
        <v>1238</v>
      </c>
      <c r="B118" s="311" t="s">
        <v>256</v>
      </c>
      <c r="C118" s="189">
        <v>13</v>
      </c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4" t="s">
        <v>285</v>
      </c>
      <c r="B119" s="311" t="s">
        <v>256</v>
      </c>
      <c r="C119" s="189"/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4" t="s">
        <v>286</v>
      </c>
      <c r="B120" s="311" t="s">
        <v>256</v>
      </c>
      <c r="C120" s="189">
        <v>6</v>
      </c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4" t="s">
        <v>287</v>
      </c>
      <c r="B121" s="311" t="s">
        <v>256</v>
      </c>
      <c r="C121" s="189"/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4" t="s">
        <v>97</v>
      </c>
      <c r="B122" s="311" t="s">
        <v>256</v>
      </c>
      <c r="C122" s="189"/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4" t="s">
        <v>288</v>
      </c>
      <c r="B123" s="311" t="s">
        <v>256</v>
      </c>
      <c r="C123" s="189"/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4" t="s">
        <v>289</v>
      </c>
      <c r="B124" s="311"/>
      <c r="C124" s="189"/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4" t="s">
        <v>280</v>
      </c>
      <c r="B125" s="311" t="s">
        <v>256</v>
      </c>
      <c r="C125" s="189"/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4" t="s">
        <v>290</v>
      </c>
      <c r="B126" s="311" t="s">
        <v>256</v>
      </c>
      <c r="C126" s="189"/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4" t="s">
        <v>291</v>
      </c>
      <c r="B127" s="294"/>
      <c r="C127" s="302"/>
      <c r="D127" s="294"/>
      <c r="E127" s="294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4" t="s">
        <v>292</v>
      </c>
      <c r="B128" s="311" t="s">
        <v>256</v>
      </c>
      <c r="C128" s="189"/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4" t="s">
        <v>293</v>
      </c>
      <c r="B129" s="311" t="s">
        <v>256</v>
      </c>
      <c r="C129" s="189">
        <v>6</v>
      </c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4" t="s">
        <v>294</v>
      </c>
      <c r="B131" s="311" t="s">
        <v>256</v>
      </c>
      <c r="C131" s="189"/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0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4" t="s">
        <v>277</v>
      </c>
      <c r="B138" s="174">
        <f>379-6</f>
        <v>373</v>
      </c>
      <c r="C138" s="189">
        <v>200</v>
      </c>
      <c r="D138" s="174">
        <v>219</v>
      </c>
      <c r="E138" s="294">
        <f>SUM(B138:D138)</f>
        <v>792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4" t="s">
        <v>215</v>
      </c>
      <c r="B139" s="174">
        <f>924+115+176-90</f>
        <v>1125</v>
      </c>
      <c r="C139" s="189">
        <v>772</v>
      </c>
      <c r="D139" s="174">
        <f>914+14</f>
        <v>928</v>
      </c>
      <c r="E139" s="294">
        <f>SUM(B139:D139)</f>
        <v>2825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4" t="s">
        <v>298</v>
      </c>
      <c r="B140" s="174">
        <v>65068</v>
      </c>
      <c r="C140" s="174">
        <v>31673</v>
      </c>
      <c r="D140" s="174">
        <v>79120</v>
      </c>
      <c r="E140" s="294">
        <f>SUM(B140:D140)</f>
        <v>175861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4" t="s">
        <v>245</v>
      </c>
      <c r="B141" s="174">
        <f>8015137+928556-177559</f>
        <v>8766134</v>
      </c>
      <c r="C141" s="189">
        <f>322246+4119866</f>
        <v>4442112</v>
      </c>
      <c r="D141" s="174">
        <v>5656756</v>
      </c>
      <c r="E141" s="294">
        <f>SUM(B141:D141)</f>
        <v>18865002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4" t="s">
        <v>246</v>
      </c>
      <c r="B142" s="174">
        <f>47642991+5292136</f>
        <v>52935127</v>
      </c>
      <c r="C142" s="189">
        <f>1091297+24935661</f>
        <v>26026958</v>
      </c>
      <c r="D142" s="174">
        <v>62296983</v>
      </c>
      <c r="E142" s="294">
        <f>SUM(B142:D142)</f>
        <v>141259068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4" t="s">
        <v>277</v>
      </c>
      <c r="B144" s="174">
        <v>6</v>
      </c>
      <c r="C144" s="189"/>
      <c r="D144" s="174"/>
      <c r="E144" s="294">
        <f>SUM(B144:D144)</f>
        <v>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4" t="s">
        <v>215</v>
      </c>
      <c r="B145" s="174">
        <v>123</v>
      </c>
      <c r="C145" s="189"/>
      <c r="D145" s="174"/>
      <c r="E145" s="294">
        <f>SUM(B145:D145)</f>
        <v>123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4" t="s">
        <v>298</v>
      </c>
      <c r="B146" s="174"/>
      <c r="C146" s="189"/>
      <c r="D146" s="174"/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4" t="s">
        <v>245</v>
      </c>
      <c r="B147" s="174">
        <v>177559</v>
      </c>
      <c r="C147" s="189"/>
      <c r="D147" s="174"/>
      <c r="E147" s="294">
        <f>SUM(B147:D147)</f>
        <v>177559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4" t="s">
        <v>246</v>
      </c>
      <c r="B148" s="174"/>
      <c r="C148" s="189"/>
      <c r="D148" s="174"/>
      <c r="E148" s="294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4" t="s">
        <v>277</v>
      </c>
      <c r="B150" s="174"/>
      <c r="C150" s="189"/>
      <c r="D150" s="174"/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4" t="s">
        <v>215</v>
      </c>
      <c r="B151" s="174"/>
      <c r="C151" s="189"/>
      <c r="D151" s="174"/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4" t="s">
        <v>298</v>
      </c>
      <c r="B152" s="174"/>
      <c r="C152" s="189"/>
      <c r="D152" s="174"/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4" t="s">
        <v>245</v>
      </c>
      <c r="B153" s="174"/>
      <c r="C153" s="189"/>
      <c r="D153" s="174"/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4" t="s">
        <v>246</v>
      </c>
      <c r="B154" s="174"/>
      <c r="C154" s="189"/>
      <c r="D154" s="174"/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0"/>
      <c r="B155" s="300"/>
      <c r="C155" s="323"/>
      <c r="D155" s="324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19" t="s">
        <v>301</v>
      </c>
      <c r="B156" s="320" t="s">
        <v>302</v>
      </c>
      <c r="C156" s="321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0" t="s">
        <v>304</v>
      </c>
      <c r="B157" s="174">
        <f>857285+3420987</f>
        <v>4278272</v>
      </c>
      <c r="C157" s="174">
        <f>1755644+2488664</f>
        <v>4244308</v>
      </c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0"/>
      <c r="B158" s="324"/>
      <c r="C158" s="323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0"/>
      <c r="B159" s="300"/>
      <c r="C159" s="323"/>
      <c r="D159" s="324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0"/>
      <c r="B160" s="300"/>
      <c r="C160" s="323"/>
      <c r="D160" s="324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0"/>
      <c r="B161" s="300"/>
      <c r="C161" s="323"/>
      <c r="D161" s="324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0"/>
      <c r="B162" s="300"/>
      <c r="C162" s="323"/>
      <c r="D162" s="324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18" t="s">
        <v>305</v>
      </c>
      <c r="B163" s="310"/>
      <c r="C163" s="310"/>
      <c r="D163" s="310"/>
      <c r="E163" s="3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4" t="s">
        <v>307</v>
      </c>
      <c r="B165" s="311" t="s">
        <v>256</v>
      </c>
      <c r="C165" s="189">
        <v>3001491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4" t="s">
        <v>308</v>
      </c>
      <c r="B166" s="311" t="s">
        <v>256</v>
      </c>
      <c r="C166" s="189">
        <v>50635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300" t="s">
        <v>309</v>
      </c>
      <c r="B167" s="311" t="s">
        <v>256</v>
      </c>
      <c r="C167" s="189">
        <v>248427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4" t="s">
        <v>310</v>
      </c>
      <c r="B168" s="311" t="s">
        <v>256</v>
      </c>
      <c r="C168" s="189">
        <f>5099836-990331+354207.6-64499-500</f>
        <v>4398713.5999999996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4" t="s">
        <v>311</v>
      </c>
      <c r="B169" s="311" t="s">
        <v>256</v>
      </c>
      <c r="C169" s="189">
        <v>54132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4" t="s">
        <v>312</v>
      </c>
      <c r="B170" s="311" t="s">
        <v>256</v>
      </c>
      <c r="C170" s="189">
        <v>2607612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4" t="s">
        <v>313</v>
      </c>
      <c r="B171" s="311" t="s">
        <v>256</v>
      </c>
      <c r="C171" s="189">
        <v>125002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4" t="s">
        <v>313</v>
      </c>
      <c r="B172" s="311" t="s">
        <v>256</v>
      </c>
      <c r="C172" s="189">
        <v>12068</v>
      </c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4" t="s">
        <v>203</v>
      </c>
      <c r="B173" s="294"/>
      <c r="C173" s="302"/>
      <c r="D173" s="294">
        <f>SUM(C165:C172)</f>
        <v>10498080.6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4" t="s">
        <v>315</v>
      </c>
      <c r="B175" s="311" t="s">
        <v>256</v>
      </c>
      <c r="C175" s="189">
        <v>656948</v>
      </c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4" t="s">
        <v>316</v>
      </c>
      <c r="B176" s="311" t="s">
        <v>256</v>
      </c>
      <c r="C176" s="189">
        <v>707395</v>
      </c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4" t="s">
        <v>203</v>
      </c>
      <c r="B177" s="294"/>
      <c r="C177" s="302"/>
      <c r="D177" s="294">
        <f>SUM(C175:C176)</f>
        <v>1364343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4" t="s">
        <v>318</v>
      </c>
      <c r="B179" s="311" t="s">
        <v>256</v>
      </c>
      <c r="C179" s="189">
        <v>309062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4" t="s">
        <v>319</v>
      </c>
      <c r="B180" s="311" t="s">
        <v>256</v>
      </c>
      <c r="C180" s="189">
        <v>236959</v>
      </c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4" t="s">
        <v>203</v>
      </c>
      <c r="B181" s="294"/>
      <c r="C181" s="302"/>
      <c r="D181" s="294">
        <f>SUM(C179:C180)</f>
        <v>546021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4" t="s">
        <v>321</v>
      </c>
      <c r="B183" s="311" t="s">
        <v>256</v>
      </c>
      <c r="C183" s="189">
        <v>147019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4" t="s">
        <v>322</v>
      </c>
      <c r="B184" s="311" t="s">
        <v>256</v>
      </c>
      <c r="C184" s="189">
        <v>645703</v>
      </c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4" t="s">
        <v>132</v>
      </c>
      <c r="B185" s="311" t="s">
        <v>256</v>
      </c>
      <c r="C185" s="189"/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4" t="s">
        <v>203</v>
      </c>
      <c r="B186" s="294"/>
      <c r="C186" s="302"/>
      <c r="D186" s="294">
        <f>SUM(C183:C185)</f>
        <v>792722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4" t="s">
        <v>324</v>
      </c>
      <c r="B188" s="311" t="s">
        <v>256</v>
      </c>
      <c r="C188" s="189"/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4" t="s">
        <v>325</v>
      </c>
      <c r="B189" s="311" t="s">
        <v>256</v>
      </c>
      <c r="C189" s="189">
        <v>607942</v>
      </c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4" t="s">
        <v>203</v>
      </c>
      <c r="B190" s="294"/>
      <c r="C190" s="302"/>
      <c r="D190" s="294">
        <f>SUM(C188:C189)</f>
        <v>607942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0" t="s">
        <v>326</v>
      </c>
      <c r="B192" s="310"/>
      <c r="C192" s="310"/>
      <c r="D192" s="310"/>
      <c r="E192" s="3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18" t="s">
        <v>327</v>
      </c>
      <c r="B193" s="310"/>
      <c r="C193" s="310"/>
      <c r="D193" s="310"/>
      <c r="E193" s="3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4" t="s">
        <v>332</v>
      </c>
      <c r="B195" s="174">
        <v>2444730</v>
      </c>
      <c r="C195" s="189">
        <v>364130</v>
      </c>
      <c r="D195" s="174"/>
      <c r="E195" s="294">
        <f t="shared" ref="E195:E203" si="10">SUM(B195:C195)-D195</f>
        <v>2808860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4" t="s">
        <v>333</v>
      </c>
      <c r="B196" s="174">
        <v>418230</v>
      </c>
      <c r="C196" s="189">
        <v>10776</v>
      </c>
      <c r="D196" s="174"/>
      <c r="E196" s="294">
        <f t="shared" si="10"/>
        <v>429006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4" t="s">
        <v>334</v>
      </c>
      <c r="B197" s="174">
        <v>41359356</v>
      </c>
      <c r="C197" s="189">
        <v>5281532</v>
      </c>
      <c r="D197" s="174"/>
      <c r="E197" s="294">
        <f t="shared" si="10"/>
        <v>46640888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4" t="s">
        <v>335</v>
      </c>
      <c r="B198" s="174">
        <v>4466043</v>
      </c>
      <c r="C198" s="189">
        <v>2497932</v>
      </c>
      <c r="D198" s="174"/>
      <c r="E198" s="294">
        <f t="shared" si="10"/>
        <v>6963975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4" t="s">
        <v>336</v>
      </c>
      <c r="B199" s="174"/>
      <c r="C199" s="189"/>
      <c r="D199" s="174"/>
      <c r="E199" s="294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4" t="s">
        <v>337</v>
      </c>
      <c r="B200" s="174">
        <v>30028874</v>
      </c>
      <c r="C200" s="189">
        <v>2495137</v>
      </c>
      <c r="D200" s="174"/>
      <c r="E200" s="294">
        <f t="shared" si="10"/>
        <v>32524011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4" t="s">
        <v>338</v>
      </c>
      <c r="B201" s="174"/>
      <c r="C201" s="189"/>
      <c r="D201" s="174"/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4" t="s">
        <v>339</v>
      </c>
      <c r="B202" s="174"/>
      <c r="C202" s="189"/>
      <c r="D202" s="174"/>
      <c r="E202" s="294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4" t="s">
        <v>340</v>
      </c>
      <c r="B203" s="174">
        <v>4350909</v>
      </c>
      <c r="C203" s="189">
        <f>-4064364</f>
        <v>-4064364</v>
      </c>
      <c r="D203" s="174"/>
      <c r="E203" s="294">
        <f t="shared" si="10"/>
        <v>286545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4" t="s">
        <v>203</v>
      </c>
      <c r="B204" s="294">
        <f>SUM(B195:B203)</f>
        <v>83068142</v>
      </c>
      <c r="C204" s="302">
        <f>SUM(C195:C203)</f>
        <v>6585143</v>
      </c>
      <c r="D204" s="294">
        <f>SUM(D195:D203)</f>
        <v>0</v>
      </c>
      <c r="E204" s="294">
        <f>SUM(E195:E203)</f>
        <v>89653285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4" t="s">
        <v>332</v>
      </c>
      <c r="B208" s="324"/>
      <c r="C208" s="323"/>
      <c r="D208" s="324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4" t="s">
        <v>333</v>
      </c>
      <c r="B209" s="174">
        <v>425200</v>
      </c>
      <c r="C209" s="189">
        <v>5421</v>
      </c>
      <c r="D209" s="174"/>
      <c r="E209" s="294">
        <f t="shared" ref="E209:E216" si="11">SUM(B209:C209)-D209</f>
        <v>430621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4" t="s">
        <v>334</v>
      </c>
      <c r="B210" s="174">
        <v>16858256</v>
      </c>
      <c r="C210" s="189">
        <v>1604115</v>
      </c>
      <c r="D210" s="174"/>
      <c r="E210" s="294">
        <f t="shared" si="11"/>
        <v>18462371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4" t="s">
        <v>335</v>
      </c>
      <c r="B211" s="174">
        <v>3775812</v>
      </c>
      <c r="C211" s="189">
        <v>368801</v>
      </c>
      <c r="D211" s="174"/>
      <c r="E211" s="294">
        <f t="shared" si="11"/>
        <v>4144613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4" t="s">
        <v>336</v>
      </c>
      <c r="B212" s="174"/>
      <c r="C212" s="189"/>
      <c r="D212" s="174"/>
      <c r="E212" s="294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4" t="s">
        <v>337</v>
      </c>
      <c r="B213" s="174">
        <v>21513937</v>
      </c>
      <c r="C213" s="189">
        <v>2321171</v>
      </c>
      <c r="D213" s="174"/>
      <c r="E213" s="294">
        <f t="shared" si="11"/>
        <v>23835108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4" t="s">
        <v>338</v>
      </c>
      <c r="B214" s="174"/>
      <c r="C214" s="189"/>
      <c r="D214" s="174"/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4" t="s">
        <v>339</v>
      </c>
      <c r="B215" s="174"/>
      <c r="C215" s="189"/>
      <c r="D215" s="174"/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4" t="s">
        <v>340</v>
      </c>
      <c r="B216" s="174"/>
      <c r="C216" s="189"/>
      <c r="D216" s="174"/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4" t="s">
        <v>203</v>
      </c>
      <c r="B217" s="294">
        <f>SUM(B208:B216)</f>
        <v>42573205</v>
      </c>
      <c r="C217" s="302">
        <f>SUM(C208:C216)</f>
        <v>4299508</v>
      </c>
      <c r="D217" s="294">
        <f>SUM(D208:D216)</f>
        <v>0</v>
      </c>
      <c r="E217" s="294">
        <f>SUM(E208:E216)</f>
        <v>46872713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0" t="s">
        <v>342</v>
      </c>
      <c r="B219" s="310"/>
      <c r="C219" s="310"/>
      <c r="D219" s="310"/>
      <c r="E219" s="3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0"/>
      <c r="B220" s="341" t="s">
        <v>1254</v>
      </c>
      <c r="C220" s="341"/>
      <c r="D220" s="310"/>
      <c r="E220" s="3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5" t="s">
        <v>1254</v>
      </c>
      <c r="B221" s="310"/>
      <c r="C221" s="189">
        <v>3401565</v>
      </c>
      <c r="D221" s="311">
        <f>C221</f>
        <v>3401565</v>
      </c>
      <c r="E221" s="3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4" t="s">
        <v>344</v>
      </c>
      <c r="B223" s="311" t="s">
        <v>256</v>
      </c>
      <c r="C223" s="189">
        <v>29937591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4" t="s">
        <v>345</v>
      </c>
      <c r="B224" s="311" t="s">
        <v>256</v>
      </c>
      <c r="C224" s="189">
        <v>17347834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4" t="s">
        <v>346</v>
      </c>
      <c r="B225" s="311" t="s">
        <v>256</v>
      </c>
      <c r="C225" s="189"/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4" t="s">
        <v>347</v>
      </c>
      <c r="B226" s="311" t="s">
        <v>256</v>
      </c>
      <c r="C226" s="189"/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4" t="s">
        <v>348</v>
      </c>
      <c r="B227" s="311" t="s">
        <v>256</v>
      </c>
      <c r="C227" s="189">
        <f>20845827+476902</f>
        <v>21322729</v>
      </c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4" t="s">
        <v>349</v>
      </c>
      <c r="B228" s="311" t="s">
        <v>256</v>
      </c>
      <c r="C228" s="189"/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4" t="s">
        <v>350</v>
      </c>
      <c r="B229" s="294"/>
      <c r="C229" s="302"/>
      <c r="D229" s="294">
        <f>SUM(C223:C228)</f>
        <v>68608154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1" t="s">
        <v>352</v>
      </c>
      <c r="B231" s="311" t="s">
        <v>256</v>
      </c>
      <c r="C231" s="189">
        <v>1040</v>
      </c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1"/>
      <c r="B232" s="311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1" t="s">
        <v>353</v>
      </c>
      <c r="B233" s="311" t="s">
        <v>256</v>
      </c>
      <c r="C233" s="189">
        <v>46876</v>
      </c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1" t="s">
        <v>354</v>
      </c>
      <c r="B234" s="311" t="s">
        <v>256</v>
      </c>
      <c r="C234" s="189">
        <v>1012174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1" t="s">
        <v>355</v>
      </c>
      <c r="B236" s="294"/>
      <c r="C236" s="302"/>
      <c r="D236" s="294">
        <f>SUM(C233:C235)</f>
        <v>1059050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4" t="s">
        <v>357</v>
      </c>
      <c r="B238" s="311" t="s">
        <v>256</v>
      </c>
      <c r="C238" s="189">
        <v>2427567</v>
      </c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4" t="s">
        <v>356</v>
      </c>
      <c r="B239" s="311" t="s">
        <v>256</v>
      </c>
      <c r="C239" s="189"/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4" t="s">
        <v>358</v>
      </c>
      <c r="B240" s="294"/>
      <c r="C240" s="302"/>
      <c r="D240" s="294">
        <f>SUM(C238:C239)</f>
        <v>2427567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4" t="s">
        <v>359</v>
      </c>
      <c r="B242" s="294"/>
      <c r="C242" s="302"/>
      <c r="D242" s="294">
        <f>D221+D229+D236+D240</f>
        <v>75496336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0" t="s">
        <v>360</v>
      </c>
      <c r="B248" s="310"/>
      <c r="C248" s="310"/>
      <c r="D248" s="310"/>
      <c r="E248" s="3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4" t="s">
        <v>362</v>
      </c>
      <c r="B250" s="311" t="s">
        <v>256</v>
      </c>
      <c r="C250" s="189">
        <v>13111089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4" t="s">
        <v>363</v>
      </c>
      <c r="B251" s="311" t="s">
        <v>256</v>
      </c>
      <c r="C251" s="189"/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4" t="s">
        <v>364</v>
      </c>
      <c r="B252" s="311" t="s">
        <v>256</v>
      </c>
      <c r="C252" s="189">
        <v>38670560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4" t="s">
        <v>365</v>
      </c>
      <c r="B253" s="311" t="s">
        <v>256</v>
      </c>
      <c r="C253" s="189">
        <v>26628109</v>
      </c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4" t="s">
        <v>1240</v>
      </c>
      <c r="B254" s="311" t="s">
        <v>256</v>
      </c>
      <c r="C254" s="189">
        <v>1000300</v>
      </c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4" t="s">
        <v>366</v>
      </c>
      <c r="B255" s="311" t="s">
        <v>256</v>
      </c>
      <c r="C255" s="189">
        <v>334992</v>
      </c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4" t="s">
        <v>367</v>
      </c>
      <c r="B256" s="311" t="s">
        <v>256</v>
      </c>
      <c r="C256" s="189"/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4" t="s">
        <v>368</v>
      </c>
      <c r="B257" s="311" t="s">
        <v>256</v>
      </c>
      <c r="C257" s="189">
        <v>1779361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4" t="s">
        <v>369</v>
      </c>
      <c r="B258" s="311" t="s">
        <v>256</v>
      </c>
      <c r="C258" s="189">
        <v>767063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4" t="s">
        <v>370</v>
      </c>
      <c r="B259" s="311" t="s">
        <v>256</v>
      </c>
      <c r="C259" s="189">
        <v>954770</v>
      </c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4" t="s">
        <v>371</v>
      </c>
      <c r="B260" s="294"/>
      <c r="C260" s="302"/>
      <c r="D260" s="294">
        <f>SUM(C250:C252)-C253+SUM(C254:C259)</f>
        <v>29990026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4" t="s">
        <v>362</v>
      </c>
      <c r="B262" s="311" t="s">
        <v>256</v>
      </c>
      <c r="C262" s="189">
        <v>0</v>
      </c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4" t="s">
        <v>363</v>
      </c>
      <c r="B263" s="311" t="s">
        <v>256</v>
      </c>
      <c r="C263" s="189">
        <v>26786385</v>
      </c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4" t="s">
        <v>373</v>
      </c>
      <c r="B264" s="311" t="s">
        <v>256</v>
      </c>
      <c r="C264" s="189"/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4" t="s">
        <v>374</v>
      </c>
      <c r="B265" s="294"/>
      <c r="C265" s="302"/>
      <c r="D265" s="294">
        <f>SUM(C262:C264)</f>
        <v>26786385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4" t="s">
        <v>332</v>
      </c>
      <c r="B267" s="311" t="s">
        <v>256</v>
      </c>
      <c r="C267" s="189">
        <v>2808860</v>
      </c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4" t="s">
        <v>333</v>
      </c>
      <c r="B268" s="311" t="s">
        <v>256</v>
      </c>
      <c r="C268" s="189">
        <v>429006</v>
      </c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4" t="s">
        <v>334</v>
      </c>
      <c r="B269" s="311" t="s">
        <v>256</v>
      </c>
      <c r="C269" s="189">
        <v>46640888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4" t="s">
        <v>376</v>
      </c>
      <c r="B270" s="311" t="s">
        <v>256</v>
      </c>
      <c r="C270" s="189">
        <v>6963975</v>
      </c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4" t="s">
        <v>377</v>
      </c>
      <c r="B271" s="311" t="s">
        <v>256</v>
      </c>
      <c r="C271" s="189"/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4" t="s">
        <v>378</v>
      </c>
      <c r="B272" s="311" t="s">
        <v>256</v>
      </c>
      <c r="C272" s="189">
        <v>32524011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4" t="s">
        <v>339</v>
      </c>
      <c r="B273" s="311" t="s">
        <v>256</v>
      </c>
      <c r="C273" s="189"/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4" t="s">
        <v>340</v>
      </c>
      <c r="B274" s="311" t="s">
        <v>256</v>
      </c>
      <c r="C274" s="189">
        <v>286545</v>
      </c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4" t="s">
        <v>379</v>
      </c>
      <c r="B275" s="294"/>
      <c r="C275" s="302"/>
      <c r="D275" s="294">
        <f>SUM(C267:C274)</f>
        <v>89653285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4" t="s">
        <v>380</v>
      </c>
      <c r="B276" s="311" t="s">
        <v>256</v>
      </c>
      <c r="C276" s="189">
        <v>46872713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4" t="s">
        <v>381</v>
      </c>
      <c r="B277" s="294"/>
      <c r="C277" s="302"/>
      <c r="D277" s="294">
        <f>D275-C276</f>
        <v>42780572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4" t="s">
        <v>383</v>
      </c>
      <c r="B279" s="311" t="s">
        <v>256</v>
      </c>
      <c r="C279" s="189"/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4" t="s">
        <v>384</v>
      </c>
      <c r="B280" s="311" t="s">
        <v>256</v>
      </c>
      <c r="C280" s="189"/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4" t="s">
        <v>385</v>
      </c>
      <c r="B281" s="311" t="s">
        <v>256</v>
      </c>
      <c r="C281" s="189"/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4" t="s">
        <v>373</v>
      </c>
      <c r="B282" s="311" t="s">
        <v>256</v>
      </c>
      <c r="C282" s="189"/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4" t="s">
        <v>386</v>
      </c>
      <c r="B283" s="294"/>
      <c r="C283" s="302"/>
      <c r="D283" s="294">
        <f>C279-C280+C281+C282</f>
        <v>0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4" t="s">
        <v>388</v>
      </c>
      <c r="B286" s="311" t="s">
        <v>256</v>
      </c>
      <c r="C286" s="189"/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4" t="s">
        <v>389</v>
      </c>
      <c r="B287" s="311" t="s">
        <v>256</v>
      </c>
      <c r="C287" s="189"/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4" t="s">
        <v>390</v>
      </c>
      <c r="B288" s="311" t="s">
        <v>256</v>
      </c>
      <c r="C288" s="189"/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4" t="s">
        <v>391</v>
      </c>
      <c r="B289" s="311" t="s">
        <v>256</v>
      </c>
      <c r="C289" s="189"/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4" t="s">
        <v>392</v>
      </c>
      <c r="B290" s="294"/>
      <c r="C290" s="302"/>
      <c r="D290" s="294">
        <f>SUM(C286:C289)</f>
        <v>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4" t="s">
        <v>393</v>
      </c>
      <c r="B292" s="294"/>
      <c r="C292" s="302"/>
      <c r="D292" s="294">
        <f>D260+D265+D277+D283+D290</f>
        <v>99556983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0" t="s">
        <v>394</v>
      </c>
      <c r="B302" s="310"/>
      <c r="C302" s="310"/>
      <c r="D302" s="310"/>
      <c r="E302" s="3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4" t="s">
        <v>396</v>
      </c>
      <c r="B304" s="311" t="s">
        <v>256</v>
      </c>
      <c r="C304" s="189"/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4" t="s">
        <v>397</v>
      </c>
      <c r="B305" s="311" t="s">
        <v>256</v>
      </c>
      <c r="C305" s="189">
        <v>1438500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4" t="s">
        <v>398</v>
      </c>
      <c r="B306" s="311" t="s">
        <v>256</v>
      </c>
      <c r="C306" s="189">
        <f>1578007+332413+2139719</f>
        <v>4050139</v>
      </c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4" t="s">
        <v>399</v>
      </c>
      <c r="B307" s="311" t="s">
        <v>256</v>
      </c>
      <c r="C307" s="189">
        <f>299485</f>
        <v>299485</v>
      </c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4" t="s">
        <v>400</v>
      </c>
      <c r="B308" s="311" t="s">
        <v>256</v>
      </c>
      <c r="C308" s="189"/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4" t="s">
        <v>1241</v>
      </c>
      <c r="B309" s="311" t="s">
        <v>256</v>
      </c>
      <c r="C309" s="189">
        <v>700000</v>
      </c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4" t="s">
        <v>401</v>
      </c>
      <c r="B310" s="311" t="s">
        <v>256</v>
      </c>
      <c r="C310" s="189"/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4" t="s">
        <v>402</v>
      </c>
      <c r="B311" s="311" t="s">
        <v>256</v>
      </c>
      <c r="C311" s="189"/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4" t="s">
        <v>403</v>
      </c>
      <c r="B312" s="311" t="s">
        <v>256</v>
      </c>
      <c r="C312" s="189"/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4" t="s">
        <v>404</v>
      </c>
      <c r="B313" s="311" t="s">
        <v>256</v>
      </c>
      <c r="C313" s="189">
        <v>1673992</v>
      </c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4" t="s">
        <v>405</v>
      </c>
      <c r="B314" s="294"/>
      <c r="C314" s="302"/>
      <c r="D314" s="294">
        <f>SUM(C304:C313)</f>
        <v>8162116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4" t="s">
        <v>407</v>
      </c>
      <c r="B316" s="311" t="s">
        <v>256</v>
      </c>
      <c r="C316" s="189"/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4" t="s">
        <v>408</v>
      </c>
      <c r="B317" s="311" t="s">
        <v>256</v>
      </c>
      <c r="C317" s="189">
        <v>66951</v>
      </c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4" t="s">
        <v>409</v>
      </c>
      <c r="B318" s="311" t="s">
        <v>256</v>
      </c>
      <c r="C318" s="189">
        <v>3268710</v>
      </c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4" t="s">
        <v>410</v>
      </c>
      <c r="B319" s="294"/>
      <c r="C319" s="302"/>
      <c r="D319" s="294">
        <f>SUM(C316:C318)</f>
        <v>3335661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4" t="s">
        <v>412</v>
      </c>
      <c r="B321" s="311" t="s">
        <v>256</v>
      </c>
      <c r="C321" s="189"/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4" t="s">
        <v>413</v>
      </c>
      <c r="B322" s="311" t="s">
        <v>256</v>
      </c>
      <c r="C322" s="189"/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4" t="s">
        <v>414</v>
      </c>
      <c r="B323" s="311" t="s">
        <v>256</v>
      </c>
      <c r="C323" s="189"/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1" t="s">
        <v>415</v>
      </c>
      <c r="B324" s="311" t="s">
        <v>256</v>
      </c>
      <c r="C324" s="189"/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4" t="s">
        <v>416</v>
      </c>
      <c r="B325" s="311" t="s">
        <v>256</v>
      </c>
      <c r="C325" s="189">
        <f>12564910+5640000+1744090</f>
        <v>19949000</v>
      </c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1" t="s">
        <v>417</v>
      </c>
      <c r="B326" s="311" t="s">
        <v>256</v>
      </c>
      <c r="C326" s="189"/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4" t="s">
        <v>418</v>
      </c>
      <c r="B327" s="311" t="s">
        <v>256</v>
      </c>
      <c r="C327" s="189"/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4" t="s">
        <v>203</v>
      </c>
      <c r="B328" s="294"/>
      <c r="C328" s="302"/>
      <c r="D328" s="294">
        <f>SUM(C321:C327)</f>
        <v>19949000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4" t="s">
        <v>419</v>
      </c>
      <c r="B329" s="294"/>
      <c r="C329" s="302"/>
      <c r="D329" s="294">
        <f>C313</f>
        <v>1673992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4" t="s">
        <v>420</v>
      </c>
      <c r="B330" s="294"/>
      <c r="C330" s="302"/>
      <c r="D330" s="294">
        <f>D328-D329</f>
        <v>18275008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4" t="s">
        <v>421</v>
      </c>
      <c r="B332" s="311" t="s">
        <v>256</v>
      </c>
      <c r="C332" s="222">
        <v>69784198</v>
      </c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4"/>
      <c r="B333" s="311"/>
      <c r="C333" s="231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4" t="s">
        <v>1142</v>
      </c>
      <c r="B334" s="311" t="s">
        <v>256</v>
      </c>
      <c r="C334" s="222"/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4" t="s">
        <v>1143</v>
      </c>
      <c r="B335" s="311" t="s">
        <v>256</v>
      </c>
      <c r="C335" s="222"/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4" t="s">
        <v>423</v>
      </c>
      <c r="B336" s="311" t="s">
        <v>256</v>
      </c>
      <c r="C336" s="222"/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4" t="s">
        <v>422</v>
      </c>
      <c r="B337" s="311" t="s">
        <v>256</v>
      </c>
      <c r="C337" s="189"/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4" t="s">
        <v>1252</v>
      </c>
      <c r="B338" s="311" t="s">
        <v>256</v>
      </c>
      <c r="C338" s="189"/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4" t="s">
        <v>424</v>
      </c>
      <c r="B339" s="294"/>
      <c r="C339" s="302"/>
      <c r="D339" s="294">
        <f>D314+D319+D330+C332+C336+C337</f>
        <v>99556983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4" t="s">
        <v>425</v>
      </c>
      <c r="B341" s="294"/>
      <c r="C341" s="302"/>
      <c r="D341" s="294">
        <f>D292</f>
        <v>99556983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0" t="s">
        <v>426</v>
      </c>
      <c r="B357" s="310"/>
      <c r="C357" s="310"/>
      <c r="D357" s="310"/>
      <c r="E357" s="3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4" t="s">
        <v>428</v>
      </c>
      <c r="B359" s="311" t="s">
        <v>256</v>
      </c>
      <c r="C359" s="189">
        <v>19042561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4" t="s">
        <v>429</v>
      </c>
      <c r="B360" s="311" t="s">
        <v>256</v>
      </c>
      <c r="C360" s="189">
        <v>141259068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4" t="s">
        <v>430</v>
      </c>
      <c r="B361" s="294"/>
      <c r="C361" s="302"/>
      <c r="D361" s="294">
        <f>SUM(C359:C360)</f>
        <v>160301629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4" t="s">
        <v>1254</v>
      </c>
      <c r="B363" s="316"/>
      <c r="C363" s="189">
        <v>3401565</v>
      </c>
      <c r="D363" s="294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4" t="s">
        <v>432</v>
      </c>
      <c r="B364" s="311" t="s">
        <v>256</v>
      </c>
      <c r="C364" s="189">
        <v>68608154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4" t="s">
        <v>433</v>
      </c>
      <c r="B365" s="311" t="s">
        <v>256</v>
      </c>
      <c r="C365" s="189">
        <v>1059050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4" t="s">
        <v>434</v>
      </c>
      <c r="B366" s="311" t="s">
        <v>256</v>
      </c>
      <c r="C366" s="189">
        <v>2427567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4" t="s">
        <v>359</v>
      </c>
      <c r="B367" s="294"/>
      <c r="C367" s="302"/>
      <c r="D367" s="294">
        <f>SUM(C363:C366)</f>
        <v>75496336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4" t="s">
        <v>435</v>
      </c>
      <c r="B368" s="294"/>
      <c r="C368" s="302"/>
      <c r="D368" s="294">
        <f>D361-D367</f>
        <v>84805293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4" t="s">
        <v>437</v>
      </c>
      <c r="B370" s="311" t="s">
        <v>256</v>
      </c>
      <c r="C370" s="189">
        <v>5099952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4" t="s">
        <v>438</v>
      </c>
      <c r="B371" s="311" t="s">
        <v>256</v>
      </c>
      <c r="C371" s="189"/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4" t="s">
        <v>439</v>
      </c>
      <c r="B372" s="294"/>
      <c r="C372" s="302"/>
      <c r="D372" s="294">
        <f>SUM(C370:C371)</f>
        <v>5099952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4" t="s">
        <v>440</v>
      </c>
      <c r="B373" s="294"/>
      <c r="C373" s="302"/>
      <c r="D373" s="294">
        <f>D368+D372</f>
        <v>89905245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4" t="s">
        <v>442</v>
      </c>
      <c r="B378" s="311" t="s">
        <v>256</v>
      </c>
      <c r="C378" s="189">
        <f>44795061+725182</f>
        <v>45520243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4" t="s">
        <v>3</v>
      </c>
      <c r="B379" s="311" t="s">
        <v>256</v>
      </c>
      <c r="C379" s="189">
        <v>10498081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4" t="s">
        <v>236</v>
      </c>
      <c r="B380" s="311" t="s">
        <v>256</v>
      </c>
      <c r="C380" s="189">
        <v>1177563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4" t="s">
        <v>443</v>
      </c>
      <c r="B381" s="311" t="s">
        <v>256</v>
      </c>
      <c r="C381" s="189">
        <v>10836660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4" t="s">
        <v>444</v>
      </c>
      <c r="B382" s="311" t="s">
        <v>256</v>
      </c>
      <c r="C382" s="189">
        <v>1048528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4" t="s">
        <v>445</v>
      </c>
      <c r="B383" s="311" t="s">
        <v>256</v>
      </c>
      <c r="C383" s="189">
        <v>11961824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4" t="s">
        <v>6</v>
      </c>
      <c r="B384" s="311" t="s">
        <v>256</v>
      </c>
      <c r="C384" s="189">
        <v>4240489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4" t="s">
        <v>446</v>
      </c>
      <c r="B385" s="311" t="s">
        <v>256</v>
      </c>
      <c r="C385" s="189">
        <v>1364343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4" t="s">
        <v>447</v>
      </c>
      <c r="B386" s="311" t="s">
        <v>256</v>
      </c>
      <c r="C386" s="189">
        <v>546021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4" t="s">
        <v>448</v>
      </c>
      <c r="B387" s="311" t="s">
        <v>256</v>
      </c>
      <c r="C387" s="189">
        <v>792722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4" t="s">
        <v>449</v>
      </c>
      <c r="B388" s="311" t="s">
        <v>256</v>
      </c>
      <c r="C388" s="189">
        <v>607942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4" t="s">
        <v>451</v>
      </c>
      <c r="B389" s="311" t="s">
        <v>256</v>
      </c>
      <c r="C389" s="189">
        <f>237134+452961</f>
        <v>690095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4" t="s">
        <v>452</v>
      </c>
      <c r="B390" s="294"/>
      <c r="C390" s="302"/>
      <c r="D390" s="294">
        <f>SUM(C378:C389)</f>
        <v>89284511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4" t="s">
        <v>453</v>
      </c>
      <c r="B391" s="294"/>
      <c r="C391" s="302"/>
      <c r="D391" s="294">
        <f>D373-D390</f>
        <v>620734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4" t="s">
        <v>454</v>
      </c>
      <c r="B392" s="311" t="s">
        <v>256</v>
      </c>
      <c r="C392" s="189">
        <v>5799656</v>
      </c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4" t="s">
        <v>455</v>
      </c>
      <c r="B393" s="294"/>
      <c r="C393" s="302"/>
      <c r="D393" s="294">
        <f>D391+C392</f>
        <v>6420390</v>
      </c>
      <c r="E393" s="294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4" t="s">
        <v>456</v>
      </c>
      <c r="B394" s="311" t="s">
        <v>256</v>
      </c>
      <c r="C394" s="189"/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4" t="s">
        <v>457</v>
      </c>
      <c r="B395" s="311" t="s">
        <v>256</v>
      </c>
      <c r="C395" s="189"/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4" t="s">
        <v>458</v>
      </c>
      <c r="B396" s="294"/>
      <c r="C396" s="302"/>
      <c r="D396" s="294">
        <f>D393+C394-C395</f>
        <v>6420390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Kittitas Valley Healthcare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792</v>
      </c>
      <c r="C414" s="2">
        <f>E138</f>
        <v>792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2356</v>
      </c>
      <c r="C415" s="2">
        <f>E139</f>
        <v>2825</v>
      </c>
      <c r="D415" s="2">
        <f>SUM(C59:H59)+N59</f>
        <v>2356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6</v>
      </c>
      <c r="C417" s="2">
        <f>E144</f>
        <v>6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123</v>
      </c>
      <c r="C418" s="2">
        <f>E145</f>
        <v>123</v>
      </c>
      <c r="D418" s="2">
        <f>K59+L59</f>
        <v>123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284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469</v>
      </c>
      <c r="C424" s="2"/>
      <c r="D424" s="2">
        <f>J59</f>
        <v>469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45520243</v>
      </c>
      <c r="C427" s="2">
        <f t="shared" ref="C427:C434" si="13">CE61</f>
        <v>45520243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10498081</v>
      </c>
      <c r="C428" s="2">
        <f t="shared" si="13"/>
        <v>10498082</v>
      </c>
      <c r="D428" s="2">
        <f>D173</f>
        <v>10498080.6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1177563</v>
      </c>
      <c r="C429" s="2">
        <f t="shared" si="13"/>
        <v>1177565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10836660</v>
      </c>
      <c r="C430" s="2">
        <f t="shared" si="13"/>
        <v>10836660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1048528</v>
      </c>
      <c r="C431" s="2">
        <f t="shared" si="13"/>
        <v>1048528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11961824</v>
      </c>
      <c r="C432" s="2">
        <f t="shared" si="13"/>
        <v>11961824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4240489</v>
      </c>
      <c r="C433" s="2">
        <f t="shared" si="13"/>
        <v>4240486</v>
      </c>
      <c r="D433" s="2">
        <f>C217</f>
        <v>4299508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1364343</v>
      </c>
      <c r="C434" s="2">
        <f t="shared" si="13"/>
        <v>1364342</v>
      </c>
      <c r="D434" s="2">
        <f>D177</f>
        <v>1364343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546021</v>
      </c>
      <c r="C435" s="2"/>
      <c r="D435" s="2">
        <f>D181</f>
        <v>546021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792722</v>
      </c>
      <c r="C436" s="2"/>
      <c r="D436" s="2">
        <f>D186</f>
        <v>792722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607942</v>
      </c>
      <c r="C437" s="2"/>
      <c r="D437" s="2">
        <f>D190</f>
        <v>607942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1946685</v>
      </c>
      <c r="C438" s="2">
        <f>CD69</f>
        <v>0</v>
      </c>
      <c r="D438" s="2">
        <f>D181+D186+D190</f>
        <v>1946685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690095</v>
      </c>
      <c r="C439" s="2">
        <f>SUM(C69:CC69)</f>
        <v>2636780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2636780</v>
      </c>
      <c r="C440" s="2">
        <f>CE69</f>
        <v>2636780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89284511</v>
      </c>
      <c r="C441" s="2">
        <f>SUM(C427:C437)+C440</f>
        <v>89284510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3401565</v>
      </c>
      <c r="C444" s="2">
        <f>C363</f>
        <v>3401565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68608154</v>
      </c>
      <c r="C445" s="2">
        <f>C364</f>
        <v>68608154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1059050</v>
      </c>
      <c r="C446" s="2">
        <f>C365</f>
        <v>1059050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2427567</v>
      </c>
      <c r="C447" s="2">
        <f>C366</f>
        <v>2427567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75496336</v>
      </c>
      <c r="C448" s="2">
        <f>D367</f>
        <v>75496336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2" t="s">
        <v>484</v>
      </c>
      <c r="B453" s="2">
        <f>C231</f>
        <v>1040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46876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1012174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5099952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19042561</v>
      </c>
      <c r="C463" s="2">
        <f>CE73</f>
        <v>19042561</v>
      </c>
      <c r="D463" s="2">
        <f>E141+E147+E153</f>
        <v>19042561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141259068</v>
      </c>
      <c r="C464" s="2">
        <f>CE74</f>
        <v>141259067</v>
      </c>
      <c r="D464" s="2">
        <f>E142+E148+E154</f>
        <v>141259068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160301629</v>
      </c>
      <c r="C465" s="2">
        <f>CE75</f>
        <v>160301628</v>
      </c>
      <c r="D465" s="2">
        <f>D463+D464</f>
        <v>160301629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2808860</v>
      </c>
      <c r="C468" s="2">
        <f>E195</f>
        <v>2808860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429006</v>
      </c>
      <c r="C469" s="2">
        <f>E196</f>
        <v>429006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46640888</v>
      </c>
      <c r="C470" s="2">
        <f>E197</f>
        <v>46640888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6963975</v>
      </c>
      <c r="C471" s="2">
        <f>E198</f>
        <v>6963975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32524011</v>
      </c>
      <c r="C473" s="2">
        <f>SUM(E200:E201)</f>
        <v>32524011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286545</v>
      </c>
      <c r="C475" s="2">
        <f>E203</f>
        <v>286545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89653285</v>
      </c>
      <c r="C476" s="2">
        <f>E204</f>
        <v>89653285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46872713</v>
      </c>
      <c r="C478" s="2">
        <f>E217</f>
        <v>46872713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99556983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99556983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140</v>
      </c>
      <c r="B493" s="331" t="str">
        <f>RIGHT('[1]Prior Year'!C83,4)</f>
        <v>140</v>
      </c>
      <c r="C493" s="331" t="str">
        <f>RIGHT(C82,4)</f>
        <v>2020</v>
      </c>
      <c r="D493" s="331" t="str">
        <f>RIGHT('[1]Prior Year'!C83,4)</f>
        <v>140</v>
      </c>
      <c r="E493" s="331" t="str">
        <f>RIGHT(C82,4)</f>
        <v>2020</v>
      </c>
      <c r="F493" s="331" t="str">
        <f>RIGHT('[1]Prior Year'!C83,4)</f>
        <v>140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3">
        <f>'[1]Prior Year'!C71</f>
        <v>1464835</v>
      </c>
      <c r="C496" s="333">
        <f>C71</f>
        <v>1701833</v>
      </c>
      <c r="D496" s="333">
        <f>'[1]Prior Year'!C59</f>
        <v>243</v>
      </c>
      <c r="E496" s="2">
        <f>C59</f>
        <v>368</v>
      </c>
      <c r="F496" s="334">
        <f t="shared" ref="F496:G511" si="15">IF(B496=0,"",IF(D496=0,"",B496/D496))</f>
        <v>6028.1275720164613</v>
      </c>
      <c r="G496" s="334">
        <f t="shared" si="15"/>
        <v>4624.546195652174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3">
        <f>'[1]Prior Year'!E71</f>
        <v>2384663</v>
      </c>
      <c r="C498" s="333">
        <f>E71</f>
        <v>2368942</v>
      </c>
      <c r="D498" s="333">
        <f>'[1]Prior Year'!E59</f>
        <v>1982</v>
      </c>
      <c r="E498" s="2">
        <f>E59</f>
        <v>1988</v>
      </c>
      <c r="F498" s="334">
        <f t="shared" si="15"/>
        <v>1203.1599394550958</v>
      </c>
      <c r="G498" s="334">
        <f t="shared" si="15"/>
        <v>1191.6207243460765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3">
        <f>'[1]Prior Year'!J71</f>
        <v>541230</v>
      </c>
      <c r="C503" s="333">
        <f>J71</f>
        <v>176506</v>
      </c>
      <c r="D503" s="333">
        <f>'[1]Prior Year'!J59</f>
        <v>498</v>
      </c>
      <c r="E503" s="2">
        <f>J59</f>
        <v>469</v>
      </c>
      <c r="F503" s="334">
        <f t="shared" si="15"/>
        <v>1086.8072289156626</v>
      </c>
      <c r="G503" s="334">
        <f t="shared" si="15"/>
        <v>376.34541577825161</v>
      </c>
      <c r="H503" s="335">
        <f t="shared" si="16"/>
        <v>-0.65371465540053331</v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48</v>
      </c>
      <c r="E505" s="2">
        <f>L59</f>
        <v>123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3">
        <f>'[1]Prior Year'!O71</f>
        <v>1441453</v>
      </c>
      <c r="C508" s="333">
        <f>O71</f>
        <v>1925174</v>
      </c>
      <c r="D508" s="333">
        <f>'[1]Prior Year'!O59</f>
        <v>309</v>
      </c>
      <c r="E508" s="2">
        <f>O59</f>
        <v>284</v>
      </c>
      <c r="F508" s="334">
        <f t="shared" si="15"/>
        <v>4664.8964401294497</v>
      </c>
      <c r="G508" s="334">
        <f t="shared" si="15"/>
        <v>6778.7816901408451</v>
      </c>
      <c r="H508" s="335">
        <f t="shared" si="16"/>
        <v>0.45314730501342826</v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3">
        <f>'[1]Prior Year'!P71</f>
        <v>6444257</v>
      </c>
      <c r="C509" s="333">
        <f>P71</f>
        <v>6057266</v>
      </c>
      <c r="D509" s="333">
        <f>'[1]Prior Year'!P59</f>
        <v>106751</v>
      </c>
      <c r="E509" s="2">
        <f>P59</f>
        <v>101813</v>
      </c>
      <c r="F509" s="334">
        <f t="shared" si="15"/>
        <v>60.367181572069583</v>
      </c>
      <c r="G509" s="334">
        <f t="shared" si="15"/>
        <v>59.494033178474261</v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3">
        <f>'[1]Prior Year'!Q71</f>
        <v>347370</v>
      </c>
      <c r="C510" s="333">
        <f>Q71</f>
        <v>210325</v>
      </c>
      <c r="D510" s="333">
        <f>'[1]Prior Year'!Q59</f>
        <v>57939</v>
      </c>
      <c r="E510" s="2">
        <f>Q59</f>
        <v>0</v>
      </c>
      <c r="F510" s="334">
        <f t="shared" si="15"/>
        <v>5.9954434836638537</v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3">
        <f>'[1]Prior Year'!R71</f>
        <v>0</v>
      </c>
      <c r="C511" s="333">
        <f>R71</f>
        <v>118960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3">
        <f>'[1]Prior Year'!S71</f>
        <v>291294</v>
      </c>
      <c r="C512" s="333">
        <f>S71</f>
        <v>466362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3">
        <f>'[1]Prior Year'!U71</f>
        <v>3578702</v>
      </c>
      <c r="C514" s="333">
        <f>U71</f>
        <v>7150640</v>
      </c>
      <c r="D514" s="333">
        <f>'[1]Prior Year'!U59</f>
        <v>209144</v>
      </c>
      <c r="E514" s="2">
        <f>U59</f>
        <v>237710</v>
      </c>
      <c r="F514" s="334">
        <f t="shared" si="17"/>
        <v>17.111186550893166</v>
      </c>
      <c r="G514" s="334">
        <f t="shared" si="17"/>
        <v>30.081359639897354</v>
      </c>
      <c r="H514" s="335">
        <f t="shared" si="16"/>
        <v>0.75799378672118878</v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3">
        <f>'[1]Prior Year'!V71</f>
        <v>58836</v>
      </c>
      <c r="C515" s="333">
        <f>V71</f>
        <v>17733</v>
      </c>
      <c r="D515" s="333">
        <f>'[1]Prior Year'!V59</f>
        <v>687</v>
      </c>
      <c r="E515" s="2">
        <f>V59</f>
        <v>0</v>
      </c>
      <c r="F515" s="334">
        <f t="shared" si="17"/>
        <v>85.641921397379917</v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3">
        <f>'[1]Prior Year'!W71</f>
        <v>905526</v>
      </c>
      <c r="C516" s="333">
        <f>W71</f>
        <v>619368</v>
      </c>
      <c r="D516" s="333">
        <f>'[1]Prior Year'!W59</f>
        <v>1831</v>
      </c>
      <c r="E516" s="2" t="str">
        <f>W59</f>
        <v xml:space="preserve"> </v>
      </c>
      <c r="F516" s="334">
        <f t="shared" si="17"/>
        <v>494.55270344074279</v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3">
        <f>'[1]Prior Year'!X71</f>
        <v>116199.52</v>
      </c>
      <c r="C517" s="333">
        <f>X71</f>
        <v>1020982</v>
      </c>
      <c r="D517" s="333">
        <f>'[1]Prior Year'!X59</f>
        <v>5081</v>
      </c>
      <c r="E517" s="2">
        <f>X59</f>
        <v>5158</v>
      </c>
      <c r="F517" s="334">
        <f t="shared" si="17"/>
        <v>22.869419405628815</v>
      </c>
      <c r="G517" s="334">
        <f t="shared" si="17"/>
        <v>197.94145017448625</v>
      </c>
      <c r="H517" s="335">
        <f t="shared" si="16"/>
        <v>7.6552896977247809</v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3">
        <f>'[1]Prior Year'!Y71</f>
        <v>2617833.7000000002</v>
      </c>
      <c r="C518" s="333">
        <f>Y71</f>
        <v>2735301</v>
      </c>
      <c r="D518" s="333">
        <f>'[1]Prior Year'!Y59</f>
        <v>22798</v>
      </c>
      <c r="E518" s="2">
        <f>Y59</f>
        <v>22490</v>
      </c>
      <c r="F518" s="334">
        <f t="shared" si="17"/>
        <v>114.82734011755419</v>
      </c>
      <c r="G518" s="334">
        <f t="shared" si="17"/>
        <v>121.6229879946643</v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3">
        <f>'[1]Prior Year'!AA71</f>
        <v>0</v>
      </c>
      <c r="C520" s="333">
        <f>AA71</f>
        <v>0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3">
        <f>'[1]Prior Year'!AB71</f>
        <v>3949175</v>
      </c>
      <c r="C521" s="333">
        <f>AB71</f>
        <v>4255653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3">
        <f>'[1]Prior Year'!AC71</f>
        <v>586347</v>
      </c>
      <c r="C522" s="333">
        <f>AC71</f>
        <v>811776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3">
        <f>'[1]Prior Year'!AE71</f>
        <v>1542124</v>
      </c>
      <c r="C524" s="333">
        <f>AE71</f>
        <v>1398473</v>
      </c>
      <c r="D524" s="333">
        <f>'[1]Prior Year'!AE59</f>
        <v>5989</v>
      </c>
      <c r="E524" s="2">
        <f>AE59</f>
        <v>11537</v>
      </c>
      <c r="F524" s="334">
        <f t="shared" si="17"/>
        <v>257.4927366839205</v>
      </c>
      <c r="G524" s="334">
        <f t="shared" si="17"/>
        <v>121.21634740400451</v>
      </c>
      <c r="H524" s="335">
        <f t="shared" si="16"/>
        <v>-0.52924362463551367</v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3">
        <f>'[1]Prior Year'!AG71</f>
        <v>6104237</v>
      </c>
      <c r="C526" s="333">
        <f>AG71</f>
        <v>6464002</v>
      </c>
      <c r="D526" s="333">
        <f>'[1]Prior Year'!AG59</f>
        <v>13861</v>
      </c>
      <c r="E526" s="2">
        <f>AG59</f>
        <v>12207</v>
      </c>
      <c r="F526" s="334">
        <f t="shared" si="17"/>
        <v>440.38936584662002</v>
      </c>
      <c r="G526" s="334">
        <f t="shared" si="17"/>
        <v>529.53239944294262</v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3">
        <f>'[1]Prior Year'!AJ71</f>
        <v>20669072</v>
      </c>
      <c r="C529" s="333">
        <f>AJ71</f>
        <v>23400618</v>
      </c>
      <c r="D529" s="333">
        <f>'[1]Prior Year'!AJ59</f>
        <v>96976</v>
      </c>
      <c r="E529" s="2">
        <f>AJ59</f>
        <v>96196</v>
      </c>
      <c r="F529" s="334">
        <f t="shared" si="18"/>
        <v>213.13595116317438</v>
      </c>
      <c r="G529" s="334">
        <f t="shared" si="18"/>
        <v>243.2597821115223</v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3">
        <f>'[1]Prior Year'!AK71</f>
        <v>237953</v>
      </c>
      <c r="C530" s="333">
        <f>AK71</f>
        <v>299746</v>
      </c>
      <c r="D530" s="333">
        <f>'[1]Prior Year'!AK59</f>
        <v>0</v>
      </c>
      <c r="E530" s="2">
        <f>AK59</f>
        <v>2630</v>
      </c>
      <c r="F530" s="334" t="str">
        <f t="shared" si="18"/>
        <v/>
      </c>
      <c r="G530" s="334">
        <f t="shared" si="18"/>
        <v>113.97186311787073</v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3">
        <f>'[1]Prior Year'!AL71</f>
        <v>149076</v>
      </c>
      <c r="C531" s="333">
        <f>AL71</f>
        <v>261353</v>
      </c>
      <c r="D531" s="333">
        <f>'[1]Prior Year'!AL59</f>
        <v>0</v>
      </c>
      <c r="E531" s="2">
        <f>AL59</f>
        <v>2557</v>
      </c>
      <c r="F531" s="334" t="str">
        <f t="shared" si="18"/>
        <v/>
      </c>
      <c r="G531" s="334">
        <f t="shared" si="18"/>
        <v>102.21079389910051</v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3">
        <f>'[1]Prior Year'!AR71</f>
        <v>2788139</v>
      </c>
      <c r="C537" s="333">
        <f>AR71</f>
        <v>2892188</v>
      </c>
      <c r="D537" s="333">
        <f>'[1]Prior Year'!AR59</f>
        <v>16245</v>
      </c>
      <c r="E537" s="2">
        <f>AR59</f>
        <v>14641</v>
      </c>
      <c r="F537" s="334">
        <f t="shared" si="18"/>
        <v>171.63059402893197</v>
      </c>
      <c r="G537" s="334">
        <f t="shared" si="18"/>
        <v>197.5403319445393</v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3">
        <f>'[1]Prior Year'!AV71</f>
        <v>0</v>
      </c>
      <c r="C541" s="333">
        <f>AV71</f>
        <v>0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3">
        <f>'[1]Prior Year'!AY71</f>
        <v>1199812</v>
      </c>
      <c r="C544" s="333">
        <f>AY71</f>
        <v>1188493</v>
      </c>
      <c r="D544" s="333">
        <f>'[1]Prior Year'!AY59</f>
        <v>10124</v>
      </c>
      <c r="E544" s="2">
        <f>AY59</f>
        <v>10916</v>
      </c>
      <c r="F544" s="334">
        <f t="shared" ref="F544:G550" si="19">IF(B544=0,"",IF(D544=0,"",B544/D544))</f>
        <v>118.51165547214539</v>
      </c>
      <c r="G544" s="334">
        <f t="shared" si="19"/>
        <v>108.87623671674606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3">
        <f>'[1]Prior Year'!BA71</f>
        <v>183481</v>
      </c>
      <c r="C546" s="333">
        <f>BA71</f>
        <v>239787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3">
        <f>'[1]Prior Year'!BB71</f>
        <v>172940</v>
      </c>
      <c r="C547" s="333">
        <f>BB71</f>
        <v>161638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3">
        <f>'[1]Prior Year'!BD71</f>
        <v>724093</v>
      </c>
      <c r="C549" s="333">
        <f>BD71</f>
        <v>697538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3">
        <f>'[1]Prior Year'!BE71</f>
        <v>2147058</v>
      </c>
      <c r="C550" s="333">
        <f>BE71</f>
        <v>2357244</v>
      </c>
      <c r="D550" s="333">
        <f>'[1]Prior Year'!BE59</f>
        <v>97311</v>
      </c>
      <c r="E550" s="2">
        <f>BE59</f>
        <v>116602</v>
      </c>
      <c r="F550" s="334">
        <f t="shared" si="19"/>
        <v>22.063877670561396</v>
      </c>
      <c r="G550" s="334">
        <f t="shared" si="19"/>
        <v>20.216154096842249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3">
        <f>'[1]Prior Year'!BF71</f>
        <v>1106966</v>
      </c>
      <c r="C551" s="333">
        <f>BF71</f>
        <v>1053162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3">
        <f>'[1]Prior Year'!BG71</f>
        <v>0</v>
      </c>
      <c r="C552" s="333">
        <f>BG71</f>
        <v>0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3">
        <f>'[1]Prior Year'!BH71</f>
        <v>4893081</v>
      </c>
      <c r="C553" s="333">
        <f>BH71</f>
        <v>5079771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3">
        <f>'[1]Prior Year'!BJ71</f>
        <v>880427</v>
      </c>
      <c r="C555" s="333">
        <f>BJ71</f>
        <v>923796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3">
        <f>'[1]Prior Year'!BK71</f>
        <v>3182969</v>
      </c>
      <c r="C556" s="333">
        <f>BK71</f>
        <v>2078444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3">
        <f>'[1]Prior Year'!BL71</f>
        <v>0</v>
      </c>
      <c r="C557" s="333">
        <f>BL71</f>
        <v>716873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3">
        <f>'[1]Prior Year'!BN71</f>
        <v>2575034</v>
      </c>
      <c r="C559" s="333">
        <f>BN71</f>
        <v>3733350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3">
        <f>'[1]Prior Year'!BO71</f>
        <v>87419</v>
      </c>
      <c r="C560" s="333">
        <f>BO71</f>
        <v>140080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3">
        <f>'[1]Prior Year'!BP71</f>
        <v>494549</v>
      </c>
      <c r="C561" s="333">
        <f>BP71</f>
        <v>437103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3">
        <f>'[1]Prior Year'!BR71</f>
        <v>762369</v>
      </c>
      <c r="C563" s="333">
        <f>BR71</f>
        <v>866866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3">
        <f>'[1]Prior Year'!BS71</f>
        <v>176104</v>
      </c>
      <c r="C564" s="333">
        <f>BS71</f>
        <v>34581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3">
        <f>'[1]Prior Year'!BV71</f>
        <v>1604967</v>
      </c>
      <c r="C567" s="333">
        <f>BV71</f>
        <v>1911372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3">
        <f>'[1]Prior Year'!BW71</f>
        <v>732472</v>
      </c>
      <c r="C568" s="333">
        <f>BW71</f>
        <v>708856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3">
        <f>'[1]Prior Year'!BX71</f>
        <v>1116417</v>
      </c>
      <c r="C569" s="333">
        <f>BX71</f>
        <v>1008545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3">
        <f>'[1]Prior Year'!BY71</f>
        <v>1510954</v>
      </c>
      <c r="C570" s="333">
        <f>BY71</f>
        <v>1593810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3">
        <f>'[1]Prior Year'!CA71</f>
        <v>0</v>
      </c>
      <c r="C572" s="333">
        <f>CA71</f>
        <v>0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3">
        <f>'[1]Prior Year'!CC71</f>
        <v>0</v>
      </c>
      <c r="C574" s="333">
        <f>CC71</f>
        <v>0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3">
        <f>'[1]Prior Year'!CD71</f>
        <v>-856672</v>
      </c>
      <c r="C575" s="333">
        <f>CD71</f>
        <v>0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36"/>
      <c r="B612" s="2"/>
      <c r="C612" s="327" t="s">
        <v>589</v>
      </c>
      <c r="D612" s="2">
        <f>CE76-(BE76+CD76)</f>
        <v>108982</v>
      </c>
      <c r="E612" s="2">
        <f>SUM(C624:D647)+SUM(C668:D713)</f>
        <v>83816630.190728739</v>
      </c>
      <c r="F612" s="2">
        <f>CE64-(AX64+BD64+BE64+BG64+BJ64+BN64+BP64+BQ64+CB64+CC64+CD64)</f>
        <v>10709701</v>
      </c>
      <c r="G612" s="2">
        <f>CE77-(AX77+AY77+BD77+BE77+BG77+BJ77+BN77+BP77+BQ77+CB77+CC77+CD77)</f>
        <v>10916</v>
      </c>
      <c r="H612" s="326">
        <f>CE60-(AX60+AY60+AZ60+BD60+BE60+BG60+BJ60+BN60+BO60+BP60+BQ60+BR60+CB60+CC60+CD60)</f>
        <v>450.82999999999993</v>
      </c>
      <c r="I612" s="2">
        <f>CE78-(AX78+AY78+AZ78+BD78+BE78+BF78+BG78+BJ78+BN78+BO78+BP78+BQ78+BR78+CB78+CC78+CD78)</f>
        <v>30607</v>
      </c>
      <c r="J612" s="2">
        <f>CE79-(AX79+AY79+AZ79+BA79+BD79+BE79+BF79+BG79+BJ79+BN79+BO79+BP79+BQ79+BR79+CB79+CC79+CD79)</f>
        <v>343994</v>
      </c>
      <c r="K612" s="2">
        <f>CE75-(AW75+AX75+AY75+AZ75+BA75+BB75+BC75+BD75+BE75+BF75+BG75+BH75+BI75+BJ75+BK75+BL75+BM75+BN75+BO75+BP75+BQ75+BR75+BS75+BT75+BU75+BV75+BW75+BX75+CB75+CC75+CD75)</f>
        <v>160301628</v>
      </c>
      <c r="L612" s="326">
        <f>CE80-(AW80+AX80+AY80+AZ80+BA80+BB80+BC80+BD80+BE80+BF80+BG80+BH80+BI80+BJ80+BK80+BL80+BM80+BN80+BO80+BP80+BQ80+BR80+BS80+BT80+BU80+BV80+BW80+BX80+BY80+BZ80+CA80+CB80+CC80+CD80)</f>
        <v>96.84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36">
        <v>8430</v>
      </c>
      <c r="B614" s="330" t="s">
        <v>140</v>
      </c>
      <c r="C614" s="2">
        <f>BE71</f>
        <v>2357244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36"/>
      <c r="B615" s="330" t="s">
        <v>601</v>
      </c>
      <c r="C615" s="337">
        <f>CD69-CD70</f>
        <v>0</v>
      </c>
      <c r="D615" s="338">
        <f>SUM(C614:C615)</f>
        <v>2357244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36">
        <v>8510</v>
      </c>
      <c r="B617" s="339" t="s">
        <v>145</v>
      </c>
      <c r="C617" s="2">
        <f>BJ71</f>
        <v>923796</v>
      </c>
      <c r="D617" s="2">
        <f>(D615/D612)*BJ76</f>
        <v>10447.127525646436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36">
        <v>8470</v>
      </c>
      <c r="B618" s="33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36">
        <v>8610</v>
      </c>
      <c r="B619" s="339" t="s">
        <v>608</v>
      </c>
      <c r="C619" s="2">
        <f>BN71</f>
        <v>3733350</v>
      </c>
      <c r="D619" s="2">
        <f>(D615/D612)*BN76</f>
        <v>363183.68174560933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36">
        <v>8790</v>
      </c>
      <c r="B620" s="339" t="s">
        <v>610</v>
      </c>
      <c r="C620" s="2">
        <f>CC71</f>
        <v>0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36">
        <v>8630</v>
      </c>
      <c r="B621" s="339" t="s">
        <v>612</v>
      </c>
      <c r="C621" s="2">
        <f>BP71</f>
        <v>437103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5467879.8092712555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36">
        <v>8420</v>
      </c>
      <c r="B624" s="339" t="s">
        <v>139</v>
      </c>
      <c r="C624" s="2">
        <f>BD71</f>
        <v>697538</v>
      </c>
      <c r="D624" s="2">
        <f>(D615/D612)*BD76</f>
        <v>34758.869427978927</v>
      </c>
      <c r="E624" s="2">
        <f>(E623/E612)*SUM(C624:D624)</f>
        <v>47772.27690526627</v>
      </c>
      <c r="F624" s="2">
        <f>SUM(C624:E624)</f>
        <v>780069.14633324509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36">
        <v>8320</v>
      </c>
      <c r="B625" s="339" t="s">
        <v>135</v>
      </c>
      <c r="C625" s="2">
        <f>AY71</f>
        <v>1188493</v>
      </c>
      <c r="D625" s="2">
        <f>(D615/D612)*AY76</f>
        <v>89243.992072085297</v>
      </c>
      <c r="E625" s="2">
        <f>(E623/E612)*SUM(C625:D625)</f>
        <v>83354.726676696489</v>
      </c>
      <c r="F625" s="2">
        <f>(F624/F612)*AY64</f>
        <v>21890.108860645982</v>
      </c>
      <c r="G625" s="2">
        <f>SUM(C625:F625)</f>
        <v>1382981.8276094277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36">
        <v>8650</v>
      </c>
      <c r="B626" s="339" t="s">
        <v>152</v>
      </c>
      <c r="C626" s="2">
        <f>BR71</f>
        <v>866866</v>
      </c>
      <c r="D626" s="2">
        <f>(D615/D612)*BR76</f>
        <v>13215.724468260813</v>
      </c>
      <c r="E626" s="2">
        <f>(E623/E612)*SUM(C626:D626)</f>
        <v>57413.201661511368</v>
      </c>
      <c r="F626" s="2">
        <f>(F624/F612)*BR64</f>
        <v>454.21540681052778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36">
        <v>8620</v>
      </c>
      <c r="B627" s="330" t="s">
        <v>621</v>
      </c>
      <c r="C627" s="2">
        <f>BO71</f>
        <v>140080</v>
      </c>
      <c r="D627" s="2">
        <f>(D615/D612)*BO76</f>
        <v>0</v>
      </c>
      <c r="E627" s="2">
        <f>(E623/E612)*SUM(C627:D627)</f>
        <v>9138.2891669562832</v>
      </c>
      <c r="F627" s="2">
        <f>(F624/F612)*BO64</f>
        <v>1092.5643204230141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1088259.9950239619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36">
        <v>8460</v>
      </c>
      <c r="B629" s="339" t="s">
        <v>141</v>
      </c>
      <c r="C629" s="2">
        <f>BF71</f>
        <v>1053162</v>
      </c>
      <c r="D629" s="2">
        <f>(D615/D612)*BF76</f>
        <v>7418.9746196619617</v>
      </c>
      <c r="E629" s="2">
        <f>(E623/E612)*SUM(C629:D629)</f>
        <v>69188.289770465402</v>
      </c>
      <c r="F629" s="2">
        <f>(F624/F612)*BF64</f>
        <v>12695.81591617951</v>
      </c>
      <c r="G629" s="2">
        <f>(G625/G612)*BF77</f>
        <v>0</v>
      </c>
      <c r="H629" s="2">
        <f>(H628/H612)*BF60</f>
        <v>37391.361096025495</v>
      </c>
      <c r="I629" s="2">
        <f>SUM(C629:H629)</f>
        <v>1179856.4414023322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36">
        <v>8350</v>
      </c>
      <c r="B630" s="339" t="s">
        <v>625</v>
      </c>
      <c r="C630" s="2">
        <f>BA71</f>
        <v>239787</v>
      </c>
      <c r="D630" s="2">
        <f>(D615/D612)*BA76</f>
        <v>18493.36239011947</v>
      </c>
      <c r="E630" s="2">
        <f>(E623/E612)*SUM(C630:D630)</f>
        <v>16849.233564157425</v>
      </c>
      <c r="F630" s="2">
        <f>(F624/F612)*BA64</f>
        <v>4625.4074693215116</v>
      </c>
      <c r="G630" s="2">
        <f>(G625/G612)*BA77</f>
        <v>0</v>
      </c>
      <c r="H630" s="2">
        <f>(H628/H612)*BA60</f>
        <v>7845.1855107864976</v>
      </c>
      <c r="I630" s="2">
        <f>(I629/I612)*BA78</f>
        <v>0</v>
      </c>
      <c r="J630" s="2">
        <f>SUM(C630:I630)</f>
        <v>287600.1889343849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36">
        <v>8360</v>
      </c>
      <c r="B632" s="339" t="s">
        <v>629</v>
      </c>
      <c r="C632" s="2">
        <f>BB71</f>
        <v>161638</v>
      </c>
      <c r="D632" s="2">
        <f>(D615/D612)*BB76</f>
        <v>0</v>
      </c>
      <c r="E632" s="2">
        <f>(E623/E612)*SUM(C632:D632)</f>
        <v>10544.651516051397</v>
      </c>
      <c r="F632" s="2">
        <f>(F624/F612)*BB64</f>
        <v>5.4628216021150706</v>
      </c>
      <c r="G632" s="2">
        <f>(G625/G612)*BB77</f>
        <v>0</v>
      </c>
      <c r="H632" s="2">
        <f>(H628/H612)*BB60</f>
        <v>3765.6890451775189</v>
      </c>
      <c r="I632" s="2">
        <f>(I629/I612)*BB78</f>
        <v>3353.7266116248866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36">
        <v>8530</v>
      </c>
      <c r="B635" s="339" t="s">
        <v>635</v>
      </c>
      <c r="C635" s="2">
        <f>BK71</f>
        <v>2078444</v>
      </c>
      <c r="D635" s="2">
        <f>(D615/D612)*BK76</f>
        <v>147168.23123084544</v>
      </c>
      <c r="E635" s="2">
        <f>(E623/E612)*SUM(C635:D635)</f>
        <v>145190.52072031869</v>
      </c>
      <c r="F635" s="2">
        <f>(F624/F612)*BK64</f>
        <v>613.29277186411866</v>
      </c>
      <c r="G635" s="2">
        <f>(G625/G612)*BK77</f>
        <v>0</v>
      </c>
      <c r="H635" s="2">
        <f>(H628/H612)*BK60</f>
        <v>43184.728857837057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36">
        <v>8480</v>
      </c>
      <c r="B636" s="339" t="s">
        <v>637</v>
      </c>
      <c r="C636" s="2">
        <f>BH71</f>
        <v>5079771</v>
      </c>
      <c r="D636" s="2">
        <f>(D615/D612)*BH76</f>
        <v>74752.117450588165</v>
      </c>
      <c r="E636" s="2">
        <f>(E623/E612)*SUM(C636:D636)</f>
        <v>336261.584558998</v>
      </c>
      <c r="F636" s="2">
        <f>(F624/F612)*BH64</f>
        <v>15797.168996132277</v>
      </c>
      <c r="G636" s="2">
        <f>(G625/G612)*BH77</f>
        <v>0</v>
      </c>
      <c r="H636" s="2">
        <f>(H628/H612)*BH60</f>
        <v>36474.077867071996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36">
        <v>8560</v>
      </c>
      <c r="B637" s="339" t="s">
        <v>147</v>
      </c>
      <c r="C637" s="2">
        <f>BL71</f>
        <v>716873</v>
      </c>
      <c r="D637" s="2">
        <f>(D615/D612)*BL76</f>
        <v>0</v>
      </c>
      <c r="E637" s="2">
        <f>(E623/E612)*SUM(C637:D637)</f>
        <v>46766.08202443926</v>
      </c>
      <c r="F637" s="2">
        <f>(F624/F612)*BL64</f>
        <v>3418.852271467696</v>
      </c>
      <c r="G637" s="2">
        <f>(G625/G612)*BL77</f>
        <v>0</v>
      </c>
      <c r="H637" s="2">
        <f>(H628/H612)*BL60</f>
        <v>30777.266234623952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36">
        <v>8660</v>
      </c>
      <c r="B639" s="339" t="s">
        <v>642</v>
      </c>
      <c r="C639" s="2">
        <f>BS71</f>
        <v>34581</v>
      </c>
      <c r="D639" s="2">
        <f>(D615/D612)*BS76</f>
        <v>0</v>
      </c>
      <c r="E639" s="2">
        <f>(E623/E612)*SUM(C639:D639)</f>
        <v>2255.9335928220676</v>
      </c>
      <c r="F639" s="2">
        <f>(F624/F612)*BS64</f>
        <v>1614.0088517502381</v>
      </c>
      <c r="G639" s="2">
        <f>(G625/G612)*BS77</f>
        <v>0</v>
      </c>
      <c r="H639" s="2">
        <f>(H628/H612)*BS60</f>
        <v>965.56129363526134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36">
        <v>8690</v>
      </c>
      <c r="B642" s="339" t="s">
        <v>648</v>
      </c>
      <c r="C642" s="2">
        <f>BV71</f>
        <v>1911372</v>
      </c>
      <c r="D642" s="2">
        <f>(D615/D612)*BV76</f>
        <v>0</v>
      </c>
      <c r="E642" s="2">
        <f>(E623/E612)*SUM(C642:D642)</f>
        <v>124690.67705328074</v>
      </c>
      <c r="F642" s="2">
        <f>(F624/F612)*BV64</f>
        <v>594.20931506739669</v>
      </c>
      <c r="G642" s="2">
        <f>(G625/G612)*BV77</f>
        <v>0</v>
      </c>
      <c r="H642" s="2">
        <f>(H628/H612)*BV60</f>
        <v>40263.905944590391</v>
      </c>
      <c r="I642" s="2">
        <f>(I629/I612)*BV78</f>
        <v>15727.821351068435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36">
        <v>8700</v>
      </c>
      <c r="B643" s="339" t="s">
        <v>650</v>
      </c>
      <c r="C643" s="2">
        <f>BW71</f>
        <v>708856</v>
      </c>
      <c r="D643" s="2">
        <f>(D615/D612)*BW76</f>
        <v>1816.8917435906847</v>
      </c>
      <c r="E643" s="2">
        <f>(E623/E612)*SUM(C643:D643)</f>
        <v>46361.610421687255</v>
      </c>
      <c r="F643" s="2">
        <f>(F624/F612)*BW64</f>
        <v>132.49163325663085</v>
      </c>
      <c r="G643" s="2">
        <f>(G625/G612)*BW77</f>
        <v>0</v>
      </c>
      <c r="H643" s="2">
        <f>(H628/H612)*BW60</f>
        <v>8327.966157604129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36">
        <v>8710</v>
      </c>
      <c r="B644" s="339" t="s">
        <v>652</v>
      </c>
      <c r="C644" s="2">
        <f>BX71</f>
        <v>1008545</v>
      </c>
      <c r="D644" s="2">
        <f>(D615/D612)*BX76</f>
        <v>0</v>
      </c>
      <c r="E644" s="2">
        <f>(E623/E612)*SUM(C644:D644)</f>
        <v>65793.659679382676</v>
      </c>
      <c r="F644" s="2">
        <f>(F624/F612)*BX64</f>
        <v>153.54170583011427</v>
      </c>
      <c r="G644" s="2">
        <f>(G625/G612)*BX77</f>
        <v>0</v>
      </c>
      <c r="H644" s="2">
        <f>(H628/H612)*BX60</f>
        <v>14652.39263091509</v>
      </c>
      <c r="I644" s="2">
        <f>(I629/I612)*BX78</f>
        <v>0</v>
      </c>
      <c r="J644" s="2">
        <f>(J630/J612)*BX79</f>
        <v>0</v>
      </c>
      <c r="K644" s="2">
        <f>SUM(C631:J644)</f>
        <v>12921504.124353122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36">
        <v>8720</v>
      </c>
      <c r="B645" s="339" t="s">
        <v>654</v>
      </c>
      <c r="C645" s="2">
        <f>BY71</f>
        <v>1593810</v>
      </c>
      <c r="D645" s="2">
        <f>(D615/D612)*BY76</f>
        <v>14924.467893780624</v>
      </c>
      <c r="E645" s="2">
        <f>(E623/E612)*SUM(C645:D645)</f>
        <v>104947.74957497799</v>
      </c>
      <c r="F645" s="2">
        <f>(F624/F612)*BY64</f>
        <v>823.13795900669891</v>
      </c>
      <c r="G645" s="2">
        <f>(G625/G612)*BY77</f>
        <v>0</v>
      </c>
      <c r="H645" s="2">
        <f>(H628/H612)*BY60</f>
        <v>21242.34845997575</v>
      </c>
      <c r="I645" s="2">
        <f>(I629/I612)*BY78</f>
        <v>28217.561835740427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36">
        <v>8740</v>
      </c>
      <c r="B647" s="339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1763965.2657234815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36"/>
      <c r="B648" s="336"/>
      <c r="C648" s="2">
        <f>SUM(C614:C647)</f>
        <v>24931309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36">
        <v>6010</v>
      </c>
      <c r="B668" s="330" t="s">
        <v>283</v>
      </c>
      <c r="C668" s="2">
        <f>C71</f>
        <v>1701833</v>
      </c>
      <c r="D668" s="2">
        <f>(D615/D612)*C76</f>
        <v>62661.135490264445</v>
      </c>
      <c r="E668" s="2">
        <f>(E623/E612)*SUM(C668:D668)</f>
        <v>115108.92092738848</v>
      </c>
      <c r="F668" s="2">
        <f>(F624/F612)*C64</f>
        <v>5069.3527715200626</v>
      </c>
      <c r="G668" s="2">
        <f>(G625/G612)*C77</f>
        <v>226273.86809366415</v>
      </c>
      <c r="H668" s="2">
        <f>(H628/H612)*C60</f>
        <v>31887.661722304503</v>
      </c>
      <c r="I668" s="2">
        <f>(I629/I612)*C78</f>
        <v>44716.354821665154</v>
      </c>
      <c r="J668" s="2">
        <f>(J630/J612)*C79</f>
        <v>12078.582561134957</v>
      </c>
      <c r="K668" s="2">
        <f>(K644/K612)*C75</f>
        <v>122515.49237613908</v>
      </c>
      <c r="L668" s="2">
        <f>(L647/L612)*C80</f>
        <v>191806.63205357557</v>
      </c>
      <c r="M668" s="2">
        <f t="shared" ref="M668:M713" si="20">ROUND(SUM(D668:L668),0)</f>
        <v>812118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36">
        <v>6070</v>
      </c>
      <c r="B670" s="330" t="s">
        <v>665</v>
      </c>
      <c r="C670" s="2">
        <f>E71</f>
        <v>2368942</v>
      </c>
      <c r="D670" s="2">
        <f>(D615/D612)*E76</f>
        <v>270911.53676753957</v>
      </c>
      <c r="E670" s="2">
        <f>(E623/E612)*SUM(C670:D670)</f>
        <v>172214.05609219044</v>
      </c>
      <c r="F670" s="2">
        <f>(F624/F612)*E64</f>
        <v>10793.15157097351</v>
      </c>
      <c r="G670" s="2">
        <f>(G625/G612)*E77</f>
        <v>1101089.6907066265</v>
      </c>
      <c r="H670" s="2">
        <f>(H628/H612)*E60</f>
        <v>54916.298575505483</v>
      </c>
      <c r="I670" s="2">
        <f>(I629/I612)*E78</f>
        <v>193398.2346037018</v>
      </c>
      <c r="J670" s="2">
        <f>(J630/J612)*E79</f>
        <v>60080.225751070757</v>
      </c>
      <c r="K670" s="2">
        <f>(K644/K612)*E75</f>
        <v>535912.4496006259</v>
      </c>
      <c r="L670" s="2">
        <f>(L647/L612)*E80</f>
        <v>447913.11321912851</v>
      </c>
      <c r="M670" s="2">
        <f t="shared" si="20"/>
        <v>2847229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36">
        <v>6170</v>
      </c>
      <c r="B675" s="330" t="s">
        <v>99</v>
      </c>
      <c r="C675" s="2">
        <f>J71</f>
        <v>176506</v>
      </c>
      <c r="D675" s="2">
        <f>(D615/D612)*J76</f>
        <v>5450.6752307720535</v>
      </c>
      <c r="E675" s="2">
        <f>(E623/E612)*SUM(C675:D675)</f>
        <v>11870.165006544454</v>
      </c>
      <c r="F675" s="2">
        <f>(F624/F612)*J64</f>
        <v>1910.093782584875</v>
      </c>
      <c r="G675" s="2">
        <f>(G625/G612)*J77</f>
        <v>0</v>
      </c>
      <c r="H675" s="2">
        <f>(H628/H612)*J60</f>
        <v>4827.8064681763062</v>
      </c>
      <c r="I675" s="2">
        <f>(I629/I612)*J78</f>
        <v>3893.4067560242938</v>
      </c>
      <c r="J675" s="2">
        <f>(J630/J612)*J79</f>
        <v>3977.9812989465031</v>
      </c>
      <c r="K675" s="2">
        <f>(K644/K612)*J75</f>
        <v>51658.488088801962</v>
      </c>
      <c r="L675" s="2">
        <f>(L647/L612)*J80</f>
        <v>17304.491970645468</v>
      </c>
      <c r="M675" s="2">
        <f t="shared" si="20"/>
        <v>100893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36">
        <v>7010</v>
      </c>
      <c r="B680" s="330" t="s">
        <v>682</v>
      </c>
      <c r="C680" s="2">
        <f>O71</f>
        <v>1925174</v>
      </c>
      <c r="D680" s="2">
        <f>(D615/D612)*O76</f>
        <v>42653.696647152741</v>
      </c>
      <c r="E680" s="2">
        <f>(E623/E612)*SUM(C680:D680)</f>
        <v>128373.63308614514</v>
      </c>
      <c r="F680" s="2">
        <f>(F624/F612)*O64</f>
        <v>8701.4735983343307</v>
      </c>
      <c r="G680" s="2">
        <f>(G625/G612)*O77</f>
        <v>0</v>
      </c>
      <c r="H680" s="2">
        <f>(H628/H612)*O60</f>
        <v>31501.437204850394</v>
      </c>
      <c r="I680" s="2">
        <f>(I629/I612)*O78</f>
        <v>30453.379576823685</v>
      </c>
      <c r="J680" s="2">
        <f>(J630/J612)*O79</f>
        <v>20903.213206443983</v>
      </c>
      <c r="K680" s="2">
        <f>(K644/K612)*O75</f>
        <v>132164.12253341323</v>
      </c>
      <c r="L680" s="2">
        <f>(L647/L612)*O80</f>
        <v>90711.968435594157</v>
      </c>
      <c r="M680" s="2">
        <f t="shared" si="20"/>
        <v>485463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36">
        <v>7020</v>
      </c>
      <c r="B681" s="330" t="s">
        <v>684</v>
      </c>
      <c r="C681" s="2">
        <f>P71</f>
        <v>6057266</v>
      </c>
      <c r="D681" s="2">
        <f>(D615/D612)*P76</f>
        <v>265936.71413627936</v>
      </c>
      <c r="E681" s="2">
        <f>(E623/E612)*SUM(C681:D681)</f>
        <v>412501.81941076618</v>
      </c>
      <c r="F681" s="2">
        <f>(F624/F612)*P64</f>
        <v>184447.36411240551</v>
      </c>
      <c r="G681" s="2">
        <f>(G625/G612)*P77</f>
        <v>7474.8926189956237</v>
      </c>
      <c r="H681" s="2">
        <f>(H628/H612)*P60</f>
        <v>62785.623118632859</v>
      </c>
      <c r="I681" s="2">
        <f>(I629/I612)*P78</f>
        <v>189851.76508336284</v>
      </c>
      <c r="J681" s="2">
        <f>(J630/J612)*P79</f>
        <v>54655.857809169764</v>
      </c>
      <c r="K681" s="2">
        <f>(K644/K612)*P75</f>
        <v>1953270.256047247</v>
      </c>
      <c r="L681" s="2">
        <f>(L647/L612)*P80</f>
        <v>237162.61627137265</v>
      </c>
      <c r="M681" s="2">
        <f t="shared" si="20"/>
        <v>3368087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36">
        <v>7030</v>
      </c>
      <c r="B682" s="330" t="s">
        <v>686</v>
      </c>
      <c r="C682" s="2">
        <f>Q71</f>
        <v>210325</v>
      </c>
      <c r="D682" s="2">
        <f>(D615/D612)*Q76</f>
        <v>21889.219577544915</v>
      </c>
      <c r="E682" s="2">
        <f>(E623/E612)*SUM(C682:D682)</f>
        <v>15148.777035827288</v>
      </c>
      <c r="F682" s="2">
        <f>(F624/F612)*Q64</f>
        <v>1719.1135393749321</v>
      </c>
      <c r="G682" s="2">
        <f>(G625/G612)*Q77</f>
        <v>0</v>
      </c>
      <c r="H682" s="2">
        <f>(H628/H612)*Q60</f>
        <v>1327.6467787484844</v>
      </c>
      <c r="I682" s="2">
        <f>(I629/I612)*Q78</f>
        <v>15612.17560583999</v>
      </c>
      <c r="J682" s="2">
        <f>(J630/J612)*Q79</f>
        <v>0</v>
      </c>
      <c r="K682" s="2">
        <f>(K644/K612)*Q75</f>
        <v>76351.932976726515</v>
      </c>
      <c r="L682" s="2">
        <f>(L647/L612)*Q80</f>
        <v>17304.491970645468</v>
      </c>
      <c r="M682" s="2">
        <f t="shared" si="20"/>
        <v>149353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36">
        <v>7040</v>
      </c>
      <c r="B683" s="330" t="s">
        <v>107</v>
      </c>
      <c r="C683" s="2">
        <f>R71</f>
        <v>118960</v>
      </c>
      <c r="D683" s="2">
        <f>(D615/D612)*R76</f>
        <v>0</v>
      </c>
      <c r="E683" s="2">
        <f>(E623/E612)*SUM(C683:D683)</f>
        <v>7760.5002805619615</v>
      </c>
      <c r="F683" s="2">
        <f>(F624/F612)*R64</f>
        <v>2512.6065864874863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78.592255602321728</v>
      </c>
      <c r="L683" s="2">
        <f>(L647/L612)*R80</f>
        <v>0</v>
      </c>
      <c r="M683" s="2">
        <f t="shared" si="20"/>
        <v>10352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36">
        <v>7050</v>
      </c>
      <c r="B684" s="330" t="s">
        <v>689</v>
      </c>
      <c r="C684" s="2">
        <f>S71</f>
        <v>466362</v>
      </c>
      <c r="D684" s="2">
        <f>(D615/D612)*S76</f>
        <v>33071.755666073295</v>
      </c>
      <c r="E684" s="2">
        <f>(E623/E612)*SUM(C684:D684)</f>
        <v>32581.168468129421</v>
      </c>
      <c r="F684" s="2">
        <f>(F624/F612)*S64</f>
        <v>8578.3051806119765</v>
      </c>
      <c r="G684" s="2">
        <f>(G625/G612)*S77</f>
        <v>0</v>
      </c>
      <c r="H684" s="2">
        <f>(H628/H612)*S60</f>
        <v>8834.8858367626399</v>
      </c>
      <c r="I684" s="2">
        <f>(I629/I612)*S78</f>
        <v>23591.732026602651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106658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36">
        <v>7070</v>
      </c>
      <c r="B686" s="330" t="s">
        <v>109</v>
      </c>
      <c r="C686" s="2">
        <f>U71</f>
        <v>7150640</v>
      </c>
      <c r="D686" s="2">
        <f>(D615/D612)*U76</f>
        <v>63591.211025673962</v>
      </c>
      <c r="E686" s="2">
        <f>(E623/E612)*SUM(C686:D686)</f>
        <v>470629.14708476461</v>
      </c>
      <c r="F686" s="2">
        <f>(F624/F612)*U64</f>
        <v>128397.28488465628</v>
      </c>
      <c r="G686" s="2">
        <f>(G625/G612)*U77</f>
        <v>0</v>
      </c>
      <c r="H686" s="2">
        <f>(H628/H612)*U60</f>
        <v>72658.4873460534</v>
      </c>
      <c r="I686" s="2">
        <f>(I629/I612)*U78</f>
        <v>24709.64089714428</v>
      </c>
      <c r="J686" s="2">
        <f>(J630/J612)*U79</f>
        <v>7955.9625978930062</v>
      </c>
      <c r="K686" s="2">
        <f>(K644/K612)*U75</f>
        <v>1793422.6361855885</v>
      </c>
      <c r="L686" s="2">
        <f>(L647/L612)*U80</f>
        <v>0</v>
      </c>
      <c r="M686" s="2">
        <f t="shared" si="20"/>
        <v>2561364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36">
        <v>7110</v>
      </c>
      <c r="B687" s="330" t="s">
        <v>694</v>
      </c>
      <c r="C687" s="2">
        <f>V71</f>
        <v>17733</v>
      </c>
      <c r="D687" s="2">
        <f>(D615/D612)*V76</f>
        <v>5191.1192674019558</v>
      </c>
      <c r="E687" s="2">
        <f>(E623/E612)*SUM(C687:D687)</f>
        <v>1495.4828009945252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33435.402541593678</v>
      </c>
      <c r="L687" s="2">
        <f>(L647/L612)*V80</f>
        <v>0</v>
      </c>
      <c r="M687" s="2">
        <f t="shared" si="20"/>
        <v>40122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36">
        <v>7120</v>
      </c>
      <c r="B688" s="330" t="s">
        <v>696</v>
      </c>
      <c r="C688" s="2">
        <f>W71</f>
        <v>619368</v>
      </c>
      <c r="D688" s="2">
        <f>(D615/D612)*W76</f>
        <v>3071.412233212824</v>
      </c>
      <c r="E688" s="2">
        <f>(E623/E612)*SUM(C688:D688)</f>
        <v>40605.592075224195</v>
      </c>
      <c r="F688" s="2">
        <f>(F624/F612)*W64</f>
        <v>25.711680340621601</v>
      </c>
      <c r="G688" s="2">
        <f>(G625/G612)*W77</f>
        <v>0</v>
      </c>
      <c r="H688" s="2">
        <f>(H628/H612)*W60</f>
        <v>0</v>
      </c>
      <c r="I688" s="2">
        <f>(I629/I612)*W78</f>
        <v>13723.295100442065</v>
      </c>
      <c r="J688" s="2">
        <f>(J630/J612)*W79</f>
        <v>8124.0109882015904</v>
      </c>
      <c r="K688" s="2">
        <f>(K644/K612)*W75</f>
        <v>489827.64367169893</v>
      </c>
      <c r="L688" s="2">
        <f>(L647/L612)*W80</f>
        <v>0</v>
      </c>
      <c r="M688" s="2">
        <f t="shared" si="20"/>
        <v>555378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36">
        <v>7130</v>
      </c>
      <c r="B689" s="330" t="s">
        <v>698</v>
      </c>
      <c r="C689" s="2">
        <f>X71</f>
        <v>1020982</v>
      </c>
      <c r="D689" s="2">
        <f>(D615/D612)*X76</f>
        <v>49142.595731405185</v>
      </c>
      <c r="E689" s="2">
        <f>(E623/E612)*SUM(C689:D689)</f>
        <v>69810.87950075508</v>
      </c>
      <c r="F689" s="2">
        <f>(F624/F612)*X64</f>
        <v>8945.0426041673018</v>
      </c>
      <c r="G689" s="2">
        <f>(G625/G612)*X77</f>
        <v>0</v>
      </c>
      <c r="H689" s="2">
        <f>(H628/H612)*X60</f>
        <v>18104.274255661148</v>
      </c>
      <c r="I689" s="2">
        <f>(I629/I612)*X78</f>
        <v>37546.318617501602</v>
      </c>
      <c r="J689" s="2">
        <f>(J630/J612)*X79</f>
        <v>25894.501217101952</v>
      </c>
      <c r="K689" s="2">
        <f>(K644/K612)*X75</f>
        <v>1611647.2127587912</v>
      </c>
      <c r="L689" s="2">
        <f>(L647/L612)*X80</f>
        <v>0</v>
      </c>
      <c r="M689" s="2">
        <f t="shared" si="20"/>
        <v>1821091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36">
        <v>7140</v>
      </c>
      <c r="B690" s="330" t="s">
        <v>1249</v>
      </c>
      <c r="C690" s="2">
        <f>Y71</f>
        <v>2735301</v>
      </c>
      <c r="D690" s="2">
        <f>(D615/D612)*Y76</f>
        <v>50959.487474995869</v>
      </c>
      <c r="E690" s="2">
        <f>(E623/E612)*SUM(C690:D690)</f>
        <v>181765.09158346007</v>
      </c>
      <c r="F690" s="2">
        <f>(F624/F612)*Y64</f>
        <v>5558.5302365841271</v>
      </c>
      <c r="G690" s="2">
        <f>(G625/G612)*Y77</f>
        <v>0</v>
      </c>
      <c r="H690" s="2">
        <f>(H628/H612)*Y60</f>
        <v>29111.673003103122</v>
      </c>
      <c r="I690" s="2">
        <f>(I629/I612)*Y78</f>
        <v>22358.177410832577</v>
      </c>
      <c r="J690" s="2">
        <f>(J630/J612)*Y79</f>
        <v>16755.511393902241</v>
      </c>
      <c r="K690" s="2">
        <f>(K644/K612)*Y75</f>
        <v>898609.90546954237</v>
      </c>
      <c r="L690" s="2">
        <f>(L647/L612)*Y80</f>
        <v>0</v>
      </c>
      <c r="M690" s="2">
        <f t="shared" si="20"/>
        <v>1205118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36">
        <v>7170</v>
      </c>
      <c r="B693" s="330" t="s">
        <v>115</v>
      </c>
      <c r="C693" s="2">
        <f>AB71</f>
        <v>4255653</v>
      </c>
      <c r="D693" s="2">
        <f>(D615/D612)*AB76</f>
        <v>25155.29878328531</v>
      </c>
      <c r="E693" s="2">
        <f>(E623/E612)*SUM(C693:D693)</f>
        <v>279263.73574091843</v>
      </c>
      <c r="F693" s="2">
        <f>(F624/F612)*AB64</f>
        <v>147236.00727360352</v>
      </c>
      <c r="G693" s="2">
        <f>(G625/G612)*AB77</f>
        <v>0</v>
      </c>
      <c r="H693" s="2">
        <f>(H628/H612)*AB60</f>
        <v>30704.849137601308</v>
      </c>
      <c r="I693" s="2">
        <f>(I629/I612)*AB78</f>
        <v>17963.63909215169</v>
      </c>
      <c r="J693" s="2">
        <f>(J630/J612)*AB79</f>
        <v>0</v>
      </c>
      <c r="K693" s="2">
        <f>(K644/K612)*AB75</f>
        <v>1046048.7351571729</v>
      </c>
      <c r="L693" s="2">
        <f>(L647/L612)*AB80</f>
        <v>0</v>
      </c>
      <c r="M693" s="2">
        <f t="shared" si="20"/>
        <v>1546372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36">
        <v>7180</v>
      </c>
      <c r="B694" s="330" t="s">
        <v>706</v>
      </c>
      <c r="C694" s="2">
        <f>AC71</f>
        <v>811776</v>
      </c>
      <c r="D694" s="2">
        <f>(D615/D612)*AC76</f>
        <v>17130.693582426455</v>
      </c>
      <c r="E694" s="2">
        <f>(E623/E612)*SUM(C694:D694)</f>
        <v>54074.736281994854</v>
      </c>
      <c r="F694" s="2">
        <f>(F624/F612)*AC64</f>
        <v>5834.2206334375342</v>
      </c>
      <c r="G694" s="2">
        <f>(G625/G612)*AC77</f>
        <v>0</v>
      </c>
      <c r="H694" s="2">
        <f>(H628/H612)*AC60</f>
        <v>17428.381350116466</v>
      </c>
      <c r="I694" s="2">
        <f>(I629/I612)*AC78</f>
        <v>15920.564259782508</v>
      </c>
      <c r="J694" s="2">
        <f>(J630/J612)*AC79</f>
        <v>1688.008457875786</v>
      </c>
      <c r="K694" s="2">
        <f>(K644/K612)*AC75</f>
        <v>86184.02567118108</v>
      </c>
      <c r="L694" s="2">
        <f>(L647/L612)*AC80</f>
        <v>0</v>
      </c>
      <c r="M694" s="2">
        <f t="shared" si="20"/>
        <v>198261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36">
        <v>7200</v>
      </c>
      <c r="B696" s="330" t="s">
        <v>709</v>
      </c>
      <c r="C696" s="2">
        <f>AE71</f>
        <v>1398473</v>
      </c>
      <c r="D696" s="2">
        <f>(D615/D612)*AE76</f>
        <v>12220.759942008772</v>
      </c>
      <c r="E696" s="2">
        <f>(E623/E612)*SUM(C696:D696)</f>
        <v>92028.323132287886</v>
      </c>
      <c r="F696" s="2">
        <f>(F624/F612)*AE64</f>
        <v>2266.7796143923083</v>
      </c>
      <c r="G696" s="2">
        <f>(G625/G612)*AE77</f>
        <v>0</v>
      </c>
      <c r="H696" s="2">
        <f>(H628/H612)*AE60</f>
        <v>6952.0413141738809</v>
      </c>
      <c r="I696" s="2">
        <f>(I629/I612)*AE78</f>
        <v>115453.00231973029</v>
      </c>
      <c r="J696" s="2">
        <f>(J630/J612)*AE79</f>
        <v>7232.7692764157619</v>
      </c>
      <c r="K696" s="2">
        <f>(K644/K612)*AE75</f>
        <v>249252.96072323486</v>
      </c>
      <c r="L696" s="2">
        <f>(L647/L612)*AE80</f>
        <v>0</v>
      </c>
      <c r="M696" s="2">
        <f t="shared" si="20"/>
        <v>485407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36">
        <v>7230</v>
      </c>
      <c r="B698" s="330" t="s">
        <v>713</v>
      </c>
      <c r="C698" s="2">
        <f>AG71</f>
        <v>6464002</v>
      </c>
      <c r="D698" s="2">
        <f>(D615/D612)*AG76</f>
        <v>111609.06424914206</v>
      </c>
      <c r="E698" s="2">
        <f>(E623/E612)*SUM(C698:D698)</f>
        <v>428967.98511240585</v>
      </c>
      <c r="F698" s="2">
        <f>(F624/F612)*AG64</f>
        <v>34576.018860320321</v>
      </c>
      <c r="G698" s="2">
        <f>(G625/G612)*AG77</f>
        <v>48143.376190141309</v>
      </c>
      <c r="H698" s="2">
        <f>(H628/H612)*AG60</f>
        <v>76689.705746980631</v>
      </c>
      <c r="I698" s="2">
        <f>(I629/I612)*AG78</f>
        <v>79679.918462398171</v>
      </c>
      <c r="J698" s="2">
        <f>(J630/J612)*AG79</f>
        <v>52462.032057081567</v>
      </c>
      <c r="K698" s="2">
        <f>(K644/K612)*AG75</f>
        <v>1456166.5010481642</v>
      </c>
      <c r="L698" s="2">
        <f>(L647/L612)*AG80</f>
        <v>375052.09439535812</v>
      </c>
      <c r="M698" s="2">
        <f t="shared" si="20"/>
        <v>2663347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36">
        <v>7260</v>
      </c>
      <c r="B701" s="330" t="s">
        <v>121</v>
      </c>
      <c r="C701" s="2">
        <f>AJ71</f>
        <v>23400618</v>
      </c>
      <c r="D701" s="2">
        <f>(D615/D612)*AJ76</f>
        <v>511022.43254849419</v>
      </c>
      <c r="E701" s="2">
        <f>(E623/E612)*SUM(C701:D701)</f>
        <v>1559904.9452378054</v>
      </c>
      <c r="F701" s="2">
        <f>(F624/F612)*AJ64</f>
        <v>149362.21027876806</v>
      </c>
      <c r="G701" s="2">
        <f>(G625/G612)*AJ77</f>
        <v>0</v>
      </c>
      <c r="H701" s="2">
        <f>(H628/H612)*AJ60</f>
        <v>346636.50441505876</v>
      </c>
      <c r="I701" s="2">
        <f>(I629/I612)*AJ78</f>
        <v>228785.83264360577</v>
      </c>
      <c r="J701" s="2">
        <f>(J630/J612)*AJ79</f>
        <v>12174.729650117481</v>
      </c>
      <c r="K701" s="2">
        <f>(K644/K612)*AJ75</f>
        <v>2042285.5374987111</v>
      </c>
      <c r="L701" s="2">
        <f>(L647/L612)*AJ80</f>
        <v>207471.75110068623</v>
      </c>
      <c r="M701" s="2">
        <f t="shared" si="20"/>
        <v>5057644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36">
        <v>7310</v>
      </c>
      <c r="B702" s="330" t="s">
        <v>719</v>
      </c>
      <c r="C702" s="2">
        <f>AK71</f>
        <v>299746</v>
      </c>
      <c r="D702" s="2">
        <f>(D615/D612)*AK76</f>
        <v>0</v>
      </c>
      <c r="E702" s="2">
        <f>(E623/E612)*SUM(C702:D702)</f>
        <v>19554.294864637908</v>
      </c>
      <c r="F702" s="2">
        <f>(F624/F612)*AK64</f>
        <v>845.93613449285908</v>
      </c>
      <c r="G702" s="2">
        <f>(G625/G612)*AK77</f>
        <v>0</v>
      </c>
      <c r="H702" s="2">
        <f>(H628/H612)*AK60</f>
        <v>0</v>
      </c>
      <c r="I702" s="2">
        <f>(I629/I612)*AK78</f>
        <v>32033.87142827909</v>
      </c>
      <c r="J702" s="2">
        <f>(J630/J612)*AK79</f>
        <v>3616.8026690295442</v>
      </c>
      <c r="K702" s="2">
        <f>(K644/K612)*AK75</f>
        <v>54744.382777236511</v>
      </c>
      <c r="L702" s="2">
        <f>(L647/L612)*AK80</f>
        <v>0</v>
      </c>
      <c r="M702" s="2">
        <f t="shared" si="20"/>
        <v>110795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36">
        <v>7320</v>
      </c>
      <c r="B703" s="330" t="s">
        <v>721</v>
      </c>
      <c r="C703" s="2">
        <f>AL71</f>
        <v>261353</v>
      </c>
      <c r="D703" s="2">
        <f>(D615/D612)*AL76</f>
        <v>0</v>
      </c>
      <c r="E703" s="2">
        <f>(E623/E612)*SUM(C703:D703)</f>
        <v>17049.680815616259</v>
      </c>
      <c r="F703" s="2">
        <f>(F624/F612)*AL64</f>
        <v>154.27008204372962</v>
      </c>
      <c r="G703" s="2">
        <f>(G625/G612)*AL77</f>
        <v>0</v>
      </c>
      <c r="H703" s="2">
        <f>(H628/H612)*AL60</f>
        <v>0</v>
      </c>
      <c r="I703" s="2">
        <f>(I629/I612)*AL78</f>
        <v>21355.914285519393</v>
      </c>
      <c r="J703" s="2">
        <f>(J630/J612)*AL79</f>
        <v>0</v>
      </c>
      <c r="K703" s="2">
        <f>(K644/K612)*AL75</f>
        <v>50431.562219547668</v>
      </c>
      <c r="L703" s="2">
        <f>(L647/L612)*AL80</f>
        <v>0</v>
      </c>
      <c r="M703" s="2">
        <f t="shared" si="20"/>
        <v>88991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36">
        <v>7400</v>
      </c>
      <c r="B709" s="330" t="s">
        <v>733</v>
      </c>
      <c r="C709" s="2">
        <f>AR71</f>
        <v>2892188</v>
      </c>
      <c r="D709" s="2">
        <f>(D615/D612)*AR76</f>
        <v>30151.751078159694</v>
      </c>
      <c r="E709" s="2">
        <f>(E623/E612)*SUM(C709:D709)</f>
        <v>190642.38784582572</v>
      </c>
      <c r="F709" s="2">
        <f>(F624/F612)*AR64</f>
        <v>9225.3946087878467</v>
      </c>
      <c r="G709" s="2">
        <f>(G625/G612)*AR77</f>
        <v>0</v>
      </c>
      <c r="H709" s="2">
        <f>(H628/H612)*AR60</f>
        <v>49002.235651989504</v>
      </c>
      <c r="I709" s="2">
        <f>(I629/I612)*AR78</f>
        <v>21510.108612490654</v>
      </c>
      <c r="J709" s="2">
        <f>(J630/J612)*AR79</f>
        <v>0</v>
      </c>
      <c r="K709" s="2">
        <f>(K644/K612)*AR75</f>
        <v>237496.28475210234</v>
      </c>
      <c r="L709" s="2">
        <f>(L647/L612)*AR80</f>
        <v>179238.10630647518</v>
      </c>
      <c r="M709" s="2">
        <f t="shared" si="20"/>
        <v>717266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36">
        <v>7490</v>
      </c>
      <c r="B713" s="33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89284510</v>
      </c>
      <c r="D715" s="2">
        <f>SUM(D616:D647)+SUM(D668:D713)</f>
        <v>2357244</v>
      </c>
      <c r="E715" s="2">
        <f>SUM(E624:E647)+SUM(E668:E713)</f>
        <v>5467879.8092712555</v>
      </c>
      <c r="F715" s="2">
        <f>SUM(F625:F648)+SUM(F668:F713)</f>
        <v>780069.14633324509</v>
      </c>
      <c r="G715" s="2">
        <f>SUM(G626:G647)+SUM(G668:G713)</f>
        <v>1382981.8276094275</v>
      </c>
      <c r="H715" s="2">
        <f>SUM(H629:H647)+SUM(H668:H713)</f>
        <v>1088259.9950239619</v>
      </c>
      <c r="I715" s="2">
        <f>SUM(I630:I647)+SUM(I668:I713)</f>
        <v>1179856.4414023324</v>
      </c>
      <c r="J715" s="2">
        <f>SUM(J631:J647)+SUM(J668:J713)</f>
        <v>287600.1889343849</v>
      </c>
      <c r="K715" s="2">
        <f>SUM(K668:K713)</f>
        <v>12921504.12435312</v>
      </c>
      <c r="L715" s="2">
        <f>SUM(L668:L713)</f>
        <v>1763965.2657234811</v>
      </c>
      <c r="M715" s="2">
        <f>SUM(M668:M713)</f>
        <v>24931309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89284510</v>
      </c>
      <c r="D716" s="2">
        <f>D615</f>
        <v>2357244</v>
      </c>
      <c r="E716" s="2">
        <f>E623</f>
        <v>5467879.8092712555</v>
      </c>
      <c r="F716" s="2">
        <f>F624</f>
        <v>780069.14633324509</v>
      </c>
      <c r="G716" s="2">
        <f>G625</f>
        <v>1382981.8276094277</v>
      </c>
      <c r="H716" s="2">
        <f>H628</f>
        <v>1088259.9950239619</v>
      </c>
      <c r="I716" s="2">
        <f>I629</f>
        <v>1179856.4414023322</v>
      </c>
      <c r="J716" s="2">
        <f>J630</f>
        <v>287600.1889343849</v>
      </c>
      <c r="K716" s="2">
        <f>K644</f>
        <v>12921504.124353122</v>
      </c>
      <c r="L716" s="2">
        <f>L647</f>
        <v>1763965.2657234815</v>
      </c>
      <c r="M716" s="2">
        <f>C648</f>
        <v>24931309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1"/>
      <c r="J719" s="281"/>
      <c r="K719" s="281"/>
      <c r="L719" s="281"/>
      <c r="M719" s="281"/>
      <c r="N719" s="281"/>
      <c r="O719" s="202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3" t="str">
        <f>RIGHT(C84,3)&amp;"*"&amp;RIGHT(C83,4)&amp;"*"&amp;"A"</f>
        <v>are*140*A</v>
      </c>
      <c r="B721" s="281">
        <f>ROUND(C166,0)</f>
        <v>50635</v>
      </c>
      <c r="C721" s="281">
        <f>ROUND(C167,0)</f>
        <v>248427</v>
      </c>
      <c r="D721" s="281">
        <f>ROUND(C168,0)</f>
        <v>4398714</v>
      </c>
      <c r="E721" s="281">
        <f>ROUND(C169,0)</f>
        <v>54132</v>
      </c>
      <c r="F721" s="281">
        <f>ROUND(C170,0)</f>
        <v>2607612</v>
      </c>
      <c r="G721" s="281">
        <f>ROUND(C171,0)</f>
        <v>125002</v>
      </c>
      <c r="H721" s="281">
        <f>ROUND(C172+C173,0)</f>
        <v>12068</v>
      </c>
      <c r="I721" s="281">
        <f>ROUND(C176,0)</f>
        <v>707395</v>
      </c>
      <c r="J721" s="281">
        <f>ROUND(C177,0)</f>
        <v>0</v>
      </c>
      <c r="K721" s="281">
        <f>ROUND(C180,0)</f>
        <v>236959</v>
      </c>
      <c r="L721" s="281">
        <f>ROUND(C181,0)</f>
        <v>0</v>
      </c>
      <c r="M721" s="281">
        <f>ROUND(C184,0)</f>
        <v>645703</v>
      </c>
      <c r="N721" s="281">
        <f>ROUND(C185,0)</f>
        <v>0</v>
      </c>
      <c r="O721" s="281">
        <f>ROUND(C186,0)</f>
        <v>0</v>
      </c>
      <c r="P721" s="281">
        <f>ROUND(C189,0)</f>
        <v>607942</v>
      </c>
      <c r="Q721" s="281">
        <f>ROUND(C190,0)</f>
        <v>0</v>
      </c>
      <c r="R721" s="281">
        <f>ROUND(B196,0)</f>
        <v>418230</v>
      </c>
      <c r="S721" s="281">
        <f>ROUND(C196,0)</f>
        <v>10776</v>
      </c>
      <c r="T721" s="281">
        <f>ROUND(D196,0)</f>
        <v>0</v>
      </c>
      <c r="U721" s="281">
        <f>ROUND(B197,0)</f>
        <v>41359356</v>
      </c>
      <c r="V721" s="281">
        <f>ROUND(C197,0)</f>
        <v>5281532</v>
      </c>
      <c r="W721" s="281">
        <f>ROUND(D197,0)</f>
        <v>0</v>
      </c>
      <c r="X721" s="281">
        <f>ROUND(B198,0)</f>
        <v>4466043</v>
      </c>
      <c r="Y721" s="281">
        <f>ROUND(C198,0)</f>
        <v>2497932</v>
      </c>
      <c r="Z721" s="281">
        <f>ROUND(D198,0)</f>
        <v>0</v>
      </c>
      <c r="AA721" s="281">
        <f>ROUND(B199,0)</f>
        <v>0</v>
      </c>
      <c r="AB721" s="281">
        <f>ROUND(C199,0)</f>
        <v>0</v>
      </c>
      <c r="AC721" s="281">
        <f>ROUND(D199,0)</f>
        <v>0</v>
      </c>
      <c r="AD721" s="281">
        <f>ROUND(B200,0)</f>
        <v>30028874</v>
      </c>
      <c r="AE721" s="281">
        <f>ROUND(C200,0)</f>
        <v>2495137</v>
      </c>
      <c r="AF721" s="281">
        <f>ROUND(D200,0)</f>
        <v>0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0</v>
      </c>
      <c r="AK721" s="281">
        <f>ROUND(C202,0)</f>
        <v>0</v>
      </c>
      <c r="AL721" s="281">
        <f>ROUND(D202,0)</f>
        <v>0</v>
      </c>
      <c r="AM721" s="281">
        <f>ROUND(B203,0)</f>
        <v>4350909</v>
      </c>
      <c r="AN721" s="281">
        <f>ROUND(C203,0)</f>
        <v>-4064364</v>
      </c>
      <c r="AO721" s="281">
        <f>ROUND(D203,0)</f>
        <v>0</v>
      </c>
      <c r="AP721" s="281">
        <f>ROUND(B204,0)</f>
        <v>83068142</v>
      </c>
      <c r="AQ721" s="281">
        <f>ROUND(C204,0)</f>
        <v>6585143</v>
      </c>
      <c r="AR721" s="281">
        <f>ROUND(D204,0)</f>
        <v>0</v>
      </c>
      <c r="AS721" s="281"/>
      <c r="AT721" s="281"/>
      <c r="AU721" s="281"/>
      <c r="AV721" s="281">
        <f>ROUND(B210,0)</f>
        <v>16858256</v>
      </c>
      <c r="AW721" s="281">
        <f>ROUND(C210,0)</f>
        <v>1604115</v>
      </c>
      <c r="AX721" s="281">
        <f>ROUND(D210,0)</f>
        <v>0</v>
      </c>
      <c r="AY721" s="281">
        <f>ROUND(B211,0)</f>
        <v>3775812</v>
      </c>
      <c r="AZ721" s="281">
        <f>ROUND(C211,0)</f>
        <v>368801</v>
      </c>
      <c r="BA721" s="281">
        <f>ROUND(D211,0)</f>
        <v>0</v>
      </c>
      <c r="BB721" s="281">
        <f>ROUND(B212,0)</f>
        <v>0</v>
      </c>
      <c r="BC721" s="281">
        <f>ROUND(C212,0)</f>
        <v>0</v>
      </c>
      <c r="BD721" s="281">
        <f>ROUND(D212,0)</f>
        <v>0</v>
      </c>
      <c r="BE721" s="281">
        <f>ROUND(B213,0)</f>
        <v>21513937</v>
      </c>
      <c r="BF721" s="281">
        <f>ROUND(C213,0)</f>
        <v>2321171</v>
      </c>
      <c r="BG721" s="281">
        <f>ROUND(D213,0)</f>
        <v>0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42573205</v>
      </c>
      <c r="BR721" s="281">
        <f>ROUND(C217,0)</f>
        <v>4299508</v>
      </c>
      <c r="BS721" s="281">
        <f>ROUND(D217,0)</f>
        <v>0</v>
      </c>
      <c r="BT721" s="281">
        <f>ROUND(C222,0)</f>
        <v>0</v>
      </c>
      <c r="BU721" s="281">
        <f>ROUND(C223,0)</f>
        <v>29937591</v>
      </c>
      <c r="BV721" s="281">
        <f>ROUND(C224,0)</f>
        <v>17347834</v>
      </c>
      <c r="BW721" s="281">
        <f>ROUND(C225,0)</f>
        <v>0</v>
      </c>
      <c r="BX721" s="281">
        <f>ROUND(C226,0)</f>
        <v>0</v>
      </c>
      <c r="BY721" s="281">
        <f>ROUND(C227,0)</f>
        <v>21322729</v>
      </c>
      <c r="BZ721" s="281">
        <f>ROUND(C230,0)</f>
        <v>0</v>
      </c>
      <c r="CA721" s="281">
        <f>ROUND(C232,0)</f>
        <v>0</v>
      </c>
      <c r="CB721" s="281">
        <f>ROUND(C233,0)</f>
        <v>46876</v>
      </c>
      <c r="CC721" s="281">
        <f>ROUND(C237+C238,0)</f>
        <v>2427567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3" t="str">
        <f>RIGHT(C84,3)&amp;"*"&amp;RIGHT(C83,4)&amp;"*"&amp;"A"</f>
        <v>are*140*A</v>
      </c>
      <c r="B725" s="281">
        <f>ROUND(C112,0)</f>
        <v>6</v>
      </c>
      <c r="C725" s="281">
        <f>ROUND(C113,0)</f>
        <v>0</v>
      </c>
      <c r="D725" s="281">
        <f>ROUND(C114,0)</f>
        <v>284</v>
      </c>
      <c r="E725" s="281">
        <f>ROUND(C115,0)</f>
        <v>0</v>
      </c>
      <c r="F725" s="281">
        <f>ROUND(D112,0)</f>
        <v>123</v>
      </c>
      <c r="G725" s="281">
        <f>ROUND(D113,0)</f>
        <v>0</v>
      </c>
      <c r="H725" s="281">
        <f>ROUND(D114,0)</f>
        <v>469</v>
      </c>
      <c r="I725" s="281">
        <f>ROUND(D115,0)</f>
        <v>0</v>
      </c>
      <c r="J725" s="281">
        <f>ROUND(C117,0)</f>
        <v>0</v>
      </c>
      <c r="K725" s="281">
        <f>ROUND(C118,0)</f>
        <v>13</v>
      </c>
      <c r="L725" s="281">
        <f>ROUND(C119,0)</f>
        <v>0</v>
      </c>
      <c r="M725" s="281">
        <f>ROUND(C120,0)</f>
        <v>6</v>
      </c>
      <c r="N725" s="281">
        <f>ROUND(C121,0)</f>
        <v>0</v>
      </c>
      <c r="O725" s="281">
        <f>ROUND(C122,0)</f>
        <v>0</v>
      </c>
      <c r="P725" s="281">
        <f>ROUND(C123,0)</f>
        <v>0</v>
      </c>
      <c r="Q725" s="281">
        <f>ROUND(C124,0)</f>
        <v>0</v>
      </c>
      <c r="R725" s="281">
        <f>ROUND(C125,0)</f>
        <v>0</v>
      </c>
      <c r="S725" s="281">
        <f>ROUND(C126,0)</f>
        <v>0</v>
      </c>
      <c r="T725" s="281"/>
      <c r="U725" s="281">
        <f>ROUND(C127,0)</f>
        <v>0</v>
      </c>
      <c r="V725" s="281">
        <f>ROUND(C129,0)</f>
        <v>6</v>
      </c>
      <c r="W725" s="281">
        <f>ROUND(C130,0)</f>
        <v>0</v>
      </c>
      <c r="X725" s="281">
        <f>ROUND(B139,0)</f>
        <v>1125</v>
      </c>
      <c r="Y725" s="281">
        <f>ROUND(B140,0)</f>
        <v>65068</v>
      </c>
      <c r="Z725" s="281">
        <f>ROUND(B141,0)</f>
        <v>8766134</v>
      </c>
      <c r="AA725" s="281">
        <f>ROUND(B142,0)</f>
        <v>52935127</v>
      </c>
      <c r="AB725" s="281">
        <f>ROUND(B143,0)</f>
        <v>0</v>
      </c>
      <c r="AC725" s="281">
        <f>ROUND(C139,0)</f>
        <v>772</v>
      </c>
      <c r="AD725" s="281">
        <f>ROUND(C140,0)</f>
        <v>31673</v>
      </c>
      <c r="AE725" s="281">
        <f>ROUND(C141,0)</f>
        <v>4442112</v>
      </c>
      <c r="AF725" s="281">
        <f>ROUND(C142,0)</f>
        <v>26026958</v>
      </c>
      <c r="AG725" s="281">
        <f>ROUND(C143,0)</f>
        <v>0</v>
      </c>
      <c r="AH725" s="281">
        <f>ROUND(D139,0)</f>
        <v>928</v>
      </c>
      <c r="AI725" s="281">
        <f>ROUND(D140,0)</f>
        <v>79120</v>
      </c>
      <c r="AJ725" s="281">
        <f>ROUND(D141,0)</f>
        <v>5656756</v>
      </c>
      <c r="AK725" s="281">
        <f>ROUND(D142,0)</f>
        <v>62296983</v>
      </c>
      <c r="AL725" s="281">
        <f>ROUND(D143,0)</f>
        <v>0</v>
      </c>
      <c r="AM725" s="281">
        <f>ROUND(B145,0)</f>
        <v>123</v>
      </c>
      <c r="AN725" s="281">
        <f>ROUND(B146,0)</f>
        <v>0</v>
      </c>
      <c r="AO725" s="281">
        <f>ROUND(B147,0)</f>
        <v>177559</v>
      </c>
      <c r="AP725" s="281">
        <f>ROUND(B148,0)</f>
        <v>0</v>
      </c>
      <c r="AQ725" s="281">
        <f>ROUND(B149,0)</f>
        <v>0</v>
      </c>
      <c r="AR725" s="281">
        <f>ROUND(C145,0)</f>
        <v>0</v>
      </c>
      <c r="AS725" s="281">
        <f>ROUND(C146,0)</f>
        <v>0</v>
      </c>
      <c r="AT725" s="281">
        <f>ROUND(C147,0)</f>
        <v>0</v>
      </c>
      <c r="AU725" s="281">
        <f>ROUND(C148,0)</f>
        <v>0</v>
      </c>
      <c r="AV725" s="281">
        <f>ROUND(C149,0)</f>
        <v>0</v>
      </c>
      <c r="AW725" s="281">
        <f>ROUND(D145,0)</f>
        <v>0</v>
      </c>
      <c r="AX725" s="281">
        <f>ROUND(D146,0)</f>
        <v>0</v>
      </c>
      <c r="AY725" s="281">
        <f>ROUND(D147,0)</f>
        <v>0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0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0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3" t="str">
        <f>RIGHT(C84,3)&amp;"*"&amp;RIGHT(C83,4)&amp;"*"&amp;"A"</f>
        <v>are*140*A</v>
      </c>
      <c r="B729" s="281">
        <f>ROUND(C249,0)</f>
        <v>0</v>
      </c>
      <c r="C729" s="281">
        <f>ROUND(C250,0)</f>
        <v>13111089</v>
      </c>
      <c r="D729" s="281">
        <f>ROUND(C251,0)</f>
        <v>0</v>
      </c>
      <c r="E729" s="281">
        <f>ROUND(C252,0)</f>
        <v>38670560</v>
      </c>
      <c r="F729" s="281">
        <f>ROUND(C253,0)</f>
        <v>26628109</v>
      </c>
      <c r="G729" s="281">
        <f>ROUND(C254,0)</f>
        <v>1000300</v>
      </c>
      <c r="H729" s="281">
        <f>ROUND(C255,0)</f>
        <v>334992</v>
      </c>
      <c r="I729" s="281">
        <f>ROUND(C256,0)</f>
        <v>0</v>
      </c>
      <c r="J729" s="281">
        <f>ROUND(C257,0)</f>
        <v>1779361</v>
      </c>
      <c r="K729" s="281">
        <f>ROUND(C258,0)</f>
        <v>767063</v>
      </c>
      <c r="L729" s="281">
        <f>ROUND(C261,0)</f>
        <v>0</v>
      </c>
      <c r="M729" s="281">
        <f>ROUND(C262,0)</f>
        <v>0</v>
      </c>
      <c r="N729" s="281">
        <f>ROUND(C263,0)</f>
        <v>26786385</v>
      </c>
      <c r="O729" s="281">
        <f>ROUND(C266,0)</f>
        <v>0</v>
      </c>
      <c r="P729" s="281">
        <f>ROUND(C267,0)</f>
        <v>2808860</v>
      </c>
      <c r="Q729" s="281">
        <f>ROUND(C268,0)</f>
        <v>429006</v>
      </c>
      <c r="R729" s="281">
        <f>ROUND(C269,0)</f>
        <v>46640888</v>
      </c>
      <c r="S729" s="281">
        <f>ROUND(C270,0)</f>
        <v>6963975</v>
      </c>
      <c r="T729" s="281">
        <f>ROUND(C271,0)</f>
        <v>0</v>
      </c>
      <c r="U729" s="281">
        <f>ROUND(C272,0)</f>
        <v>32524011</v>
      </c>
      <c r="V729" s="281">
        <f>ROUND(C273,0)</f>
        <v>0</v>
      </c>
      <c r="W729" s="281">
        <f>ROUND(C274,0)</f>
        <v>286545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0</v>
      </c>
      <c r="AI729" s="281">
        <f>ROUND(C305,0)</f>
        <v>1438500</v>
      </c>
      <c r="AJ729" s="281">
        <f>ROUND(C306,0)</f>
        <v>4050139</v>
      </c>
      <c r="AK729" s="281">
        <f>ROUND(C307,0)</f>
        <v>299485</v>
      </c>
      <c r="AL729" s="281">
        <f>ROUND(C308,0)</f>
        <v>0</v>
      </c>
      <c r="AM729" s="281">
        <f>ROUND(C309,0)</f>
        <v>700000</v>
      </c>
      <c r="AN729" s="281">
        <f>ROUND(C310,0)</f>
        <v>0</v>
      </c>
      <c r="AO729" s="281">
        <f>ROUND(C311,0)</f>
        <v>0</v>
      </c>
      <c r="AP729" s="281">
        <f>ROUND(C312,0)</f>
        <v>0</v>
      </c>
      <c r="AQ729" s="281">
        <f>ROUND(C315,0)</f>
        <v>0</v>
      </c>
      <c r="AR729" s="281">
        <f>ROUND(C316,0)</f>
        <v>0</v>
      </c>
      <c r="AS729" s="281">
        <f>ROUND(C317,0)</f>
        <v>66951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0</v>
      </c>
      <c r="AX729" s="281">
        <f>ROUND(C324,0)</f>
        <v>0</v>
      </c>
      <c r="AY729" s="281">
        <f>ROUND(C325,0)</f>
        <v>19949000</v>
      </c>
      <c r="AZ729" s="281">
        <f>ROUND(C326,0)</f>
        <v>0</v>
      </c>
      <c r="BA729" s="281">
        <f>ROUND(C327,0)</f>
        <v>0</v>
      </c>
      <c r="BB729" s="281">
        <f>ROUND(C331,0)</f>
        <v>0</v>
      </c>
      <c r="BC729" s="281"/>
      <c r="BD729" s="281"/>
      <c r="BE729" s="281">
        <f>ROUND(C336,0)</f>
        <v>0</v>
      </c>
      <c r="BF729" s="281">
        <f>ROUND(C335,0)</f>
        <v>0</v>
      </c>
      <c r="BG729" s="281"/>
      <c r="BH729" s="281"/>
      <c r="BI729" s="284">
        <f>ROUND(CE60,2)</f>
        <v>499.01</v>
      </c>
      <c r="BJ729" s="281">
        <f>ROUND(C358,0)</f>
        <v>0</v>
      </c>
      <c r="BK729" s="281">
        <f>ROUND(C359,0)</f>
        <v>19042561</v>
      </c>
      <c r="BL729" s="281">
        <f>ROUND(C362,0)</f>
        <v>0</v>
      </c>
      <c r="BM729" s="281">
        <f>ROUND(C363,0)</f>
        <v>3401565</v>
      </c>
      <c r="BN729" s="281">
        <f>ROUND(C364,0)</f>
        <v>68608154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45520243</v>
      </c>
      <c r="BT729" s="281">
        <f>ROUND(C379,0)</f>
        <v>10498081</v>
      </c>
      <c r="BU729" s="281">
        <f>ROUND(C380,0)</f>
        <v>1177563</v>
      </c>
      <c r="BV729" s="281">
        <f>ROUND(C381,0)</f>
        <v>10836660</v>
      </c>
      <c r="BW729" s="281">
        <f>ROUND(C382,0)</f>
        <v>1048528</v>
      </c>
      <c r="BX729" s="281">
        <f>ROUND(C383,0)</f>
        <v>11961824</v>
      </c>
      <c r="BY729" s="281">
        <f>ROUND(C384,0)</f>
        <v>4240489</v>
      </c>
      <c r="BZ729" s="281">
        <f>ROUND(C385,0)</f>
        <v>1364343</v>
      </c>
      <c r="CA729" s="281">
        <f>ROUND(C386,0)</f>
        <v>546021</v>
      </c>
      <c r="CB729" s="281">
        <f>ROUND(C387,0)</f>
        <v>792722</v>
      </c>
      <c r="CC729" s="281">
        <f>ROUND(C388,0)</f>
        <v>607942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are*140*6010*A</v>
      </c>
      <c r="B733" s="281">
        <f>ROUND(C59,0)</f>
        <v>368</v>
      </c>
      <c r="C733" s="284">
        <f>ROUND(C60,2)</f>
        <v>13.21</v>
      </c>
      <c r="D733" s="281">
        <f>ROUND(C61,0)</f>
        <v>1255153</v>
      </c>
      <c r="E733" s="281">
        <f>ROUND(C62,0)</f>
        <v>289469</v>
      </c>
      <c r="F733" s="281">
        <f>ROUND(C63,0)</f>
        <v>0</v>
      </c>
      <c r="G733" s="281">
        <f>ROUND(C64,0)</f>
        <v>69598</v>
      </c>
      <c r="H733" s="281">
        <f>ROUND(C65,0)</f>
        <v>0</v>
      </c>
      <c r="I733" s="281">
        <f>ROUND(C66,0)</f>
        <v>5800</v>
      </c>
      <c r="J733" s="281">
        <f>ROUND(C67,0)</f>
        <v>79012</v>
      </c>
      <c r="K733" s="281">
        <f>ROUND(C68,0)</f>
        <v>0</v>
      </c>
      <c r="L733" s="281">
        <f>ROUND(C70,0)</f>
        <v>0</v>
      </c>
      <c r="M733" s="281">
        <f>ROUND(C71,0)</f>
        <v>1701833</v>
      </c>
      <c r="N733" s="281">
        <f>ROUND(C76,0)</f>
        <v>2897</v>
      </c>
      <c r="O733" s="281">
        <f>ROUND(C74,0)</f>
        <v>632374</v>
      </c>
      <c r="P733" s="281">
        <f>IF(C77&gt;0,ROUND(C77,0),0)</f>
        <v>1786</v>
      </c>
      <c r="Q733" s="281">
        <f>IF(C78&gt;0,ROUND(C78,0),0)</f>
        <v>1160</v>
      </c>
      <c r="R733" s="281">
        <f>IF(C79&gt;0,ROUND(C79,0),0)</f>
        <v>14447</v>
      </c>
      <c r="S733" s="281">
        <f>IF(C80&gt;0,ROUND(C80,0),0)</f>
        <v>11</v>
      </c>
      <c r="T733" s="284">
        <f>IF(C81&gt;0,ROUND(C81,2),0)</f>
        <v>0</v>
      </c>
      <c r="U733" s="281"/>
      <c r="X733" s="281"/>
      <c r="Y733" s="281"/>
      <c r="Z733" s="281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are*140*6030*A</v>
      </c>
      <c r="B734" s="281">
        <f>ROUND(D59,0)</f>
        <v>0</v>
      </c>
      <c r="C734" s="284">
        <f>ROUND(D60,2)</f>
        <v>0</v>
      </c>
      <c r="D734" s="281">
        <f>ROUND(D61,0)</f>
        <v>0</v>
      </c>
      <c r="E734" s="281">
        <f>ROUND(D62,0)</f>
        <v>0</v>
      </c>
      <c r="F734" s="281">
        <f>ROUND(D63,0)</f>
        <v>0</v>
      </c>
      <c r="G734" s="281">
        <f>ROUND(D64,0)</f>
        <v>0</v>
      </c>
      <c r="H734" s="281">
        <f>ROUND(D65,0)</f>
        <v>0</v>
      </c>
      <c r="I734" s="281">
        <f>ROUND(D66,0)</f>
        <v>0</v>
      </c>
      <c r="J734" s="281">
        <f>ROUND(D67,0)</f>
        <v>0</v>
      </c>
      <c r="K734" s="281">
        <f>ROUND(D68,0)</f>
        <v>0</v>
      </c>
      <c r="L734" s="281">
        <f>ROUND(D70,0)</f>
        <v>0</v>
      </c>
      <c r="M734" s="281">
        <f>ROUND(D71,0)</f>
        <v>0</v>
      </c>
      <c r="N734" s="281">
        <f>ROUND(D76,0)</f>
        <v>0</v>
      </c>
      <c r="O734" s="281">
        <f>ROUND(D74,0)</f>
        <v>0</v>
      </c>
      <c r="P734" s="281">
        <f>IF(D77&gt;0,ROUND(D77,0),0)</f>
        <v>0</v>
      </c>
      <c r="Q734" s="281">
        <f>IF(D78&gt;0,ROUND(D78,0),0)</f>
        <v>0</v>
      </c>
      <c r="R734" s="281">
        <f>IF(D79&gt;0,ROUND(D79,0),0)</f>
        <v>0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>
        <f t="shared" ref="Z734:Z778" si="21">IF(M668&lt;&gt;0,ROUND(M668,0),0)</f>
        <v>812118</v>
      </c>
    </row>
    <row r="735" spans="1:84" ht="12.65" customHeight="1" x14ac:dyDescent="0.3">
      <c r="A735" s="209" t="str">
        <f>RIGHT($C$84,3)&amp;"*"&amp;RIGHT($C$83,4)&amp;"*"&amp;E$55&amp;"*"&amp;"A"</f>
        <v>are*140*6070*A</v>
      </c>
      <c r="B735" s="281">
        <f>ROUND(E59,0)</f>
        <v>1988</v>
      </c>
      <c r="C735" s="284">
        <f>ROUND(E60,2)</f>
        <v>22.75</v>
      </c>
      <c r="D735" s="281">
        <f>ROUND(E61,0)</f>
        <v>1566090</v>
      </c>
      <c r="E735" s="281">
        <f>ROUND(E62,0)</f>
        <v>361179</v>
      </c>
      <c r="F735" s="281">
        <f>ROUND(E63,0)</f>
        <v>0</v>
      </c>
      <c r="G735" s="281">
        <f>ROUND(E64,0)</f>
        <v>148181</v>
      </c>
      <c r="H735" s="281">
        <f>ROUND(E65,0)</f>
        <v>0</v>
      </c>
      <c r="I735" s="281">
        <f>ROUND(E66,0)</f>
        <v>7263</v>
      </c>
      <c r="J735" s="281">
        <f>ROUND(E67,0)</f>
        <v>271608</v>
      </c>
      <c r="K735" s="281">
        <f>ROUND(E68,0)</f>
        <v>7726</v>
      </c>
      <c r="L735" s="281">
        <f>ROUND(E70,0)</f>
        <v>0</v>
      </c>
      <c r="M735" s="281">
        <f>ROUND(E71,0)</f>
        <v>2368942</v>
      </c>
      <c r="N735" s="281">
        <f>ROUND(E76,0)</f>
        <v>12525</v>
      </c>
      <c r="O735" s="281">
        <f>ROUND(E74,0)</f>
        <v>2323173</v>
      </c>
      <c r="P735" s="281">
        <f>IF(E77&gt;0,ROUND(E77,0),0)</f>
        <v>8691</v>
      </c>
      <c r="Q735" s="281">
        <f>IF(E78&gt;0,ROUND(E78,0),0)</f>
        <v>5017</v>
      </c>
      <c r="R735" s="281">
        <f>IF(E79&gt;0,ROUND(E79,0),0)</f>
        <v>71861</v>
      </c>
      <c r="S735" s="281">
        <f>IF(E80&gt;0,ROUND(E80,0),0)</f>
        <v>25</v>
      </c>
      <c r="T735" s="284">
        <f>IF(E81&gt;0,ROUND(E81,2),0)</f>
        <v>0</v>
      </c>
      <c r="U735" s="281"/>
      <c r="X735" s="281"/>
      <c r="Y735" s="281"/>
      <c r="Z735" s="281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are*140*6100*A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>
        <f>ROUND(F62,0)</f>
        <v>0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>
        <f>ROUND(F67,0)</f>
        <v>0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>
        <f t="shared" si="21"/>
        <v>2847229</v>
      </c>
    </row>
    <row r="737" spans="1:26" ht="12.65" customHeight="1" x14ac:dyDescent="0.3">
      <c r="A737" s="209" t="str">
        <f>RIGHT($C$84,3)&amp;"*"&amp;RIGHT($C$83,4)&amp;"*"&amp;G$55&amp;"*"&amp;"A"</f>
        <v>are*140*6120*A</v>
      </c>
      <c r="B737" s="281">
        <f>ROUND(G59,0)</f>
        <v>0</v>
      </c>
      <c r="C737" s="284">
        <f>ROUND(G60,2)</f>
        <v>0</v>
      </c>
      <c r="D737" s="281">
        <f>ROUND(G61,0)</f>
        <v>0</v>
      </c>
      <c r="E737" s="281">
        <f>ROUND(G62,0)</f>
        <v>0</v>
      </c>
      <c r="F737" s="281">
        <f>ROUND(G63,0)</f>
        <v>0</v>
      </c>
      <c r="G737" s="281">
        <f>ROUND(G64,0)</f>
        <v>0</v>
      </c>
      <c r="H737" s="281">
        <f>ROUND(G65,0)</f>
        <v>0</v>
      </c>
      <c r="I737" s="281">
        <f>ROUND(G66,0)</f>
        <v>0</v>
      </c>
      <c r="J737" s="281">
        <f>ROUND(G67,0)</f>
        <v>0</v>
      </c>
      <c r="K737" s="281">
        <f>ROUND(G68,0)</f>
        <v>0</v>
      </c>
      <c r="L737" s="281">
        <f>ROUND(G70,0)</f>
        <v>0</v>
      </c>
      <c r="M737" s="281">
        <f>ROUND(G71,0)</f>
        <v>0</v>
      </c>
      <c r="N737" s="281">
        <f>ROUND(G76,0)</f>
        <v>0</v>
      </c>
      <c r="O737" s="281">
        <f>ROUND(G74,0)</f>
        <v>0</v>
      </c>
      <c r="P737" s="281">
        <f>IF(G77&gt;0,ROUND(G77,0),0)</f>
        <v>0</v>
      </c>
      <c r="Q737" s="281">
        <f>IF(G78&gt;0,ROUND(G78,0),0)</f>
        <v>0</v>
      </c>
      <c r="R737" s="281">
        <f>IF(G79&gt;0,ROUND(G79,0),0)</f>
        <v>0</v>
      </c>
      <c r="S737" s="281">
        <f>IF(G80&gt;0,ROUND(G80,0),0)</f>
        <v>0</v>
      </c>
      <c r="T737" s="284">
        <f>IF(G81&gt;0,ROUND(G81,2),0)</f>
        <v>0</v>
      </c>
      <c r="U737" s="281"/>
      <c r="X737" s="281"/>
      <c r="Y737" s="281"/>
      <c r="Z737" s="281">
        <f t="shared" si="21"/>
        <v>0</v>
      </c>
    </row>
    <row r="738" spans="1:26" ht="12.65" customHeight="1" x14ac:dyDescent="0.3">
      <c r="A738" s="209" t="str">
        <f>RIGHT($C$84,3)&amp;"*"&amp;RIGHT($C$83,4)&amp;"*"&amp;H$55&amp;"*"&amp;"A"</f>
        <v>are*140*6140*A</v>
      </c>
      <c r="B738" s="281">
        <f>ROUND(H59,0)</f>
        <v>0</v>
      </c>
      <c r="C738" s="284">
        <f>ROUND(H60,2)</f>
        <v>0</v>
      </c>
      <c r="D738" s="281">
        <f>ROUND(H61,0)</f>
        <v>0</v>
      </c>
      <c r="E738" s="281">
        <f>ROUND(H62,0)</f>
        <v>0</v>
      </c>
      <c r="F738" s="281">
        <f>ROUND(H63,0)</f>
        <v>0</v>
      </c>
      <c r="G738" s="281">
        <f>ROUND(H64,0)</f>
        <v>0</v>
      </c>
      <c r="H738" s="281">
        <f>ROUND(H65,0)</f>
        <v>0</v>
      </c>
      <c r="I738" s="281">
        <f>ROUND(H66,0)</f>
        <v>0</v>
      </c>
      <c r="J738" s="281">
        <f>ROUND(H67,0)</f>
        <v>0</v>
      </c>
      <c r="K738" s="281">
        <f>ROUND(H68,0)</f>
        <v>0</v>
      </c>
      <c r="L738" s="281">
        <f>ROUND(H70,0)</f>
        <v>0</v>
      </c>
      <c r="M738" s="281">
        <f>ROUND(H71,0)</f>
        <v>0</v>
      </c>
      <c r="N738" s="281">
        <f>ROUND(H76,0)</f>
        <v>0</v>
      </c>
      <c r="O738" s="281">
        <f>ROUND(H74,0)</f>
        <v>0</v>
      </c>
      <c r="P738" s="281">
        <f>IF(H77&gt;0,ROUND(H77,0),0)</f>
        <v>0</v>
      </c>
      <c r="Q738" s="281">
        <f>IF(H78&gt;0,ROUND(H78,0),0)</f>
        <v>0</v>
      </c>
      <c r="R738" s="281">
        <f>IF(H79&gt;0,ROUND(H79,0),0)</f>
        <v>0</v>
      </c>
      <c r="S738" s="281">
        <f>IF(H80&gt;0,ROUND(H80,0),0)</f>
        <v>0</v>
      </c>
      <c r="T738" s="284">
        <f>IF(H81&gt;0,ROUND(H81,2),0)</f>
        <v>0</v>
      </c>
      <c r="U738" s="281"/>
      <c r="X738" s="281"/>
      <c r="Y738" s="281"/>
      <c r="Z738" s="281">
        <f t="shared" si="21"/>
        <v>0</v>
      </c>
    </row>
    <row r="739" spans="1:26" ht="12.65" customHeight="1" x14ac:dyDescent="0.3">
      <c r="A739" s="209" t="str">
        <f>RIGHT($C$84,3)&amp;"*"&amp;RIGHT($C$83,4)&amp;"*"&amp;I$55&amp;"*"&amp;"A"</f>
        <v>are*140*6150*A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>
        <f>ROUND(I62,0)</f>
        <v>0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>
        <f>ROUND(I67,0)</f>
        <v>0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are*140*6170*A</v>
      </c>
      <c r="B740" s="281">
        <f>ROUND(J59,0)</f>
        <v>469</v>
      </c>
      <c r="C740" s="284">
        <f>ROUND(J60,2)</f>
        <v>2</v>
      </c>
      <c r="D740" s="281">
        <f>ROUND(J61,0)</f>
        <v>118746</v>
      </c>
      <c r="E740" s="281">
        <f>ROUND(J62,0)</f>
        <v>27386</v>
      </c>
      <c r="F740" s="281">
        <f>ROUND(J63,0)</f>
        <v>0</v>
      </c>
      <c r="G740" s="281">
        <f>ROUND(J64,0)</f>
        <v>26224</v>
      </c>
      <c r="H740" s="281">
        <f>ROUND(J65,0)</f>
        <v>0</v>
      </c>
      <c r="I740" s="281">
        <f>ROUND(J66,0)</f>
        <v>0</v>
      </c>
      <c r="J740" s="281">
        <f>ROUND(J67,0)</f>
        <v>4150</v>
      </c>
      <c r="K740" s="281">
        <f>ROUND(J68,0)</f>
        <v>0</v>
      </c>
      <c r="L740" s="281">
        <f>ROUND(J70,0)</f>
        <v>0</v>
      </c>
      <c r="M740" s="281">
        <f>ROUND(J71,0)</f>
        <v>176506</v>
      </c>
      <c r="N740" s="281">
        <f>ROUND(J76,0)</f>
        <v>252</v>
      </c>
      <c r="O740" s="281">
        <f>ROUND(J74,0)</f>
        <v>0</v>
      </c>
      <c r="P740" s="281">
        <f>IF(J77&gt;0,ROUND(J77,0),0)</f>
        <v>0</v>
      </c>
      <c r="Q740" s="281">
        <f>IF(J78&gt;0,ROUND(J78,0),0)</f>
        <v>101</v>
      </c>
      <c r="R740" s="281">
        <f>IF(J79&gt;0,ROUND(J79,0),0)</f>
        <v>4758</v>
      </c>
      <c r="S740" s="281">
        <f>IF(J80&gt;0,ROUND(J80,0),0)</f>
        <v>1</v>
      </c>
      <c r="T740" s="284">
        <f>IF(J81&gt;0,ROUND(J81,2),0)</f>
        <v>0</v>
      </c>
      <c r="U740" s="281"/>
      <c r="X740" s="281"/>
      <c r="Y740" s="281"/>
      <c r="Z740" s="281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are*140*6200*A</v>
      </c>
      <c r="B741" s="281">
        <f>ROUND(K59,0)</f>
        <v>0</v>
      </c>
      <c r="C741" s="284">
        <f>ROUND(K60,2)</f>
        <v>0</v>
      </c>
      <c r="D741" s="281">
        <f>ROUND(K61,0)</f>
        <v>0</v>
      </c>
      <c r="E741" s="281">
        <f>ROUND(K62,0)</f>
        <v>0</v>
      </c>
      <c r="F741" s="281">
        <f>ROUND(K63,0)</f>
        <v>0</v>
      </c>
      <c r="G741" s="281">
        <f>ROUND(K64,0)</f>
        <v>0</v>
      </c>
      <c r="H741" s="281">
        <f>ROUND(K65,0)</f>
        <v>0</v>
      </c>
      <c r="I741" s="281">
        <f>ROUND(K66,0)</f>
        <v>0</v>
      </c>
      <c r="J741" s="281">
        <f>ROUND(K67,0)</f>
        <v>0</v>
      </c>
      <c r="K741" s="281">
        <f>ROUND(K68,0)</f>
        <v>0</v>
      </c>
      <c r="L741" s="281">
        <f>ROUND(K70,0)</f>
        <v>0</v>
      </c>
      <c r="M741" s="281">
        <f>ROUND(K71,0)</f>
        <v>0</v>
      </c>
      <c r="N741" s="281">
        <f>ROUND(K76,0)</f>
        <v>0</v>
      </c>
      <c r="O741" s="281">
        <f>ROUND(K74,0)</f>
        <v>0</v>
      </c>
      <c r="P741" s="281">
        <f>IF(K77&gt;0,ROUND(K77,0),0)</f>
        <v>0</v>
      </c>
      <c r="Q741" s="281">
        <f>IF(K78&gt;0,ROUND(K78,0),0)</f>
        <v>0</v>
      </c>
      <c r="R741" s="281">
        <f>IF(K79&gt;0,ROUND(K79,0),0)</f>
        <v>0</v>
      </c>
      <c r="S741" s="281">
        <f>IF(K80&gt;0,ROUND(K80,0),0)</f>
        <v>0</v>
      </c>
      <c r="T741" s="284">
        <f>IF(K81&gt;0,ROUND(K81,2),0)</f>
        <v>0</v>
      </c>
      <c r="U741" s="281"/>
      <c r="X741" s="281"/>
      <c r="Y741" s="281"/>
      <c r="Z741" s="281">
        <f t="shared" si="21"/>
        <v>100893</v>
      </c>
    </row>
    <row r="742" spans="1:26" ht="12.65" customHeight="1" x14ac:dyDescent="0.3">
      <c r="A742" s="209" t="str">
        <f>RIGHT($C$84,3)&amp;"*"&amp;RIGHT($C$83,4)&amp;"*"&amp;L$55&amp;"*"&amp;"A"</f>
        <v>are*140*6210*A</v>
      </c>
      <c r="B742" s="281">
        <f>ROUND(L59,0)</f>
        <v>123</v>
      </c>
      <c r="C742" s="284">
        <f>ROUND(L60,2)</f>
        <v>0</v>
      </c>
      <c r="D742" s="281">
        <f>ROUND(L61,0)</f>
        <v>0</v>
      </c>
      <c r="E742" s="281">
        <f>ROUND(L62,0)</f>
        <v>0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>
        <f>ROUND(L67,0)</f>
        <v>0</v>
      </c>
      <c r="K742" s="281">
        <f>ROUND(L68,0)</f>
        <v>0</v>
      </c>
      <c r="L742" s="281">
        <f>ROUND(L70,0)</f>
        <v>0</v>
      </c>
      <c r="M742" s="281">
        <f>ROUND(L71,0)</f>
        <v>0</v>
      </c>
      <c r="N742" s="281">
        <f>ROUND(L76,0)</f>
        <v>0</v>
      </c>
      <c r="O742" s="281">
        <f>ROUND(L74,0)</f>
        <v>0</v>
      </c>
      <c r="P742" s="281">
        <f>IF(L77&gt;0,ROUND(L77,0),0)</f>
        <v>0</v>
      </c>
      <c r="Q742" s="281">
        <f>IF(L78&gt;0,ROUND(L78,0),0)</f>
        <v>0</v>
      </c>
      <c r="R742" s="281">
        <f>IF(L79&gt;0,ROUND(L79,0),0)</f>
        <v>0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are*140*6330*A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>
        <f>ROUND(M62,0)</f>
        <v>0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>
        <f>ROUND(M67,0)</f>
        <v>0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are*140*6400*A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>
        <f>ROUND(N62,0)</f>
        <v>0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>
        <f>ROUND(N67,0)</f>
        <v>0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are*140*7010*A</v>
      </c>
      <c r="B745" s="281">
        <f>ROUND(O59,0)</f>
        <v>284</v>
      </c>
      <c r="C745" s="284">
        <f>ROUND(O60,2)</f>
        <v>13.05</v>
      </c>
      <c r="D745" s="281">
        <f>ROUND(O61,0)</f>
        <v>1382240</v>
      </c>
      <c r="E745" s="281">
        <f>ROUND(O62,0)</f>
        <v>318778</v>
      </c>
      <c r="F745" s="281">
        <f>ROUND(O63,0)</f>
        <v>0</v>
      </c>
      <c r="G745" s="281">
        <f>ROUND(O64,0)</f>
        <v>119464</v>
      </c>
      <c r="H745" s="281">
        <f>ROUND(O65,0)</f>
        <v>0</v>
      </c>
      <c r="I745" s="281">
        <f>ROUND(O66,0)</f>
        <v>15669</v>
      </c>
      <c r="J745" s="281">
        <f>ROUND(O67,0)</f>
        <v>85372</v>
      </c>
      <c r="K745" s="281">
        <f>ROUND(O68,0)</f>
        <v>0</v>
      </c>
      <c r="L745" s="281">
        <f>ROUND(O70,0)</f>
        <v>0</v>
      </c>
      <c r="M745" s="281">
        <f>ROUND(O71,0)</f>
        <v>1925174</v>
      </c>
      <c r="N745" s="281">
        <f>ROUND(O76,0)</f>
        <v>1972</v>
      </c>
      <c r="O745" s="281">
        <f>ROUND(O74,0)</f>
        <v>565684</v>
      </c>
      <c r="P745" s="281">
        <f>IF(O77&gt;0,ROUND(O77,0),0)</f>
        <v>0</v>
      </c>
      <c r="Q745" s="281">
        <f>IF(O78&gt;0,ROUND(O78,0),0)</f>
        <v>790</v>
      </c>
      <c r="R745" s="281">
        <f>IF(O79&gt;0,ROUND(O79,0),0)</f>
        <v>25002</v>
      </c>
      <c r="S745" s="281">
        <f>IF(O80&gt;0,ROUND(O80,0),0)</f>
        <v>5</v>
      </c>
      <c r="T745" s="284">
        <f>IF(O81&gt;0,ROUND(O81,2),0)</f>
        <v>0</v>
      </c>
      <c r="U745" s="281"/>
      <c r="X745" s="281"/>
      <c r="Y745" s="281"/>
      <c r="Z745" s="281">
        <f t="shared" si="21"/>
        <v>0</v>
      </c>
    </row>
    <row r="746" spans="1:26" ht="12.65" customHeight="1" x14ac:dyDescent="0.3">
      <c r="A746" s="209" t="str">
        <f>RIGHT($C$84,3)&amp;"*"&amp;RIGHT($C$83,4)&amp;"*"&amp;P$55&amp;"*"&amp;"A"</f>
        <v>are*140*7020*A</v>
      </c>
      <c r="B746" s="281">
        <f>ROUND(P59,0)</f>
        <v>101813</v>
      </c>
      <c r="C746" s="284">
        <f>ROUND(P60,2)</f>
        <v>26.01</v>
      </c>
      <c r="D746" s="281">
        <f>ROUND(P61,0)</f>
        <v>2357185</v>
      </c>
      <c r="E746" s="281">
        <f>ROUND(P62,0)</f>
        <v>543624</v>
      </c>
      <c r="F746" s="281">
        <f>ROUND(P63,0)</f>
        <v>3927</v>
      </c>
      <c r="G746" s="281">
        <f>ROUND(P64,0)</f>
        <v>2532309</v>
      </c>
      <c r="H746" s="281">
        <f>ROUND(P65,0)</f>
        <v>435</v>
      </c>
      <c r="I746" s="281">
        <f>ROUND(P66,0)</f>
        <v>127431</v>
      </c>
      <c r="J746" s="281">
        <f>ROUND(P67,0)</f>
        <v>424232</v>
      </c>
      <c r="K746" s="281">
        <f>ROUND(P68,0)</f>
        <v>66256</v>
      </c>
      <c r="L746" s="281">
        <f>ROUND(P70,0)</f>
        <v>0</v>
      </c>
      <c r="M746" s="281">
        <f>ROUND(P71,0)</f>
        <v>6057266</v>
      </c>
      <c r="N746" s="281">
        <f>ROUND(P76,0)</f>
        <v>12295</v>
      </c>
      <c r="O746" s="281">
        <f>ROUND(P74,0)</f>
        <v>19449743</v>
      </c>
      <c r="P746" s="281">
        <f>IF(P77&gt;0,ROUND(P77,0),0)</f>
        <v>59</v>
      </c>
      <c r="Q746" s="281">
        <f>IF(P78&gt;0,ROUND(P78,0),0)</f>
        <v>4925</v>
      </c>
      <c r="R746" s="281">
        <f>IF(P79&gt;0,ROUND(P79,0),0)</f>
        <v>65373</v>
      </c>
      <c r="S746" s="281">
        <f>IF(P80&gt;0,ROUND(P80,0),0)</f>
        <v>13</v>
      </c>
      <c r="T746" s="284">
        <f>IF(P81&gt;0,ROUND(P81,2),0)</f>
        <v>0</v>
      </c>
      <c r="U746" s="281"/>
      <c r="X746" s="281"/>
      <c r="Y746" s="281"/>
      <c r="Z746" s="281">
        <f t="shared" si="21"/>
        <v>485463</v>
      </c>
    </row>
    <row r="747" spans="1:26" ht="12.65" customHeight="1" x14ac:dyDescent="0.3">
      <c r="A747" s="209" t="str">
        <f>RIGHT($C$84,3)&amp;"*"&amp;RIGHT($C$83,4)&amp;"*"&amp;Q$55&amp;"*"&amp;"A"</f>
        <v>are*140*7030*A</v>
      </c>
      <c r="B747" s="281">
        <f>ROUND(Q59,0)</f>
        <v>0</v>
      </c>
      <c r="C747" s="284">
        <f>ROUND(Q60,2)</f>
        <v>0.55000000000000004</v>
      </c>
      <c r="D747" s="281">
        <f>ROUND(Q61,0)</f>
        <v>131021</v>
      </c>
      <c r="E747" s="281">
        <f>ROUND(Q62,0)</f>
        <v>30217</v>
      </c>
      <c r="F747" s="281">
        <f>ROUND(Q63,0)</f>
        <v>0</v>
      </c>
      <c r="G747" s="281">
        <f>ROUND(Q64,0)</f>
        <v>23602</v>
      </c>
      <c r="H747" s="281">
        <f>ROUND(Q65,0)</f>
        <v>0</v>
      </c>
      <c r="I747" s="281">
        <f>ROUND(Q66,0)</f>
        <v>0</v>
      </c>
      <c r="J747" s="281">
        <f>ROUND(Q67,0)</f>
        <v>25485</v>
      </c>
      <c r="K747" s="281">
        <f>ROUND(Q68,0)</f>
        <v>0</v>
      </c>
      <c r="L747" s="281">
        <f>ROUND(Q70,0)</f>
        <v>0</v>
      </c>
      <c r="M747" s="281">
        <f>ROUND(Q71,0)</f>
        <v>210325</v>
      </c>
      <c r="N747" s="281">
        <f>ROUND(Q76,0)</f>
        <v>1012</v>
      </c>
      <c r="O747" s="281">
        <f>ROUND(Q74,0)</f>
        <v>746381</v>
      </c>
      <c r="P747" s="281">
        <f>IF(Q77&gt;0,ROUND(Q77,0),0)</f>
        <v>0</v>
      </c>
      <c r="Q747" s="281">
        <f>IF(Q78&gt;0,ROUND(Q78,0),0)</f>
        <v>405</v>
      </c>
      <c r="R747" s="281">
        <f>IF(Q79&gt;0,ROUND(Q79,0),0)</f>
        <v>0</v>
      </c>
      <c r="S747" s="281">
        <f>IF(Q80&gt;0,ROUND(Q80,0),0)</f>
        <v>1</v>
      </c>
      <c r="T747" s="284">
        <f>IF(Q81&gt;0,ROUND(Q81,2),0)</f>
        <v>0</v>
      </c>
      <c r="U747" s="281"/>
      <c r="X747" s="281"/>
      <c r="Y747" s="281"/>
      <c r="Z747" s="281">
        <f t="shared" si="21"/>
        <v>3368087</v>
      </c>
    </row>
    <row r="748" spans="1:26" ht="12.65" customHeight="1" x14ac:dyDescent="0.3">
      <c r="A748" s="209" t="str">
        <f>RIGHT($C$84,3)&amp;"*"&amp;RIGHT($C$83,4)&amp;"*"&amp;R$55&amp;"*"&amp;"A"</f>
        <v>are*140*7040*A</v>
      </c>
      <c r="B748" s="281">
        <f>ROUND(R59,0)</f>
        <v>0</v>
      </c>
      <c r="C748" s="284">
        <f>ROUND(R60,2)</f>
        <v>0</v>
      </c>
      <c r="D748" s="281">
        <f>ROUND(R61,0)</f>
        <v>0</v>
      </c>
      <c r="E748" s="281">
        <f>ROUND(R62,0)</f>
        <v>0</v>
      </c>
      <c r="F748" s="281">
        <f>ROUND(R63,0)</f>
        <v>0</v>
      </c>
      <c r="G748" s="281">
        <f>ROUND(R64,0)</f>
        <v>34496</v>
      </c>
      <c r="H748" s="281">
        <f>ROUND(R65,0)</f>
        <v>0</v>
      </c>
      <c r="I748" s="281">
        <f>ROUND(R66,0)</f>
        <v>68433</v>
      </c>
      <c r="J748" s="281">
        <f>ROUND(R67,0)</f>
        <v>16031</v>
      </c>
      <c r="K748" s="281">
        <f>ROUND(R68,0)</f>
        <v>0</v>
      </c>
      <c r="L748" s="281">
        <f>ROUND(R70,0)</f>
        <v>0</v>
      </c>
      <c r="M748" s="281">
        <f>ROUND(R71,0)</f>
        <v>118960</v>
      </c>
      <c r="N748" s="281">
        <f>ROUND(R76,0)</f>
        <v>0</v>
      </c>
      <c r="O748" s="281">
        <f>ROUND(R74,0)</f>
        <v>0</v>
      </c>
      <c r="P748" s="281">
        <f>IF(R77&gt;0,ROUND(R77,0),0)</f>
        <v>0</v>
      </c>
      <c r="Q748" s="281">
        <f>IF(R78&gt;0,ROUND(R78,0),0)</f>
        <v>0</v>
      </c>
      <c r="R748" s="281">
        <f>IF(R79&gt;0,ROUND(R79,0),0)</f>
        <v>0</v>
      </c>
      <c r="S748" s="281">
        <f>IF(R80&gt;0,ROUND(R80,0),0)</f>
        <v>0</v>
      </c>
      <c r="T748" s="284">
        <f>IF(R81&gt;0,ROUND(R81,2),0)</f>
        <v>0</v>
      </c>
      <c r="U748" s="281"/>
      <c r="X748" s="281"/>
      <c r="Y748" s="281"/>
      <c r="Z748" s="281">
        <f t="shared" si="21"/>
        <v>149353</v>
      </c>
    </row>
    <row r="749" spans="1:26" ht="12.65" customHeight="1" x14ac:dyDescent="0.3">
      <c r="A749" s="209" t="str">
        <f>RIGHT($C$84,3)&amp;"*"&amp;RIGHT($C$83,4)&amp;"*"&amp;S$55&amp;"*"&amp;"A"</f>
        <v>are*140*7050*A</v>
      </c>
      <c r="B749" s="281"/>
      <c r="C749" s="284">
        <f>ROUND(S60,2)</f>
        <v>3.66</v>
      </c>
      <c r="D749" s="281">
        <f>ROUND(S61,0)</f>
        <v>182076</v>
      </c>
      <c r="E749" s="281">
        <f>ROUND(S62,0)</f>
        <v>41991</v>
      </c>
      <c r="F749" s="281">
        <f>ROUND(S63,0)</f>
        <v>0</v>
      </c>
      <c r="G749" s="281">
        <f>ROUND(S64,0)</f>
        <v>117773</v>
      </c>
      <c r="H749" s="281">
        <f>ROUND(S65,0)</f>
        <v>0</v>
      </c>
      <c r="I749" s="281">
        <f>ROUND(S66,0)</f>
        <v>46576</v>
      </c>
      <c r="J749" s="281">
        <f>ROUND(S67,0)</f>
        <v>75493</v>
      </c>
      <c r="K749" s="281">
        <f>ROUND(S68,0)</f>
        <v>0</v>
      </c>
      <c r="L749" s="281">
        <f>ROUND(S70,0)</f>
        <v>0</v>
      </c>
      <c r="M749" s="281">
        <f>ROUND(S71,0)</f>
        <v>466362</v>
      </c>
      <c r="N749" s="281">
        <f>ROUND(S76,0)</f>
        <v>1529</v>
      </c>
      <c r="O749" s="281">
        <f>ROUND(S74,0)</f>
        <v>0</v>
      </c>
      <c r="P749" s="281">
        <f>IF(S77&gt;0,ROUND(S77,0),0)</f>
        <v>0</v>
      </c>
      <c r="Q749" s="281">
        <f>IF(S78&gt;0,ROUND(S78,0),0)</f>
        <v>612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>
        <f t="shared" si="21"/>
        <v>10352</v>
      </c>
    </row>
    <row r="750" spans="1:26" ht="12.65" customHeight="1" x14ac:dyDescent="0.3">
      <c r="A750" s="209" t="str">
        <f>RIGHT($C$84,3)&amp;"*"&amp;RIGHT($C$83,4)&amp;"*"&amp;T$55&amp;"*"&amp;"A"</f>
        <v>are*140*7060*A</v>
      </c>
      <c r="B750" s="281"/>
      <c r="C750" s="284">
        <f>ROUND(T60,2)</f>
        <v>0</v>
      </c>
      <c r="D750" s="281">
        <f>ROUND(T61,0)</f>
        <v>0</v>
      </c>
      <c r="E750" s="281">
        <f>ROUND(T62,0)</f>
        <v>0</v>
      </c>
      <c r="F750" s="281">
        <f>ROUND(T63,0)</f>
        <v>0</v>
      </c>
      <c r="G750" s="281">
        <f>ROUND(T64,0)</f>
        <v>0</v>
      </c>
      <c r="H750" s="281">
        <f>ROUND(T65,0)</f>
        <v>0</v>
      </c>
      <c r="I750" s="281">
        <f>ROUND(T66,0)</f>
        <v>0</v>
      </c>
      <c r="J750" s="281">
        <f>ROUND(T67,0)</f>
        <v>0</v>
      </c>
      <c r="K750" s="281">
        <f>ROUND(T68,0)</f>
        <v>0</v>
      </c>
      <c r="L750" s="281">
        <f>ROUND(T70,0)</f>
        <v>0</v>
      </c>
      <c r="M750" s="281">
        <f>ROUND(T71,0)</f>
        <v>0</v>
      </c>
      <c r="N750" s="281">
        <f>ROUND(T76,0)</f>
        <v>0</v>
      </c>
      <c r="O750" s="281">
        <f>ROUND(T74,0)</f>
        <v>0</v>
      </c>
      <c r="P750" s="281">
        <f>IF(T77&gt;0,ROUND(T77,0),0)</f>
        <v>0</v>
      </c>
      <c r="Q750" s="281">
        <f>IF(T78&gt;0,ROUND(T78,0),0)</f>
        <v>0</v>
      </c>
      <c r="R750" s="281">
        <f>IF(T79&gt;0,ROUND(T79,0),0)</f>
        <v>0</v>
      </c>
      <c r="S750" s="281">
        <f>IF(T80&gt;0,ROUND(T80,0),0)</f>
        <v>0</v>
      </c>
      <c r="T750" s="284">
        <f>IF(T81&gt;0,ROUND(T81,2),0)</f>
        <v>0</v>
      </c>
      <c r="U750" s="281"/>
      <c r="X750" s="281"/>
      <c r="Y750" s="281"/>
      <c r="Z750" s="281">
        <f t="shared" si="21"/>
        <v>106658</v>
      </c>
    </row>
    <row r="751" spans="1:26" ht="12.65" customHeight="1" x14ac:dyDescent="0.3">
      <c r="A751" s="209" t="str">
        <f>RIGHT($C$84,3)&amp;"*"&amp;RIGHT($C$83,4)&amp;"*"&amp;U$55&amp;"*"&amp;"A"</f>
        <v>are*140*7070*A</v>
      </c>
      <c r="B751" s="281">
        <f>ROUND(U59,0)</f>
        <v>237710</v>
      </c>
      <c r="C751" s="284">
        <f>ROUND(U60,2)</f>
        <v>30.1</v>
      </c>
      <c r="D751" s="281">
        <f>ROUND(U61,0)</f>
        <v>2114992</v>
      </c>
      <c r="E751" s="281">
        <f>ROUND(U62,0)</f>
        <v>487769</v>
      </c>
      <c r="F751" s="281">
        <f>ROUND(U63,0)</f>
        <v>16493</v>
      </c>
      <c r="G751" s="281">
        <f>ROUND(U64,0)</f>
        <v>1762788</v>
      </c>
      <c r="H751" s="281">
        <f>ROUND(U65,0)</f>
        <v>1537</v>
      </c>
      <c r="I751" s="281">
        <f>ROUND(U66,0)</f>
        <v>2437314</v>
      </c>
      <c r="J751" s="281">
        <f>ROUND(U67,0)</f>
        <v>174460</v>
      </c>
      <c r="K751" s="281">
        <f>ROUND(U68,0)</f>
        <v>130113</v>
      </c>
      <c r="L751" s="281">
        <f>ROUND(U70,0)</f>
        <v>0</v>
      </c>
      <c r="M751" s="281">
        <f>ROUND(U71,0)</f>
        <v>7150640</v>
      </c>
      <c r="N751" s="281">
        <f>ROUND(U76,0)</f>
        <v>2940</v>
      </c>
      <c r="O751" s="281">
        <f>ROUND(U74,0)</f>
        <v>20715524</v>
      </c>
      <c r="P751" s="281">
        <f>IF(U77&gt;0,ROUND(U77,0),0)</f>
        <v>0</v>
      </c>
      <c r="Q751" s="281">
        <f>IF(U78&gt;0,ROUND(U78,0),0)</f>
        <v>641</v>
      </c>
      <c r="R751" s="281">
        <f>IF(U79&gt;0,ROUND(U79,0),0)</f>
        <v>9516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>
        <f t="shared" si="21"/>
        <v>0</v>
      </c>
    </row>
    <row r="752" spans="1:26" ht="12.65" customHeight="1" x14ac:dyDescent="0.3">
      <c r="A752" s="209" t="str">
        <f>RIGHT($C$84,3)&amp;"*"&amp;RIGHT($C$83,4)&amp;"*"&amp;V$55&amp;"*"&amp;"A"</f>
        <v>are*140*7110*A</v>
      </c>
      <c r="B752" s="281">
        <f>ROUND(V59,0)</f>
        <v>0</v>
      </c>
      <c r="C752" s="284">
        <f>ROUND(V60,2)</f>
        <v>0</v>
      </c>
      <c r="D752" s="281">
        <f>ROUND(V61,0)</f>
        <v>0</v>
      </c>
      <c r="E752" s="281">
        <f>ROUND(V62,0)</f>
        <v>0</v>
      </c>
      <c r="F752" s="281">
        <f>ROUND(V63,0)</f>
        <v>0</v>
      </c>
      <c r="G752" s="281">
        <f>ROUND(V64,0)</f>
        <v>0</v>
      </c>
      <c r="H752" s="281">
        <f>ROUND(V65,0)</f>
        <v>0</v>
      </c>
      <c r="I752" s="281">
        <f>ROUND(V66,0)</f>
        <v>0</v>
      </c>
      <c r="J752" s="281">
        <f>ROUND(V67,0)</f>
        <v>17733</v>
      </c>
      <c r="K752" s="281">
        <f>ROUND(V68,0)</f>
        <v>0</v>
      </c>
      <c r="L752" s="281">
        <f>ROUND(V70,0)</f>
        <v>0</v>
      </c>
      <c r="M752" s="281">
        <f>ROUND(V71,0)</f>
        <v>17733</v>
      </c>
      <c r="N752" s="281">
        <f>ROUND(V76,0)</f>
        <v>240</v>
      </c>
      <c r="O752" s="281">
        <f>ROUND(V74,0)</f>
        <v>386974</v>
      </c>
      <c r="P752" s="281">
        <f>IF(V77&gt;0,ROUND(V77,0),0)</f>
        <v>0</v>
      </c>
      <c r="Q752" s="281">
        <f>IF(V78&gt;0,ROUND(V78,0),0)</f>
        <v>0</v>
      </c>
      <c r="R752" s="281">
        <f>IF(V79&gt;0,ROUND(V79,0),0)</f>
        <v>0</v>
      </c>
      <c r="S752" s="281">
        <f>IF(V80&gt;0,ROUND(V80,0),0)</f>
        <v>0</v>
      </c>
      <c r="T752" s="284">
        <f>IF(V81&gt;0,ROUND(V81,2),0)</f>
        <v>0</v>
      </c>
      <c r="U752" s="281"/>
      <c r="X752" s="281"/>
      <c r="Y752" s="281"/>
      <c r="Z752" s="281">
        <f t="shared" si="21"/>
        <v>2561364</v>
      </c>
    </row>
    <row r="753" spans="1:26" ht="12.65" customHeight="1" x14ac:dyDescent="0.3">
      <c r="A753" s="209" t="str">
        <f>RIGHT($C$84,3)&amp;"*"&amp;RIGHT($C$83,4)&amp;"*"&amp;W$55&amp;"*"&amp;"A"</f>
        <v>are*140*7120*A</v>
      </c>
      <c r="B753" s="281">
        <f>ROUND(W59,0)</f>
        <v>0</v>
      </c>
      <c r="C753" s="284">
        <f>ROUND(W60,2)</f>
        <v>0</v>
      </c>
      <c r="D753" s="281">
        <f>ROUND(W61,0)</f>
        <v>0</v>
      </c>
      <c r="E753" s="281">
        <f>ROUND(W62,0)</f>
        <v>0</v>
      </c>
      <c r="F753" s="281">
        <f>ROUND(W63,0)</f>
        <v>0</v>
      </c>
      <c r="G753" s="281">
        <f>ROUND(W64,0)</f>
        <v>353</v>
      </c>
      <c r="H753" s="281">
        <f>ROUND(W65,0)</f>
        <v>0</v>
      </c>
      <c r="I753" s="281">
        <f>ROUND(W66,0)</f>
        <v>616676</v>
      </c>
      <c r="J753" s="281">
        <f>ROUND(W67,0)</f>
        <v>2339</v>
      </c>
      <c r="K753" s="281">
        <f>ROUND(W68,0)</f>
        <v>0</v>
      </c>
      <c r="L753" s="281">
        <f>ROUND(W70,0)</f>
        <v>0</v>
      </c>
      <c r="M753" s="281">
        <f>ROUND(W71,0)</f>
        <v>619368</v>
      </c>
      <c r="N753" s="281">
        <f>ROUND(W76,0)</f>
        <v>142</v>
      </c>
      <c r="O753" s="281">
        <f>ROUND(W74,0)</f>
        <v>5949461</v>
      </c>
      <c r="P753" s="281">
        <f>IF(W77&gt;0,ROUND(W77,0),0)</f>
        <v>0</v>
      </c>
      <c r="Q753" s="281">
        <f>IF(W78&gt;0,ROUND(W78,0),0)</f>
        <v>356</v>
      </c>
      <c r="R753" s="281">
        <f>IF(W79&gt;0,ROUND(W79,0),0)</f>
        <v>9717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>
        <f t="shared" si="21"/>
        <v>40122</v>
      </c>
    </row>
    <row r="754" spans="1:26" ht="12.65" customHeight="1" x14ac:dyDescent="0.3">
      <c r="A754" s="209" t="str">
        <f>RIGHT($C$84,3)&amp;"*"&amp;RIGHT($C$83,4)&amp;"*"&amp;X$55&amp;"*"&amp;"A"</f>
        <v>are*140*7130*A</v>
      </c>
      <c r="B754" s="281">
        <f>ROUND(X59,0)</f>
        <v>5158</v>
      </c>
      <c r="C754" s="284">
        <f>ROUND(X60,2)</f>
        <v>7.5</v>
      </c>
      <c r="D754" s="281">
        <f>ROUND(X61,0)</f>
        <v>562974</v>
      </c>
      <c r="E754" s="281">
        <f>ROUND(X62,0)</f>
        <v>129836</v>
      </c>
      <c r="F754" s="281">
        <f>ROUND(X63,0)</f>
        <v>0</v>
      </c>
      <c r="G754" s="281">
        <f>ROUND(X64,0)</f>
        <v>122808</v>
      </c>
      <c r="H754" s="281">
        <f>ROUND(X65,0)</f>
        <v>0</v>
      </c>
      <c r="I754" s="281">
        <f>ROUND(X66,0)</f>
        <v>100022</v>
      </c>
      <c r="J754" s="281">
        <f>ROUND(X67,0)</f>
        <v>37420</v>
      </c>
      <c r="K754" s="281">
        <f>ROUND(X68,0)</f>
        <v>67922</v>
      </c>
      <c r="L754" s="281">
        <f>ROUND(X70,0)</f>
        <v>0</v>
      </c>
      <c r="M754" s="281">
        <f>ROUND(X71,0)</f>
        <v>1020982</v>
      </c>
      <c r="N754" s="281">
        <f>ROUND(X76,0)</f>
        <v>2272</v>
      </c>
      <c r="O754" s="281">
        <f>ROUND(X74,0)</f>
        <v>18987621</v>
      </c>
      <c r="P754" s="281">
        <f>IF(X77&gt;0,ROUND(X77,0),0)</f>
        <v>0</v>
      </c>
      <c r="Q754" s="281">
        <f>IF(X78&gt;0,ROUND(X78,0),0)</f>
        <v>974</v>
      </c>
      <c r="R754" s="281">
        <f>IF(X79&gt;0,ROUND(X79,0),0)</f>
        <v>30972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>
        <f t="shared" si="21"/>
        <v>555378</v>
      </c>
    </row>
    <row r="755" spans="1:26" ht="12.65" customHeight="1" x14ac:dyDescent="0.3">
      <c r="A755" s="209" t="str">
        <f>RIGHT($C$84,3)&amp;"*"&amp;RIGHT($C$83,4)&amp;"*"&amp;Y$55&amp;"*"&amp;"A"</f>
        <v>are*140*7140*A</v>
      </c>
      <c r="B755" s="281">
        <f>ROUND(Y59,0)</f>
        <v>22490</v>
      </c>
      <c r="C755" s="284">
        <f>ROUND(Y60,2)</f>
        <v>12.06</v>
      </c>
      <c r="D755" s="281">
        <f>ROUND(Y61,0)</f>
        <v>926993</v>
      </c>
      <c r="E755" s="281">
        <f>ROUND(Y62,0)</f>
        <v>213787</v>
      </c>
      <c r="F755" s="281">
        <f>ROUND(Y63,0)</f>
        <v>715037</v>
      </c>
      <c r="G755" s="281">
        <f>ROUND(Y64,0)</f>
        <v>76314</v>
      </c>
      <c r="H755" s="281">
        <f>ROUND(Y65,0)</f>
        <v>0</v>
      </c>
      <c r="I755" s="281">
        <f>ROUND(Y66,0)</f>
        <v>341276</v>
      </c>
      <c r="J755" s="281">
        <f>ROUND(Y67,0)</f>
        <v>188021</v>
      </c>
      <c r="K755" s="281">
        <f>ROUND(Y68,0)</f>
        <v>266386</v>
      </c>
      <c r="L755" s="281">
        <f>ROUND(Y70,0)</f>
        <v>0</v>
      </c>
      <c r="M755" s="281">
        <f>ROUND(Y71,0)</f>
        <v>2735301</v>
      </c>
      <c r="N755" s="281">
        <f>ROUND(Y76,0)</f>
        <v>2356</v>
      </c>
      <c r="O755" s="281">
        <f>ROUND(Y74,0)</f>
        <v>10683987</v>
      </c>
      <c r="P755" s="281">
        <f>IF(Y77&gt;0,ROUND(Y77,0),0)</f>
        <v>0</v>
      </c>
      <c r="Q755" s="281">
        <f>IF(Y78&gt;0,ROUND(Y78,0),0)</f>
        <v>580</v>
      </c>
      <c r="R755" s="281">
        <f>IF(Y79&gt;0,ROUND(Y79,0),0)</f>
        <v>20041</v>
      </c>
      <c r="S755" s="281">
        <f>IF(Y80&gt;0,ROUND(Y80,0),0)</f>
        <v>0</v>
      </c>
      <c r="T755" s="284">
        <f>IF(Y81&gt;0,ROUND(Y81,2),0)</f>
        <v>0</v>
      </c>
      <c r="U755" s="281"/>
      <c r="X755" s="281"/>
      <c r="Y755" s="281"/>
      <c r="Z755" s="281">
        <f t="shared" si="21"/>
        <v>1821091</v>
      </c>
    </row>
    <row r="756" spans="1:26" ht="12.65" customHeight="1" x14ac:dyDescent="0.3">
      <c r="A756" s="209" t="str">
        <f>RIGHT($C$84,3)&amp;"*"&amp;RIGHT($C$83,4)&amp;"*"&amp;Z$55&amp;"*"&amp;"A"</f>
        <v>are*140*7150*A</v>
      </c>
      <c r="B756" s="281">
        <f>ROUND(Z59,0)</f>
        <v>0</v>
      </c>
      <c r="C756" s="284">
        <f>ROUND(Z60,2)</f>
        <v>0</v>
      </c>
      <c r="D756" s="281">
        <f>ROUND(Z61,0)</f>
        <v>0</v>
      </c>
      <c r="E756" s="281">
        <f>ROUND(Z62,0)</f>
        <v>0</v>
      </c>
      <c r="F756" s="281">
        <f>ROUND(Z63,0)</f>
        <v>0</v>
      </c>
      <c r="G756" s="281">
        <f>ROUND(Z64,0)</f>
        <v>0</v>
      </c>
      <c r="H756" s="281">
        <f>ROUND(Z65,0)</f>
        <v>0</v>
      </c>
      <c r="I756" s="281">
        <f>ROUND(Z66,0)</f>
        <v>0</v>
      </c>
      <c r="J756" s="281">
        <f>ROUND(Z67,0)</f>
        <v>0</v>
      </c>
      <c r="K756" s="281">
        <f>ROUND(Z68,0)</f>
        <v>0</v>
      </c>
      <c r="L756" s="281">
        <f>ROUND(Z70,0)</f>
        <v>0</v>
      </c>
      <c r="M756" s="281">
        <f>ROUND(Z71,0)</f>
        <v>0</v>
      </c>
      <c r="N756" s="281">
        <f>ROUND(Z76,0)</f>
        <v>0</v>
      </c>
      <c r="O756" s="281">
        <f>ROUND(Z74,0)</f>
        <v>0</v>
      </c>
      <c r="P756" s="281">
        <f>IF(Z77&gt;0,ROUND(Z77,0),0)</f>
        <v>0</v>
      </c>
      <c r="Q756" s="281">
        <f>IF(Z78&gt;0,ROUND(Z78,0),0)</f>
        <v>0</v>
      </c>
      <c r="R756" s="281">
        <f>IF(Z79&gt;0,ROUND(Z79,0),0)</f>
        <v>0</v>
      </c>
      <c r="S756" s="281">
        <f>IF(Z80&gt;0,ROUND(Z80,0),0)</f>
        <v>0</v>
      </c>
      <c r="T756" s="284">
        <f>IF(Z81&gt;0,ROUND(Z81,2),0)</f>
        <v>0</v>
      </c>
      <c r="U756" s="281"/>
      <c r="X756" s="281"/>
      <c r="Y756" s="281"/>
      <c r="Z756" s="281">
        <f t="shared" si="21"/>
        <v>1205118</v>
      </c>
    </row>
    <row r="757" spans="1:26" ht="12.65" customHeight="1" x14ac:dyDescent="0.3">
      <c r="A757" s="209" t="str">
        <f>RIGHT($C$84,3)&amp;"*"&amp;RIGHT($C$83,4)&amp;"*"&amp;AA$55&amp;"*"&amp;"A"</f>
        <v>are*140*7160*A</v>
      </c>
      <c r="B757" s="281">
        <f>ROUND(AA59,0)</f>
        <v>0</v>
      </c>
      <c r="C757" s="284">
        <f>ROUND(AA60,2)</f>
        <v>0</v>
      </c>
      <c r="D757" s="281">
        <f>ROUND(AA61,0)</f>
        <v>0</v>
      </c>
      <c r="E757" s="281">
        <f>ROUND(AA62,0)</f>
        <v>0</v>
      </c>
      <c r="F757" s="281">
        <f>ROUND(AA63,0)</f>
        <v>0</v>
      </c>
      <c r="G757" s="281">
        <f>ROUND(AA64,0)</f>
        <v>0</v>
      </c>
      <c r="H757" s="281">
        <f>ROUND(AA65,0)</f>
        <v>0</v>
      </c>
      <c r="I757" s="281">
        <f>ROUND(AA66,0)</f>
        <v>0</v>
      </c>
      <c r="J757" s="281">
        <f>ROUND(AA67,0)</f>
        <v>0</v>
      </c>
      <c r="K757" s="281">
        <f>ROUND(AA68,0)</f>
        <v>0</v>
      </c>
      <c r="L757" s="281">
        <f>ROUND(AA70,0)</f>
        <v>0</v>
      </c>
      <c r="M757" s="281">
        <f>ROUND(AA71,0)</f>
        <v>0</v>
      </c>
      <c r="N757" s="281">
        <f>ROUND(AA76,0)</f>
        <v>0</v>
      </c>
      <c r="O757" s="281">
        <f>ROUND(AA74,0)</f>
        <v>0</v>
      </c>
      <c r="P757" s="281">
        <f>IF(AA77&gt;0,ROUND(AA77,0),0)</f>
        <v>0</v>
      </c>
      <c r="Q757" s="281">
        <f>IF(AA78&gt;0,ROUND(AA78,0),0)</f>
        <v>0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are*140*7170*A</v>
      </c>
      <c r="B758" s="281"/>
      <c r="C758" s="284">
        <f>ROUND(AB60,2)</f>
        <v>12.72</v>
      </c>
      <c r="D758" s="281">
        <f>ROUND(AB61,0)</f>
        <v>1268533</v>
      </c>
      <c r="E758" s="281">
        <f>ROUND(AB62,0)</f>
        <v>292555</v>
      </c>
      <c r="F758" s="281">
        <f>ROUND(AB63,0)</f>
        <v>0</v>
      </c>
      <c r="G758" s="281">
        <f>ROUND(AB64,0)</f>
        <v>2021428</v>
      </c>
      <c r="H758" s="281">
        <f>ROUND(AB65,0)</f>
        <v>0</v>
      </c>
      <c r="I758" s="281">
        <f>ROUND(AB66,0)</f>
        <v>440149</v>
      </c>
      <c r="J758" s="281">
        <f>ROUND(AB67,0)</f>
        <v>21523</v>
      </c>
      <c r="K758" s="281">
        <f>ROUND(AB68,0)</f>
        <v>204635</v>
      </c>
      <c r="L758" s="281">
        <f>ROUND(AB70,0)</f>
        <v>0</v>
      </c>
      <c r="M758" s="281">
        <f>ROUND(AB71,0)</f>
        <v>4255653</v>
      </c>
      <c r="N758" s="281">
        <f>ROUND(AB76,0)</f>
        <v>1163</v>
      </c>
      <c r="O758" s="281">
        <f>ROUND(AB74,0)</f>
        <v>9889086</v>
      </c>
      <c r="P758" s="281">
        <f>IF(AB77&gt;0,ROUND(AB77,0),0)</f>
        <v>0</v>
      </c>
      <c r="Q758" s="281">
        <f>IF(AB78&gt;0,ROUND(AB78,0),0)</f>
        <v>466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>
        <f t="shared" si="21"/>
        <v>0</v>
      </c>
    </row>
    <row r="759" spans="1:26" ht="12.65" customHeight="1" x14ac:dyDescent="0.3">
      <c r="A759" s="209" t="str">
        <f>RIGHT($C$84,3)&amp;"*"&amp;RIGHT($C$83,4)&amp;"*"&amp;AC$55&amp;"*"&amp;"A"</f>
        <v>are*140*7180*A</v>
      </c>
      <c r="B759" s="281">
        <f>ROUND(AC59,0)</f>
        <v>0</v>
      </c>
      <c r="C759" s="284">
        <f>ROUND(AC60,2)</f>
        <v>7.22</v>
      </c>
      <c r="D759" s="281">
        <f>ROUND(AC61,0)</f>
        <v>543700</v>
      </c>
      <c r="E759" s="281">
        <f>ROUND(AC62,0)</f>
        <v>125391</v>
      </c>
      <c r="F759" s="281">
        <f>ROUND(AC63,0)</f>
        <v>3275</v>
      </c>
      <c r="G759" s="281">
        <f>ROUND(AC64,0)</f>
        <v>80099</v>
      </c>
      <c r="H759" s="281">
        <f>ROUND(AC65,0)</f>
        <v>0</v>
      </c>
      <c r="I759" s="281">
        <f>ROUND(AC66,0)</f>
        <v>20643</v>
      </c>
      <c r="J759" s="281">
        <f>ROUND(AC67,0)</f>
        <v>36589</v>
      </c>
      <c r="K759" s="281">
        <f>ROUND(AC68,0)</f>
        <v>1849</v>
      </c>
      <c r="L759" s="281">
        <f>ROUND(AC70,0)</f>
        <v>0</v>
      </c>
      <c r="M759" s="281">
        <f>ROUND(AC71,0)</f>
        <v>811776</v>
      </c>
      <c r="N759" s="281">
        <f>ROUND(AC76,0)</f>
        <v>792</v>
      </c>
      <c r="O759" s="281">
        <f>ROUND(AC74,0)</f>
        <v>836605</v>
      </c>
      <c r="P759" s="281">
        <f>IF(AC77&gt;0,ROUND(AC77,0),0)</f>
        <v>0</v>
      </c>
      <c r="Q759" s="281">
        <f>IF(AC78&gt;0,ROUND(AC78,0),0)</f>
        <v>413</v>
      </c>
      <c r="R759" s="281">
        <f>IF(AC79&gt;0,ROUND(AC79,0),0)</f>
        <v>2019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>
        <f t="shared" si="21"/>
        <v>1546372</v>
      </c>
    </row>
    <row r="760" spans="1:26" ht="12.65" customHeight="1" x14ac:dyDescent="0.3">
      <c r="A760" s="209" t="str">
        <f>RIGHT($C$84,3)&amp;"*"&amp;RIGHT($C$83,4)&amp;"*"&amp;AD$55&amp;"*"&amp;"A"</f>
        <v>are*140*7190*A</v>
      </c>
      <c r="B760" s="281">
        <f>ROUND(AD59,0)</f>
        <v>0</v>
      </c>
      <c r="C760" s="284">
        <f>ROUND(AD60,2)</f>
        <v>0</v>
      </c>
      <c r="D760" s="281">
        <f>ROUND(AD61,0)</f>
        <v>0</v>
      </c>
      <c r="E760" s="281">
        <f>ROUND(AD62,0)</f>
        <v>0</v>
      </c>
      <c r="F760" s="281">
        <f>ROUND(AD63,0)</f>
        <v>0</v>
      </c>
      <c r="G760" s="281">
        <f>ROUND(AD64,0)</f>
        <v>0</v>
      </c>
      <c r="H760" s="281">
        <f>ROUND(AD65,0)</f>
        <v>0</v>
      </c>
      <c r="I760" s="281">
        <f>ROUND(AD66,0)</f>
        <v>0</v>
      </c>
      <c r="J760" s="281">
        <f>ROUND(AD67,0)</f>
        <v>0</v>
      </c>
      <c r="K760" s="281">
        <f>ROUND(AD68,0)</f>
        <v>0</v>
      </c>
      <c r="L760" s="281">
        <f>ROUND(AD70,0)</f>
        <v>0</v>
      </c>
      <c r="M760" s="281">
        <f>ROUND(AD71,0)</f>
        <v>0</v>
      </c>
      <c r="N760" s="281">
        <f>ROUND(AD76,0)</f>
        <v>0</v>
      </c>
      <c r="O760" s="281">
        <f>ROUND(AD74,0)</f>
        <v>0</v>
      </c>
      <c r="P760" s="281">
        <f>IF(AD77&gt;0,ROUND(AD77,0),0)</f>
        <v>0</v>
      </c>
      <c r="Q760" s="281">
        <f>IF(AD78&gt;0,ROUND(AD78,0),0)</f>
        <v>0</v>
      </c>
      <c r="R760" s="281">
        <f>IF(AD79&gt;0,ROUND(AD79,0),0)</f>
        <v>0</v>
      </c>
      <c r="S760" s="281">
        <f>IF(AD80&gt;0,ROUND(AD80,0),0)</f>
        <v>0</v>
      </c>
      <c r="T760" s="284">
        <f>IF(AD81&gt;0,ROUND(AD81,2),0)</f>
        <v>0</v>
      </c>
      <c r="U760" s="281"/>
      <c r="X760" s="281"/>
      <c r="Y760" s="281"/>
      <c r="Z760" s="281">
        <f t="shared" si="21"/>
        <v>198261</v>
      </c>
    </row>
    <row r="761" spans="1:26" ht="12.65" customHeight="1" x14ac:dyDescent="0.3">
      <c r="A761" s="209" t="str">
        <f>RIGHT($C$84,3)&amp;"*"&amp;RIGHT($C$83,4)&amp;"*"&amp;AE$55&amp;"*"&amp;"A"</f>
        <v>are*140*7200*A</v>
      </c>
      <c r="B761" s="281">
        <f>ROUND(AE59,0)</f>
        <v>11537</v>
      </c>
      <c r="C761" s="284">
        <f>ROUND(AE60,2)</f>
        <v>2.88</v>
      </c>
      <c r="D761" s="281">
        <f>ROUND(AE61,0)</f>
        <v>224755</v>
      </c>
      <c r="E761" s="281">
        <f>ROUND(AE62,0)</f>
        <v>51834</v>
      </c>
      <c r="F761" s="281">
        <f>ROUND(AE63,0)</f>
        <v>0</v>
      </c>
      <c r="G761" s="281">
        <f>ROUND(AE64,0)</f>
        <v>31121</v>
      </c>
      <c r="H761" s="281">
        <f>ROUND(AE65,0)</f>
        <v>1584</v>
      </c>
      <c r="I761" s="281">
        <f>ROUND(AE66,0)</f>
        <v>930959</v>
      </c>
      <c r="J761" s="281">
        <f>ROUND(AE67,0)</f>
        <v>13665</v>
      </c>
      <c r="K761" s="281">
        <f>ROUND(AE68,0)</f>
        <v>141604</v>
      </c>
      <c r="L761" s="281">
        <f>ROUND(AE70,0)</f>
        <v>0</v>
      </c>
      <c r="M761" s="281">
        <f>ROUND(AE71,0)</f>
        <v>1398473</v>
      </c>
      <c r="N761" s="281">
        <f>ROUND(AE76,0)</f>
        <v>565</v>
      </c>
      <c r="O761" s="281">
        <f>ROUND(AE74,0)</f>
        <v>2902495</v>
      </c>
      <c r="P761" s="281">
        <f>IF(AE77&gt;0,ROUND(AE77,0),0)</f>
        <v>0</v>
      </c>
      <c r="Q761" s="281">
        <f>IF(AE78&gt;0,ROUND(AE78,0),0)</f>
        <v>2995</v>
      </c>
      <c r="R761" s="281">
        <f>IF(AE79&gt;0,ROUND(AE79,0),0)</f>
        <v>8651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are*140*7220*A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>
        <f>ROUND(AF62,0)</f>
        <v>0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>
        <f>ROUND(AF67,0)</f>
        <v>0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>
        <f t="shared" si="21"/>
        <v>485407</v>
      </c>
    </row>
    <row r="763" spans="1:26" ht="12.65" customHeight="1" x14ac:dyDescent="0.3">
      <c r="A763" s="209" t="str">
        <f>RIGHT($C$84,3)&amp;"*"&amp;RIGHT($C$83,4)&amp;"*"&amp;AG$55&amp;"*"&amp;"A"</f>
        <v>are*140*7230*A</v>
      </c>
      <c r="B763" s="281">
        <f>ROUND(AG59,0)</f>
        <v>12207</v>
      </c>
      <c r="C763" s="284">
        <f>ROUND(AG60,2)</f>
        <v>31.77</v>
      </c>
      <c r="D763" s="281">
        <f>ROUND(AG61,0)</f>
        <v>4630889</v>
      </c>
      <c r="E763" s="281">
        <f>ROUND(AG62,0)</f>
        <v>1067996</v>
      </c>
      <c r="F763" s="281">
        <f>ROUND(AG63,0)</f>
        <v>0</v>
      </c>
      <c r="G763" s="281">
        <f>ROUND(AG64,0)</f>
        <v>474700</v>
      </c>
      <c r="H763" s="281">
        <f>ROUND(AG65,0)</f>
        <v>0</v>
      </c>
      <c r="I763" s="281">
        <f>ROUND(AG66,0)</f>
        <v>101138</v>
      </c>
      <c r="J763" s="281">
        <f>ROUND(AG67,0)</f>
        <v>120752</v>
      </c>
      <c r="K763" s="281">
        <f>ROUND(AG68,0)</f>
        <v>0</v>
      </c>
      <c r="L763" s="281">
        <f>ROUND(AG70,0)</f>
        <v>0</v>
      </c>
      <c r="M763" s="281">
        <f>ROUND(AG71,0)</f>
        <v>6464002</v>
      </c>
      <c r="N763" s="281">
        <f>ROUND(AG76,0)</f>
        <v>5160</v>
      </c>
      <c r="O763" s="281">
        <f>ROUND(AG74,0)</f>
        <v>17740398</v>
      </c>
      <c r="P763" s="281">
        <f>IF(AG77&gt;0,ROUND(AG77,0),0)</f>
        <v>380</v>
      </c>
      <c r="Q763" s="281">
        <f>IF(AG78&gt;0,ROUND(AG78,0),0)</f>
        <v>2067</v>
      </c>
      <c r="R763" s="281">
        <f>IF(AG79&gt;0,ROUND(AG79,0),0)</f>
        <v>62749</v>
      </c>
      <c r="S763" s="281">
        <f>IF(AG80&gt;0,ROUND(AG80,0),0)</f>
        <v>21</v>
      </c>
      <c r="T763" s="284">
        <f>IF(AG81&gt;0,ROUND(AG81,2),0)</f>
        <v>0</v>
      </c>
      <c r="U763" s="281"/>
      <c r="X763" s="281"/>
      <c r="Y763" s="281"/>
      <c r="Z763" s="281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are*140*7240*A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>
        <f>ROUND(AH62,0)</f>
        <v>0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>
        <f>ROUND(AH67,0)</f>
        <v>0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>
        <f t="shared" si="21"/>
        <v>2663347</v>
      </c>
    </row>
    <row r="765" spans="1:26" ht="12.65" customHeight="1" x14ac:dyDescent="0.3">
      <c r="A765" s="209" t="str">
        <f>RIGHT($C$84,3)&amp;"*"&amp;RIGHT($C$83,4)&amp;"*"&amp;AI$55&amp;"*"&amp;"A"</f>
        <v>are*140*7250*A</v>
      </c>
      <c r="B765" s="281">
        <f>ROUND(AI59,0)</f>
        <v>0</v>
      </c>
      <c r="C765" s="284">
        <f>ROUND(AI60,2)</f>
        <v>0</v>
      </c>
      <c r="D765" s="281">
        <f>ROUND(AI61,0)</f>
        <v>0</v>
      </c>
      <c r="E765" s="281">
        <f>ROUND(AI62,0)</f>
        <v>0</v>
      </c>
      <c r="F765" s="281">
        <f>ROUND(AI63,0)</f>
        <v>0</v>
      </c>
      <c r="G765" s="281">
        <f>ROUND(AI64,0)</f>
        <v>0</v>
      </c>
      <c r="H765" s="281">
        <f>ROUND(AI65,0)</f>
        <v>0</v>
      </c>
      <c r="I765" s="281">
        <f>ROUND(AI66,0)</f>
        <v>0</v>
      </c>
      <c r="J765" s="281">
        <f>ROUND(AI67,0)</f>
        <v>0</v>
      </c>
      <c r="K765" s="281">
        <f>ROUND(AI68,0)</f>
        <v>0</v>
      </c>
      <c r="L765" s="281">
        <f>ROUND(AI70,0)</f>
        <v>0</v>
      </c>
      <c r="M765" s="281">
        <f>ROUND(AI71,0)</f>
        <v>0</v>
      </c>
      <c r="N765" s="281">
        <f>ROUND(AI76,0)</f>
        <v>0</v>
      </c>
      <c r="O765" s="281">
        <f>ROUND(AI74,0)</f>
        <v>0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>
        <f t="shared" si="21"/>
        <v>0</v>
      </c>
    </row>
    <row r="766" spans="1:26" ht="12.65" customHeight="1" x14ac:dyDescent="0.3">
      <c r="A766" s="209" t="str">
        <f>RIGHT($C$84,3)&amp;"*"&amp;RIGHT($C$83,4)&amp;"*"&amp;AJ$55&amp;"*"&amp;"A"</f>
        <v>are*140*7260*A</v>
      </c>
      <c r="B766" s="281">
        <f>ROUND(AJ59,0)</f>
        <v>96196</v>
      </c>
      <c r="C766" s="284">
        <f>ROUND(AJ60,2)</f>
        <v>143.6</v>
      </c>
      <c r="D766" s="281">
        <f>ROUND(AJ61,0)</f>
        <v>15508869</v>
      </c>
      <c r="E766" s="281">
        <f>ROUND(AJ62,0)</f>
        <v>3576724</v>
      </c>
      <c r="F766" s="281">
        <f>ROUND(AJ63,0)</f>
        <v>169605</v>
      </c>
      <c r="G766" s="281">
        <f>ROUND(AJ64,0)</f>
        <v>2050619</v>
      </c>
      <c r="H766" s="281">
        <f>ROUND(AJ65,0)</f>
        <v>201076</v>
      </c>
      <c r="I766" s="281">
        <f>ROUND(AJ66,0)</f>
        <v>758614</v>
      </c>
      <c r="J766" s="281">
        <f>ROUND(AJ67,0)</f>
        <v>590006</v>
      </c>
      <c r="K766" s="281">
        <f>ROUND(AJ68,0)</f>
        <v>279244</v>
      </c>
      <c r="L766" s="281">
        <f>ROUND(AJ70,0)</f>
        <v>0</v>
      </c>
      <c r="M766" s="281">
        <f>ROUND(AJ71,0)</f>
        <v>23400618</v>
      </c>
      <c r="N766" s="281">
        <f>ROUND(AJ76,0)</f>
        <v>23626</v>
      </c>
      <c r="O766" s="281">
        <f>ROUND(AJ74,0)</f>
        <v>25328771</v>
      </c>
      <c r="P766" s="281">
        <f>IF(AJ77&gt;0,ROUND(AJ77,0),0)</f>
        <v>0</v>
      </c>
      <c r="Q766" s="281">
        <f>IF(AJ78&gt;0,ROUND(AJ78,0),0)</f>
        <v>5935</v>
      </c>
      <c r="R766" s="281">
        <f>IF(AJ79&gt;0,ROUND(AJ79,0),0)</f>
        <v>14562</v>
      </c>
      <c r="S766" s="281">
        <f>IF(AJ80&gt;0,ROUND(AJ80,0),0)</f>
        <v>11</v>
      </c>
      <c r="T766" s="284">
        <f>IF(AJ81&gt;0,ROUND(AJ81,2),0)</f>
        <v>0</v>
      </c>
      <c r="U766" s="281"/>
      <c r="X766" s="281"/>
      <c r="Y766" s="281"/>
      <c r="Z766" s="281">
        <f t="shared" si="21"/>
        <v>0</v>
      </c>
    </row>
    <row r="767" spans="1:26" ht="12.65" customHeight="1" x14ac:dyDescent="0.3">
      <c r="A767" s="209" t="str">
        <f>RIGHT($C$84,3)&amp;"*"&amp;RIGHT($C$83,4)&amp;"*"&amp;AK$55&amp;"*"&amp;"A"</f>
        <v>are*140*7310*A</v>
      </c>
      <c r="B767" s="281">
        <f>ROUND(AK59,0)</f>
        <v>2630</v>
      </c>
      <c r="C767" s="284">
        <f>ROUND(AK60,2)</f>
        <v>0</v>
      </c>
      <c r="D767" s="281">
        <f>ROUND(AK61,0)</f>
        <v>0</v>
      </c>
      <c r="E767" s="281">
        <f>ROUND(AK62,0)</f>
        <v>0</v>
      </c>
      <c r="F767" s="281">
        <f>ROUND(AK63,0)</f>
        <v>0</v>
      </c>
      <c r="G767" s="281">
        <f>ROUND(AK64,0)</f>
        <v>11614</v>
      </c>
      <c r="H767" s="281">
        <f>ROUND(AK65,0)</f>
        <v>0</v>
      </c>
      <c r="I767" s="281">
        <f>ROUND(AK66,0)</f>
        <v>242750</v>
      </c>
      <c r="J767" s="281">
        <f>ROUND(AK67,0)</f>
        <v>1794</v>
      </c>
      <c r="K767" s="281">
        <f>ROUND(AK68,0)</f>
        <v>43267</v>
      </c>
      <c r="L767" s="281">
        <f>ROUND(AK70,0)</f>
        <v>0</v>
      </c>
      <c r="M767" s="281">
        <f>ROUND(AK71,0)</f>
        <v>299746</v>
      </c>
      <c r="N767" s="281">
        <f>ROUND(AK76,0)</f>
        <v>0</v>
      </c>
      <c r="O767" s="281">
        <f>ROUND(AK74,0)</f>
        <v>608012</v>
      </c>
      <c r="P767" s="281">
        <f>IF(AK77&gt;0,ROUND(AK77,0),0)</f>
        <v>0</v>
      </c>
      <c r="Q767" s="281">
        <f>IF(AK78&gt;0,ROUND(AK78,0),0)</f>
        <v>831</v>
      </c>
      <c r="R767" s="281">
        <f>IF(AK79&gt;0,ROUND(AK79,0),0)</f>
        <v>4326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>
        <f t="shared" si="21"/>
        <v>5057644</v>
      </c>
    </row>
    <row r="768" spans="1:26" ht="12.65" customHeight="1" x14ac:dyDescent="0.3">
      <c r="A768" s="209" t="str">
        <f>RIGHT($C$84,3)&amp;"*"&amp;RIGHT($C$83,4)&amp;"*"&amp;AL$55&amp;"*"&amp;"A"</f>
        <v>are*140*7320*A</v>
      </c>
      <c r="B768" s="281">
        <f>ROUND(AL59,0)</f>
        <v>2557</v>
      </c>
      <c r="C768" s="284">
        <f>ROUND(AL60,2)</f>
        <v>0</v>
      </c>
      <c r="D768" s="281">
        <f>ROUND(AL61,0)</f>
        <v>0</v>
      </c>
      <c r="E768" s="281">
        <f>ROUND(AL62,0)</f>
        <v>0</v>
      </c>
      <c r="F768" s="281">
        <f>ROUND(AL63,0)</f>
        <v>5460</v>
      </c>
      <c r="G768" s="281">
        <f>ROUND(AL64,0)</f>
        <v>2118</v>
      </c>
      <c r="H768" s="281">
        <f>ROUND(AL65,0)</f>
        <v>0</v>
      </c>
      <c r="I768" s="281">
        <f>ROUND(AL66,0)</f>
        <v>239459</v>
      </c>
      <c r="J768" s="281">
        <f>ROUND(AL67,0)</f>
        <v>0</v>
      </c>
      <c r="K768" s="281">
        <f>ROUND(AL68,0)</f>
        <v>12714</v>
      </c>
      <c r="L768" s="281">
        <f>ROUND(AL70,0)</f>
        <v>0</v>
      </c>
      <c r="M768" s="281">
        <f>ROUND(AL71,0)</f>
        <v>261353</v>
      </c>
      <c r="N768" s="281">
        <f>ROUND(AL76,0)</f>
        <v>0</v>
      </c>
      <c r="O768" s="281">
        <f>ROUND(AL74,0)</f>
        <v>566446</v>
      </c>
      <c r="P768" s="281">
        <f>IF(AL77&gt;0,ROUND(AL77,0),0)</f>
        <v>0</v>
      </c>
      <c r="Q768" s="281">
        <f>IF(AL78&gt;0,ROUND(AL78,0),0)</f>
        <v>554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>
        <f t="shared" si="21"/>
        <v>110795</v>
      </c>
    </row>
    <row r="769" spans="1:26" ht="12.65" customHeight="1" x14ac:dyDescent="0.3">
      <c r="A769" s="209" t="str">
        <f>RIGHT($C$84,3)&amp;"*"&amp;RIGHT($C$83,4)&amp;"*"&amp;AM$55&amp;"*"&amp;"A"</f>
        <v>are*140*7330*A</v>
      </c>
      <c r="B769" s="281">
        <f>ROUND(AM59,0)</f>
        <v>0</v>
      </c>
      <c r="C769" s="284">
        <f>ROUND(AM60,2)</f>
        <v>0</v>
      </c>
      <c r="D769" s="281">
        <f>ROUND(AM61,0)</f>
        <v>0</v>
      </c>
      <c r="E769" s="281">
        <f>ROUND(AM62,0)</f>
        <v>0</v>
      </c>
      <c r="F769" s="281">
        <f>ROUND(AM63,0)</f>
        <v>0</v>
      </c>
      <c r="G769" s="281">
        <f>ROUND(AM64,0)</f>
        <v>0</v>
      </c>
      <c r="H769" s="281">
        <f>ROUND(AM65,0)</f>
        <v>0</v>
      </c>
      <c r="I769" s="281">
        <f>ROUND(AM66,0)</f>
        <v>0</v>
      </c>
      <c r="J769" s="281">
        <f>ROUND(AM67,0)</f>
        <v>0</v>
      </c>
      <c r="K769" s="281">
        <f>ROUND(AM68,0)</f>
        <v>0</v>
      </c>
      <c r="L769" s="281">
        <f>ROUND(AM70,0)</f>
        <v>0</v>
      </c>
      <c r="M769" s="281">
        <f>ROUND(AM71,0)</f>
        <v>0</v>
      </c>
      <c r="N769" s="281">
        <f>ROUND(AM76,0)</f>
        <v>0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>
        <f t="shared" si="21"/>
        <v>88991</v>
      </c>
    </row>
    <row r="770" spans="1:26" ht="12.65" customHeight="1" x14ac:dyDescent="0.3">
      <c r="A770" s="209" t="str">
        <f>RIGHT($C$84,3)&amp;"*"&amp;RIGHT($C$83,4)&amp;"*"&amp;AN$55&amp;"*"&amp;"A"</f>
        <v>are*140*7340*A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>
        <f>ROUND(AN62,0)</f>
        <v>0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>
        <f>ROUND(AN67,0)</f>
        <v>0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are*140*7350*A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>
        <f>ROUND(AO62,0)</f>
        <v>0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>
        <f>ROUND(AO67,0)</f>
        <v>0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are*140*7380*A</v>
      </c>
      <c r="B772" s="281">
        <f>ROUND(AP59,0)</f>
        <v>0</v>
      </c>
      <c r="C772" s="284">
        <f>ROUND(AP60,2)</f>
        <v>0</v>
      </c>
      <c r="D772" s="281">
        <f>ROUND(AP61,0)</f>
        <v>0</v>
      </c>
      <c r="E772" s="281">
        <f>ROUND(AP62,0)</f>
        <v>0</v>
      </c>
      <c r="F772" s="281">
        <f>ROUND(AP63,0)</f>
        <v>0</v>
      </c>
      <c r="G772" s="281">
        <f>ROUND(AP64,0)</f>
        <v>0</v>
      </c>
      <c r="H772" s="281">
        <f>ROUND(AP65,0)</f>
        <v>0</v>
      </c>
      <c r="I772" s="281">
        <f>ROUND(AP66,0)</f>
        <v>0</v>
      </c>
      <c r="J772" s="281">
        <f>ROUND(AP67,0)</f>
        <v>0</v>
      </c>
      <c r="K772" s="281">
        <f>ROUND(AP68,0)</f>
        <v>0</v>
      </c>
      <c r="L772" s="281">
        <f>ROUND(AP70,0)</f>
        <v>0</v>
      </c>
      <c r="M772" s="281">
        <f>ROUND(AP71,0)</f>
        <v>0</v>
      </c>
      <c r="N772" s="281">
        <f>ROUND(AP76,0)</f>
        <v>0</v>
      </c>
      <c r="O772" s="281">
        <f>ROUND(AP74,0)</f>
        <v>0</v>
      </c>
      <c r="P772" s="281">
        <f>IF(AP77&gt;0,ROUND(AP77,0),0)</f>
        <v>0</v>
      </c>
      <c r="Q772" s="281">
        <f>IF(AP78&gt;0,ROUND(AP78,0),0)</f>
        <v>0</v>
      </c>
      <c r="R772" s="281">
        <f>IF(AP79&gt;0,ROUND(AP79,0),0)</f>
        <v>0</v>
      </c>
      <c r="S772" s="281">
        <f>IF(AP80&gt;0,ROUND(AP80,0),0)</f>
        <v>0</v>
      </c>
      <c r="T772" s="284">
        <f>IF(AP81&gt;0,ROUND(AP81,2),0)</f>
        <v>0</v>
      </c>
      <c r="U772" s="281"/>
      <c r="X772" s="281"/>
      <c r="Y772" s="281"/>
      <c r="Z772" s="281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are*140*7390*A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>
        <f>ROUND(AQ62,0)</f>
        <v>0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>
        <f>ROUND(AQ67,0)</f>
        <v>0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>
        <f t="shared" si="21"/>
        <v>0</v>
      </c>
    </row>
    <row r="774" spans="1:26" ht="12.65" customHeight="1" x14ac:dyDescent="0.3">
      <c r="A774" s="209" t="str">
        <f>RIGHT($C$84,3)&amp;"*"&amp;RIGHT($C$83,4)&amp;"*"&amp;AR$55&amp;"*"&amp;"A"</f>
        <v>are*140*7400*A</v>
      </c>
      <c r="B774" s="281">
        <f>ROUND(AR59,0)</f>
        <v>14641</v>
      </c>
      <c r="C774" s="284">
        <f>ROUND(AR60,2)</f>
        <v>20.3</v>
      </c>
      <c r="D774" s="281">
        <f>ROUND(AR61,0)</f>
        <v>1651689</v>
      </c>
      <c r="E774" s="281">
        <f>ROUND(AR62,0)</f>
        <v>380920</v>
      </c>
      <c r="F774" s="281">
        <f>ROUND(AR63,0)</f>
        <v>0</v>
      </c>
      <c r="G774" s="281">
        <f>ROUND(AR64,0)</f>
        <v>126657</v>
      </c>
      <c r="H774" s="281">
        <f>ROUND(AR65,0)</f>
        <v>0</v>
      </c>
      <c r="I774" s="281">
        <f>ROUND(AR66,0)</f>
        <v>154610</v>
      </c>
      <c r="J774" s="281">
        <f>ROUND(AR67,0)</f>
        <v>43210</v>
      </c>
      <c r="K774" s="281">
        <f>ROUND(AR68,0)</f>
        <v>30959</v>
      </c>
      <c r="L774" s="281">
        <f>ROUND(AR70,0)</f>
        <v>0</v>
      </c>
      <c r="M774" s="281">
        <f>ROUND(AR71,0)</f>
        <v>2892188</v>
      </c>
      <c r="N774" s="281">
        <f>ROUND(AR76,0)</f>
        <v>1394</v>
      </c>
      <c r="O774" s="281">
        <f>ROUND(AR74,0)</f>
        <v>2946332</v>
      </c>
      <c r="P774" s="281">
        <f>IF(AR77&gt;0,ROUND(AR77,0),0)</f>
        <v>0</v>
      </c>
      <c r="Q774" s="281">
        <f>IF(AR78&gt;0,ROUND(AR78,0),0)</f>
        <v>558</v>
      </c>
      <c r="R774" s="281">
        <f>IF(AR79&gt;0,ROUND(AR79,0),0)</f>
        <v>0</v>
      </c>
      <c r="S774" s="281">
        <f>IF(AR80&gt;0,ROUND(AR80,0),0)</f>
        <v>10</v>
      </c>
      <c r="T774" s="284">
        <f>IF(AR81&gt;0,ROUND(AR81,2),0)</f>
        <v>0</v>
      </c>
      <c r="U774" s="281"/>
      <c r="X774" s="281"/>
      <c r="Y774" s="281"/>
      <c r="Z774" s="281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are*140*7410*A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>
        <f>ROUND(AS62,0)</f>
        <v>0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>
        <f>ROUND(AS67,0)</f>
        <v>0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>
        <f t="shared" si="21"/>
        <v>717266</v>
      </c>
    </row>
    <row r="776" spans="1:26" ht="12.65" customHeight="1" x14ac:dyDescent="0.3">
      <c r="A776" s="209" t="str">
        <f>RIGHT($C$84,3)&amp;"*"&amp;RIGHT($C$83,4)&amp;"*"&amp;AT$55&amp;"*"&amp;"A"</f>
        <v>are*140*7420*A</v>
      </c>
      <c r="B776" s="281">
        <f>ROUND(AT59,0)</f>
        <v>0</v>
      </c>
      <c r="C776" s="284">
        <f>ROUND(AT60,2)</f>
        <v>0</v>
      </c>
      <c r="D776" s="281">
        <f>ROUND(AT61,0)</f>
        <v>0</v>
      </c>
      <c r="E776" s="281">
        <f>ROUND(AT62,0)</f>
        <v>0</v>
      </c>
      <c r="F776" s="281">
        <f>ROUND(AT63,0)</f>
        <v>0</v>
      </c>
      <c r="G776" s="281">
        <f>ROUND(AT64,0)</f>
        <v>0</v>
      </c>
      <c r="H776" s="281">
        <f>ROUND(AT65,0)</f>
        <v>0</v>
      </c>
      <c r="I776" s="281">
        <f>ROUND(AT66,0)</f>
        <v>0</v>
      </c>
      <c r="J776" s="281">
        <f>ROUND(AT67,0)</f>
        <v>0</v>
      </c>
      <c r="K776" s="281">
        <f>ROUND(AT68,0)</f>
        <v>0</v>
      </c>
      <c r="L776" s="281">
        <f>ROUND(AT70,0)</f>
        <v>0</v>
      </c>
      <c r="M776" s="281">
        <f>ROUND(AT71,0)</f>
        <v>0</v>
      </c>
      <c r="N776" s="281">
        <f>ROUND(AT76,0)</f>
        <v>0</v>
      </c>
      <c r="O776" s="281">
        <f>ROUND(AT74,0)</f>
        <v>0</v>
      </c>
      <c r="P776" s="281">
        <f>IF(AT77&gt;0,ROUND(AT77,0),0)</f>
        <v>0</v>
      </c>
      <c r="Q776" s="281">
        <f>IF(AT78&gt;0,ROUND(AT78,0),0)</f>
        <v>0</v>
      </c>
      <c r="R776" s="281">
        <f>IF(AT79&gt;0,ROUND(AT79,0),0)</f>
        <v>0</v>
      </c>
      <c r="S776" s="281">
        <f>IF(AT80&gt;0,ROUND(AT80,0),0)</f>
        <v>0</v>
      </c>
      <c r="T776" s="284">
        <f>IF(AT81&gt;0,ROUND(AT81,2),0)</f>
        <v>0</v>
      </c>
      <c r="U776" s="281"/>
      <c r="X776" s="281"/>
      <c r="Y776" s="281"/>
      <c r="Z776" s="281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are*140*7430*A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>
        <f>ROUND(AU62,0)</f>
        <v>0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>
        <f>ROUND(AU67,0)</f>
        <v>0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are*140*7490*A</v>
      </c>
      <c r="B778" s="281"/>
      <c r="C778" s="284">
        <f>ROUND(AV60,2)</f>
        <v>0</v>
      </c>
      <c r="D778" s="281">
        <f>ROUND(AV61,0)</f>
        <v>0</v>
      </c>
      <c r="E778" s="281">
        <f>ROUND(AV62,0)</f>
        <v>0</v>
      </c>
      <c r="F778" s="281">
        <f>ROUND(AV63,0)</f>
        <v>0</v>
      </c>
      <c r="G778" s="281">
        <f>ROUND(AV64,0)</f>
        <v>0</v>
      </c>
      <c r="H778" s="281">
        <f>ROUND(AV65,0)</f>
        <v>0</v>
      </c>
      <c r="I778" s="281">
        <f>ROUND(AV66,0)</f>
        <v>0</v>
      </c>
      <c r="J778" s="281">
        <f>ROUND(AV67,0)</f>
        <v>0</v>
      </c>
      <c r="K778" s="281">
        <f>ROUND(AV68,0)</f>
        <v>0</v>
      </c>
      <c r="L778" s="281">
        <f>ROUND(AV70,0)</f>
        <v>0</v>
      </c>
      <c r="M778" s="281">
        <f>ROUND(AV71,0)</f>
        <v>0</v>
      </c>
      <c r="N778" s="281">
        <f>ROUND(AV76,0)</f>
        <v>0</v>
      </c>
      <c r="O778" s="281">
        <f>ROUND(AV74,0)</f>
        <v>0</v>
      </c>
      <c r="P778" s="281">
        <f>IF(AV77&gt;0,ROUND(AV77,0),0)</f>
        <v>0</v>
      </c>
      <c r="Q778" s="281">
        <f>IF(AV78&gt;0,ROUND(AV78,0),0)</f>
        <v>0</v>
      </c>
      <c r="R778" s="281">
        <f>IF(AV79&gt;0,ROUND(AV79,0),0)</f>
        <v>0</v>
      </c>
      <c r="S778" s="281">
        <f>IF(AV80&gt;0,ROUND(AV80,0),0)</f>
        <v>0</v>
      </c>
      <c r="T778" s="284">
        <f>IF(AV81&gt;0,ROUND(AV81,2),0)</f>
        <v>0</v>
      </c>
      <c r="U778" s="281"/>
      <c r="X778" s="281"/>
      <c r="Y778" s="281"/>
      <c r="Z778" s="281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are*140*8200*A</v>
      </c>
      <c r="B779" s="281"/>
      <c r="C779" s="284">
        <f>ROUND(AW60,2)</f>
        <v>0</v>
      </c>
      <c r="D779" s="281">
        <f>ROUND(AW61,0)</f>
        <v>0</v>
      </c>
      <c r="E779" s="281">
        <f>ROUND(AW62,0)</f>
        <v>0</v>
      </c>
      <c r="F779" s="281">
        <f>ROUND(AW63,0)</f>
        <v>0</v>
      </c>
      <c r="G779" s="281">
        <f>ROUND(AW64,0)</f>
        <v>0</v>
      </c>
      <c r="H779" s="281">
        <f>ROUND(AW65,0)</f>
        <v>0</v>
      </c>
      <c r="I779" s="281">
        <f>ROUND(AW66,0)</f>
        <v>0</v>
      </c>
      <c r="J779" s="281">
        <f>ROUND(AW67,0)</f>
        <v>0</v>
      </c>
      <c r="K779" s="281">
        <f>ROUND(AW68,0)</f>
        <v>0</v>
      </c>
      <c r="L779" s="281">
        <f>ROUND(AW70,0)</f>
        <v>0</v>
      </c>
      <c r="M779" s="281">
        <f>ROUND(AW71,0)</f>
        <v>0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">
      <c r="A780" s="209" t="str">
        <f>RIGHT($C$84,3)&amp;"*"&amp;RIGHT($C$83,4)&amp;"*"&amp;AX$55&amp;"*"&amp;"A"</f>
        <v>are*140*8310*A</v>
      </c>
      <c r="B780" s="281"/>
      <c r="C780" s="284">
        <f>ROUND(AX60,2)</f>
        <v>0</v>
      </c>
      <c r="D780" s="281">
        <f>ROUND(AX61,0)</f>
        <v>0</v>
      </c>
      <c r="E780" s="281">
        <f>ROUND(AX62,0)</f>
        <v>0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>
        <f>ROUND(AX67,0)</f>
        <v>0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">
      <c r="A781" s="209" t="str">
        <f>RIGHT($C$84,3)&amp;"*"&amp;RIGHT($C$83,4)&amp;"*"&amp;AY$55&amp;"*"&amp;"A"</f>
        <v>are*140*8320*A</v>
      </c>
      <c r="B781" s="281">
        <f>ROUND(AY59,0)</f>
        <v>10916</v>
      </c>
      <c r="C781" s="284">
        <f>ROUND(AY60,2)</f>
        <v>13.88</v>
      </c>
      <c r="D781" s="281">
        <f>ROUND(AY61,0)</f>
        <v>643512</v>
      </c>
      <c r="E781" s="281">
        <f>ROUND(AY62,0)</f>
        <v>148410</v>
      </c>
      <c r="F781" s="281">
        <f>ROUND(AY63,0)</f>
        <v>0</v>
      </c>
      <c r="G781" s="281">
        <f>ROUND(AY64,0)</f>
        <v>300533</v>
      </c>
      <c r="H781" s="281">
        <f>ROUND(AY65,0)</f>
        <v>0</v>
      </c>
      <c r="I781" s="281">
        <f>ROUND(AY66,0)</f>
        <v>21795</v>
      </c>
      <c r="J781" s="281">
        <f>ROUND(AY67,0)</f>
        <v>70232</v>
      </c>
      <c r="K781" s="281">
        <f>ROUND(AY68,0)</f>
        <v>1716</v>
      </c>
      <c r="L781" s="281">
        <f>ROUND(AY70,0)</f>
        <v>0</v>
      </c>
      <c r="M781" s="281">
        <f>ROUND(AY71,0)</f>
        <v>1188493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">
      <c r="A782" s="209" t="str">
        <f>RIGHT($C$84,3)&amp;"*"&amp;RIGHT($C$83,4)&amp;"*"&amp;AZ$55&amp;"*"&amp;"A"</f>
        <v>are*140*8330*A</v>
      </c>
      <c r="B782" s="281">
        <f>ROUND(AZ59,0)</f>
        <v>0</v>
      </c>
      <c r="C782" s="284">
        <f>ROUND(AZ60,2)</f>
        <v>0</v>
      </c>
      <c r="D782" s="281">
        <f>ROUND(AZ61,0)</f>
        <v>0</v>
      </c>
      <c r="E782" s="281">
        <f>ROUND(AZ62,0)</f>
        <v>0</v>
      </c>
      <c r="F782" s="281">
        <f>ROUND(AZ63,0)</f>
        <v>0</v>
      </c>
      <c r="G782" s="281">
        <f>ROUND(AZ64,0)</f>
        <v>0</v>
      </c>
      <c r="H782" s="281">
        <f>ROUND(AZ65,0)</f>
        <v>0</v>
      </c>
      <c r="I782" s="281">
        <f>ROUND(AZ66,0)</f>
        <v>0</v>
      </c>
      <c r="J782" s="281">
        <f>ROUND(AZ67,0)</f>
        <v>0</v>
      </c>
      <c r="K782" s="281">
        <f>ROUND(AZ68,0)</f>
        <v>0</v>
      </c>
      <c r="L782" s="281">
        <f>ROUND(AZ70,0)</f>
        <v>0</v>
      </c>
      <c r="M782" s="281">
        <f>ROUND(AZ71,0)</f>
        <v>0</v>
      </c>
      <c r="N782" s="281"/>
      <c r="O782" s="281"/>
      <c r="P782" s="281">
        <f>IF(AZ77&gt;0,ROUND(AZ77,0),0)</f>
        <v>0</v>
      </c>
      <c r="Q782" s="281">
        <f>IF(AZ78&gt;0,ROUND(AZ78,0),0)</f>
        <v>0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">
      <c r="A783" s="209" t="str">
        <f>RIGHT($C$84,3)&amp;"*"&amp;RIGHT($C$83,4)&amp;"*"&amp;BA$55&amp;"*"&amp;"A"</f>
        <v>are*140*8350*A</v>
      </c>
      <c r="B783" s="281">
        <f>ROUND(BA59,0)</f>
        <v>0</v>
      </c>
      <c r="C783" s="284">
        <f>ROUND(BA60,2)</f>
        <v>3.25</v>
      </c>
      <c r="D783" s="281">
        <f>ROUND(BA61,0)</f>
        <v>126182</v>
      </c>
      <c r="E783" s="281">
        <f>ROUND(BA62,0)</f>
        <v>29101</v>
      </c>
      <c r="F783" s="281">
        <f>ROUND(BA63,0)</f>
        <v>0</v>
      </c>
      <c r="G783" s="281">
        <f>ROUND(BA64,0)</f>
        <v>63503</v>
      </c>
      <c r="H783" s="281">
        <f>ROUND(BA65,0)</f>
        <v>0</v>
      </c>
      <c r="I783" s="281">
        <f>ROUND(BA66,0)</f>
        <v>1202</v>
      </c>
      <c r="J783" s="281">
        <f>ROUND(BA67,0)</f>
        <v>19799</v>
      </c>
      <c r="K783" s="281">
        <f>ROUND(BA68,0)</f>
        <v>0</v>
      </c>
      <c r="L783" s="281">
        <f>ROUND(BA70,0)</f>
        <v>0</v>
      </c>
      <c r="M783" s="281">
        <f>ROUND(BA71,0)</f>
        <v>239787</v>
      </c>
      <c r="N783" s="281"/>
      <c r="O783" s="281"/>
      <c r="P783" s="281">
        <f>IF(BA77&gt;0,ROUND(BA77,0),0)</f>
        <v>0</v>
      </c>
      <c r="Q783" s="281">
        <f>IF(BA78&gt;0,ROUND(BA78,0),0)</f>
        <v>0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">
      <c r="A784" s="209" t="str">
        <f>RIGHT($C$84,3)&amp;"*"&amp;RIGHT($C$83,4)&amp;"*"&amp;BB$55&amp;"*"&amp;"A"</f>
        <v>are*140*8360*A</v>
      </c>
      <c r="B784" s="281"/>
      <c r="C784" s="284">
        <f>ROUND(BB60,2)</f>
        <v>1.56</v>
      </c>
      <c r="D784" s="281">
        <f>ROUND(BB61,0)</f>
        <v>127567</v>
      </c>
      <c r="E784" s="281">
        <f>ROUND(BB62,0)</f>
        <v>29420</v>
      </c>
      <c r="F784" s="281">
        <f>ROUND(BB63,0)</f>
        <v>0</v>
      </c>
      <c r="G784" s="281">
        <f>ROUND(BB64,0)</f>
        <v>75</v>
      </c>
      <c r="H784" s="281">
        <f>ROUND(BB65,0)</f>
        <v>0</v>
      </c>
      <c r="I784" s="281">
        <f>ROUND(BB66,0)</f>
        <v>4540</v>
      </c>
      <c r="J784" s="281">
        <f>ROUND(BB67,0)</f>
        <v>0</v>
      </c>
      <c r="K784" s="281">
        <f>ROUND(BB68,0)</f>
        <v>0</v>
      </c>
      <c r="L784" s="281">
        <f>ROUND(BB70,0)</f>
        <v>0</v>
      </c>
      <c r="M784" s="281">
        <f>ROUND(BB71,0)</f>
        <v>161638</v>
      </c>
      <c r="N784" s="281"/>
      <c r="O784" s="281"/>
      <c r="P784" s="281">
        <f>IF(BB77&gt;0,ROUND(BB77,0),0)</f>
        <v>0</v>
      </c>
      <c r="Q784" s="281">
        <f>IF(BB78&gt;0,ROUND(BB78,0),0)</f>
        <v>87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">
      <c r="A785" s="209" t="str">
        <f>RIGHT($C$84,3)&amp;"*"&amp;RIGHT($C$83,4)&amp;"*"&amp;BC$55&amp;"*"&amp;"A"</f>
        <v>are*140*8370*A</v>
      </c>
      <c r="B785" s="281"/>
      <c r="C785" s="284">
        <f>ROUND(BC60,2)</f>
        <v>0</v>
      </c>
      <c r="D785" s="281">
        <f>ROUND(BC61,0)</f>
        <v>0</v>
      </c>
      <c r="E785" s="281">
        <f>ROUND(BC62,0)</f>
        <v>0</v>
      </c>
      <c r="F785" s="281">
        <f>ROUND(BC63,0)</f>
        <v>0</v>
      </c>
      <c r="G785" s="281">
        <f>ROUND(BC64,0)</f>
        <v>0</v>
      </c>
      <c r="H785" s="281">
        <f>ROUND(BC65,0)</f>
        <v>0</v>
      </c>
      <c r="I785" s="281">
        <f>ROUND(BC66,0)</f>
        <v>0</v>
      </c>
      <c r="J785" s="281">
        <f>ROUND(BC67,0)</f>
        <v>0</v>
      </c>
      <c r="K785" s="281">
        <f>ROUND(BC68,0)</f>
        <v>0</v>
      </c>
      <c r="L785" s="281">
        <f>ROUND(BC70,0)</f>
        <v>0</v>
      </c>
      <c r="M785" s="281">
        <f>ROUND(BC71,0)</f>
        <v>0</v>
      </c>
      <c r="N785" s="281"/>
      <c r="O785" s="281"/>
      <c r="P785" s="281">
        <f>IF(BC77&gt;0,ROUND(BC77,0),0)</f>
        <v>0</v>
      </c>
      <c r="Q785" s="281">
        <f>IF(BC78&gt;0,ROUND(BC78,0),0)</f>
        <v>0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">
      <c r="A786" s="209" t="str">
        <f>RIGHT($C$84,3)&amp;"*"&amp;RIGHT($C$83,4)&amp;"*"&amp;BD$55&amp;"*"&amp;"A"</f>
        <v>are*140*8420*A</v>
      </c>
      <c r="B786" s="281"/>
      <c r="C786" s="284">
        <f>ROUND(BD60,2)</f>
        <v>6.01</v>
      </c>
      <c r="D786" s="281">
        <f>ROUND(BD61,0)</f>
        <v>302283</v>
      </c>
      <c r="E786" s="281">
        <f>ROUND(BD62,0)</f>
        <v>69714</v>
      </c>
      <c r="F786" s="281">
        <f>ROUND(BD63,0)</f>
        <v>0</v>
      </c>
      <c r="G786" s="281">
        <f>ROUND(BD64,0)</f>
        <v>4893</v>
      </c>
      <c r="H786" s="281">
        <f>ROUND(BD65,0)</f>
        <v>0</v>
      </c>
      <c r="I786" s="281">
        <f>ROUND(BD66,0)</f>
        <v>138824</v>
      </c>
      <c r="J786" s="281">
        <f>ROUND(BD67,0)</f>
        <v>26467</v>
      </c>
      <c r="K786" s="281">
        <f>ROUND(BD68,0)</f>
        <v>48991</v>
      </c>
      <c r="L786" s="281">
        <f>ROUND(BD70,0)</f>
        <v>0</v>
      </c>
      <c r="M786" s="281">
        <f>ROUND(BD71,0)</f>
        <v>697538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">
      <c r="A787" s="209" t="str">
        <f>RIGHT($C$84,3)&amp;"*"&amp;RIGHT($C$83,4)&amp;"*"&amp;BE$55&amp;"*"&amp;"A"</f>
        <v>are*140*8430*A</v>
      </c>
      <c r="B787" s="281">
        <f>ROUND(BE59,0)</f>
        <v>116602</v>
      </c>
      <c r="C787" s="284">
        <f>ROUND(BE60,2)</f>
        <v>6.95</v>
      </c>
      <c r="D787" s="281">
        <f>ROUND(BE61,0)</f>
        <v>491276</v>
      </c>
      <c r="E787" s="281">
        <f>ROUND(BE62,0)</f>
        <v>113300</v>
      </c>
      <c r="F787" s="281">
        <f>ROUND(BE63,0)</f>
        <v>0</v>
      </c>
      <c r="G787" s="281">
        <f>ROUND(BE64,0)</f>
        <v>50850</v>
      </c>
      <c r="H787" s="281">
        <f>ROUND(BE65,0)</f>
        <v>828288</v>
      </c>
      <c r="I787" s="281">
        <f>ROUND(BE66,0)</f>
        <v>684477</v>
      </c>
      <c r="J787" s="281">
        <f>ROUND(BE67,0)</f>
        <v>176646</v>
      </c>
      <c r="K787" s="281">
        <f>ROUND(BE68,0)</f>
        <v>1380</v>
      </c>
      <c r="L787" s="281">
        <f>ROUND(BE70,0)</f>
        <v>0</v>
      </c>
      <c r="M787" s="281">
        <f>ROUND(BE71,0)</f>
        <v>2357244</v>
      </c>
      <c r="N787" s="281"/>
      <c r="O787" s="281"/>
      <c r="P787" s="281">
        <f>IF(BE77&gt;0,ROUND(BE77,0),0)</f>
        <v>0</v>
      </c>
      <c r="Q787" s="281">
        <f>IF(BE78&gt;0,ROUND(BE78,0),0)</f>
        <v>0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">
      <c r="A788" s="209" t="str">
        <f>RIGHT($C$84,3)&amp;"*"&amp;RIGHT($C$83,4)&amp;"*"&amp;BF$55&amp;"*"&amp;"A"</f>
        <v>are*140*8460*A</v>
      </c>
      <c r="B788" s="281"/>
      <c r="C788" s="284">
        <f>ROUND(BF60,2)</f>
        <v>15.49</v>
      </c>
      <c r="D788" s="281">
        <f>ROUND(BF61,0)</f>
        <v>602258</v>
      </c>
      <c r="E788" s="281">
        <f>ROUND(BF62,0)</f>
        <v>138895</v>
      </c>
      <c r="F788" s="281">
        <f>ROUND(BF63,0)</f>
        <v>0</v>
      </c>
      <c r="G788" s="281">
        <f>ROUND(BF64,0)</f>
        <v>174303</v>
      </c>
      <c r="H788" s="281">
        <f>ROUND(BF65,0)</f>
        <v>0</v>
      </c>
      <c r="I788" s="281">
        <f>ROUND(BF66,0)</f>
        <v>128581</v>
      </c>
      <c r="J788" s="281">
        <f>ROUND(BF67,0)</f>
        <v>7087</v>
      </c>
      <c r="K788" s="281">
        <f>ROUND(BF68,0)</f>
        <v>0</v>
      </c>
      <c r="L788" s="281">
        <f>ROUND(BF70,0)</f>
        <v>0</v>
      </c>
      <c r="M788" s="281">
        <f>ROUND(BF71,0)</f>
        <v>1053162</v>
      </c>
      <c r="N788" s="281"/>
      <c r="O788" s="281"/>
      <c r="P788" s="281">
        <f>IF(BF77&gt;0,ROUND(BF77,0),0)</f>
        <v>0</v>
      </c>
      <c r="Q788" s="281">
        <f>IF(BF78&gt;0,ROUND(BF78,0),0)</f>
        <v>0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">
      <c r="A789" s="209" t="str">
        <f>RIGHT($C$84,3)&amp;"*"&amp;RIGHT($C$83,4)&amp;"*"&amp;BG$55&amp;"*"&amp;"A"</f>
        <v>are*140*8470*A</v>
      </c>
      <c r="B789" s="281"/>
      <c r="C789" s="284">
        <f>ROUND(BG60,2)</f>
        <v>0</v>
      </c>
      <c r="D789" s="281">
        <f>ROUND(BG61,0)</f>
        <v>0</v>
      </c>
      <c r="E789" s="281">
        <f>ROUND(BG62,0)</f>
        <v>0</v>
      </c>
      <c r="F789" s="281">
        <f>ROUND(BG63,0)</f>
        <v>0</v>
      </c>
      <c r="G789" s="281">
        <f>ROUND(BG64,0)</f>
        <v>0</v>
      </c>
      <c r="H789" s="281">
        <f>ROUND(BG65,0)</f>
        <v>0</v>
      </c>
      <c r="I789" s="281">
        <f>ROUND(BG66,0)</f>
        <v>0</v>
      </c>
      <c r="J789" s="281">
        <f>ROUND(BG67,0)</f>
        <v>0</v>
      </c>
      <c r="K789" s="281">
        <f>ROUND(BG68,0)</f>
        <v>0</v>
      </c>
      <c r="L789" s="281">
        <f>ROUND(BG70,0)</f>
        <v>0</v>
      </c>
      <c r="M789" s="281">
        <f>ROUND(BG71,0)</f>
        <v>0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">
      <c r="A790" s="209" t="str">
        <f>RIGHT($C$84,3)&amp;"*"&amp;RIGHT($C$83,4)&amp;"*"&amp;BH$55&amp;"*"&amp;"A"</f>
        <v>are*140*8480*A</v>
      </c>
      <c r="B790" s="281"/>
      <c r="C790" s="284">
        <f>ROUND(BH60,2)</f>
        <v>15.11</v>
      </c>
      <c r="D790" s="281">
        <f>ROUND(BH61,0)</f>
        <v>1366986</v>
      </c>
      <c r="E790" s="281">
        <f>ROUND(BH62,0)</f>
        <v>315260</v>
      </c>
      <c r="F790" s="281">
        <f>ROUND(BH63,0)</f>
        <v>0</v>
      </c>
      <c r="G790" s="281">
        <f>ROUND(BH64,0)</f>
        <v>216882</v>
      </c>
      <c r="H790" s="281">
        <f>ROUND(BH65,0)</f>
        <v>15408</v>
      </c>
      <c r="I790" s="281">
        <f>ROUND(BH66,0)</f>
        <v>2003038</v>
      </c>
      <c r="J790" s="281">
        <f>ROUND(BH67,0)</f>
        <v>1160246</v>
      </c>
      <c r="K790" s="281">
        <f>ROUND(BH68,0)</f>
        <v>0</v>
      </c>
      <c r="L790" s="281">
        <f>ROUND(BH70,0)</f>
        <v>0</v>
      </c>
      <c r="M790" s="281">
        <f>ROUND(BH71,0)</f>
        <v>5079771</v>
      </c>
      <c r="N790" s="281"/>
      <c r="O790" s="281"/>
      <c r="P790" s="281">
        <f>IF(BH77&gt;0,ROUND(BH77,0),0)</f>
        <v>0</v>
      </c>
      <c r="Q790" s="281">
        <f>IF(BH78&gt;0,ROUND(BH78,0),0)</f>
        <v>0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">
      <c r="A791" s="209" t="str">
        <f>RIGHT($C$84,3)&amp;"*"&amp;RIGHT($C$83,4)&amp;"*"&amp;BI$55&amp;"*"&amp;"A"</f>
        <v>are*140*8490*A</v>
      </c>
      <c r="B791" s="281"/>
      <c r="C791" s="284">
        <f>ROUND(BI60,2)</f>
        <v>0</v>
      </c>
      <c r="D791" s="281">
        <f>ROUND(BI61,0)</f>
        <v>0</v>
      </c>
      <c r="E791" s="281">
        <f>ROUND(BI62,0)</f>
        <v>0</v>
      </c>
      <c r="F791" s="281">
        <f>ROUND(BI63,0)</f>
        <v>0</v>
      </c>
      <c r="G791" s="281">
        <f>ROUND(BI64,0)</f>
        <v>0</v>
      </c>
      <c r="H791" s="281">
        <f>ROUND(BI65,0)</f>
        <v>0</v>
      </c>
      <c r="I791" s="281">
        <f>ROUND(BI66,0)</f>
        <v>0</v>
      </c>
      <c r="J791" s="281">
        <f>ROUND(BI67,0)</f>
        <v>0</v>
      </c>
      <c r="K791" s="281">
        <f>ROUND(BI68,0)</f>
        <v>0</v>
      </c>
      <c r="L791" s="281">
        <f>ROUND(BI70,0)</f>
        <v>0</v>
      </c>
      <c r="M791" s="281">
        <f>ROUND(BI71,0)</f>
        <v>0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">
      <c r="A792" s="209" t="str">
        <f>RIGHT($C$84,3)&amp;"*"&amp;RIGHT($C$83,4)&amp;"*"&amp;BJ$55&amp;"*"&amp;"A"</f>
        <v>are*140*8510*A</v>
      </c>
      <c r="B792" s="281"/>
      <c r="C792" s="284">
        <f>ROUND(BJ60,2)</f>
        <v>5.75</v>
      </c>
      <c r="D792" s="281">
        <f>ROUND(BJ61,0)</f>
        <v>462212</v>
      </c>
      <c r="E792" s="281">
        <f>ROUND(BJ62,0)</f>
        <v>106597</v>
      </c>
      <c r="F792" s="281">
        <f>ROUND(BJ63,0)</f>
        <v>89804</v>
      </c>
      <c r="G792" s="281">
        <f>ROUND(BJ64,0)</f>
        <v>14532</v>
      </c>
      <c r="H792" s="281">
        <f>ROUND(BJ65,0)</f>
        <v>0</v>
      </c>
      <c r="I792" s="281">
        <f>ROUND(BJ66,0)</f>
        <v>211957</v>
      </c>
      <c r="J792" s="281">
        <f>ROUND(BJ67,0)</f>
        <v>37143</v>
      </c>
      <c r="K792" s="281">
        <f>ROUND(BJ68,0)</f>
        <v>0</v>
      </c>
      <c r="L792" s="281">
        <f>ROUND(BJ70,0)</f>
        <v>0</v>
      </c>
      <c r="M792" s="281">
        <f>ROUND(BJ71,0)</f>
        <v>923796</v>
      </c>
      <c r="N792" s="281"/>
      <c r="O792" s="281"/>
      <c r="P792" s="281">
        <f>IF(BJ77&gt;0,ROUND(BJ77,0),0)</f>
        <v>0</v>
      </c>
      <c r="Q792" s="281">
        <f>IF(BJ78&gt;0,ROUND(BJ78,0),0)</f>
        <v>0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">
      <c r="A793" s="209" t="str">
        <f>RIGHT($C$84,3)&amp;"*"&amp;RIGHT($C$83,4)&amp;"*"&amp;BK$55&amp;"*"&amp;"A"</f>
        <v>are*140*8530*A</v>
      </c>
      <c r="B793" s="281"/>
      <c r="C793" s="284">
        <f>ROUND(BK60,2)</f>
        <v>17.89</v>
      </c>
      <c r="D793" s="281">
        <f>ROUND(BK61,0)</f>
        <v>1101551</v>
      </c>
      <c r="E793" s="281">
        <f>ROUND(BK62,0)</f>
        <v>254045</v>
      </c>
      <c r="F793" s="281">
        <f>ROUND(BK63,0)</f>
        <v>15600</v>
      </c>
      <c r="G793" s="281">
        <f>ROUND(BK64,0)</f>
        <v>8420</v>
      </c>
      <c r="H793" s="281">
        <f>ROUND(BK65,0)</f>
        <v>0</v>
      </c>
      <c r="I793" s="281">
        <f>ROUND(BK66,0)</f>
        <v>580857</v>
      </c>
      <c r="J793" s="281">
        <f>ROUND(BK67,0)</f>
        <v>112062</v>
      </c>
      <c r="K793" s="281">
        <f>ROUND(BK68,0)</f>
        <v>2829</v>
      </c>
      <c r="L793" s="281">
        <f>ROUND(BK70,0)</f>
        <v>0</v>
      </c>
      <c r="M793" s="281">
        <f>ROUND(BK71,0)</f>
        <v>2078444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">
      <c r="A794" s="209" t="str">
        <f>RIGHT($C$84,3)&amp;"*"&amp;RIGHT($C$83,4)&amp;"*"&amp;BL$55&amp;"*"&amp;"A"</f>
        <v>are*140*8560*A</v>
      </c>
      <c r="B794" s="281"/>
      <c r="C794" s="284">
        <f>ROUND(BL60,2)</f>
        <v>12.75</v>
      </c>
      <c r="D794" s="281">
        <f>ROUND(BL61,0)</f>
        <v>540329</v>
      </c>
      <c r="E794" s="281">
        <f>ROUND(BL62,0)</f>
        <v>124613</v>
      </c>
      <c r="F794" s="281">
        <f>ROUND(BL63,0)</f>
        <v>0</v>
      </c>
      <c r="G794" s="281">
        <f>ROUND(BL64,0)</f>
        <v>46938</v>
      </c>
      <c r="H794" s="281">
        <f>ROUND(BL65,0)</f>
        <v>0</v>
      </c>
      <c r="I794" s="281">
        <f>ROUND(BL66,0)</f>
        <v>4529</v>
      </c>
      <c r="J794" s="281">
        <f>ROUND(BL67,0)</f>
        <v>0</v>
      </c>
      <c r="K794" s="281">
        <f>ROUND(BL68,0)</f>
        <v>0</v>
      </c>
      <c r="L794" s="281">
        <f>ROUND(BL70,0)</f>
        <v>0</v>
      </c>
      <c r="M794" s="281">
        <f>ROUND(BL71,0)</f>
        <v>716873</v>
      </c>
      <c r="N794" s="281"/>
      <c r="O794" s="281"/>
      <c r="P794" s="281">
        <f>IF(BL77&gt;0,ROUND(BL77,0),0)</f>
        <v>0</v>
      </c>
      <c r="Q794" s="281">
        <f>IF(BL78&gt;0,ROUND(BL78,0),0)</f>
        <v>0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">
      <c r="A795" s="209" t="str">
        <f>RIGHT($C$84,3)&amp;"*"&amp;RIGHT($C$83,4)&amp;"*"&amp;BM$55&amp;"*"&amp;"A"</f>
        <v>are*140*8590*A</v>
      </c>
      <c r="B795" s="281"/>
      <c r="C795" s="284">
        <f>ROUND(BM60,2)</f>
        <v>0</v>
      </c>
      <c r="D795" s="281">
        <f>ROUND(BM61,0)</f>
        <v>0</v>
      </c>
      <c r="E795" s="281">
        <f>ROUND(BM62,0)</f>
        <v>0</v>
      </c>
      <c r="F795" s="281">
        <f>ROUND(BM63,0)</f>
        <v>0</v>
      </c>
      <c r="G795" s="281">
        <f>ROUND(BM64,0)</f>
        <v>0</v>
      </c>
      <c r="H795" s="281">
        <f>ROUND(BM65,0)</f>
        <v>0</v>
      </c>
      <c r="I795" s="281">
        <f>ROUND(BM66,0)</f>
        <v>0</v>
      </c>
      <c r="J795" s="281">
        <f>ROUND(BM67,0)</f>
        <v>0</v>
      </c>
      <c r="K795" s="281">
        <f>ROUND(BM68,0)</f>
        <v>0</v>
      </c>
      <c r="L795" s="281">
        <f>ROUND(BM70,0)</f>
        <v>0</v>
      </c>
      <c r="M795" s="281">
        <f>ROUND(BM71,0)</f>
        <v>0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">
      <c r="A796" s="209" t="str">
        <f>RIGHT($C$84,3)&amp;"*"&amp;RIGHT($C$83,4)&amp;"*"&amp;BN$55&amp;"*"&amp;"A"</f>
        <v>are*140*8610*A</v>
      </c>
      <c r="B796" s="281"/>
      <c r="C796" s="284">
        <f>ROUND(BN60,2)</f>
        <v>6.7</v>
      </c>
      <c r="D796" s="281">
        <f>ROUND(BN61,0)</f>
        <v>1460394</v>
      </c>
      <c r="E796" s="281">
        <f>ROUND(BN62,0)</f>
        <v>336803</v>
      </c>
      <c r="F796" s="281">
        <f>ROUND(BN63,0)</f>
        <v>49015</v>
      </c>
      <c r="G796" s="281">
        <f>ROUND(BN64,0)</f>
        <v>51194</v>
      </c>
      <c r="H796" s="281">
        <f>ROUND(BN65,0)</f>
        <v>0</v>
      </c>
      <c r="I796" s="281">
        <f>ROUND(BN66,0)</f>
        <v>103712</v>
      </c>
      <c r="J796" s="281">
        <f>ROUND(BN67,0)</f>
        <v>285894</v>
      </c>
      <c r="K796" s="281">
        <f>ROUND(BN68,0)</f>
        <v>56751</v>
      </c>
      <c r="L796" s="281">
        <f>ROUND(BN70,0)</f>
        <v>0</v>
      </c>
      <c r="M796" s="281">
        <f>ROUND(BN71,0)</f>
        <v>3733350</v>
      </c>
      <c r="N796" s="281"/>
      <c r="O796" s="281"/>
      <c r="P796" s="281">
        <f>IF(BN77&gt;0,ROUND(BN77,0),0)</f>
        <v>0</v>
      </c>
      <c r="Q796" s="281">
        <f>IF(BN78&gt;0,ROUND(BN78,0),0)</f>
        <v>0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">
      <c r="A797" s="209" t="str">
        <f>RIGHT($C$84,3)&amp;"*"&amp;RIGHT($C$83,4)&amp;"*"&amp;BO$55&amp;"*"&amp;"A"</f>
        <v>are*140*8620*A</v>
      </c>
      <c r="B797" s="281"/>
      <c r="C797" s="284">
        <f>ROUND(BO60,2)</f>
        <v>0.5</v>
      </c>
      <c r="D797" s="281">
        <f>ROUND(BO61,0)</f>
        <v>96125</v>
      </c>
      <c r="E797" s="281">
        <f>ROUND(BO62,0)</f>
        <v>22169</v>
      </c>
      <c r="F797" s="281">
        <f>ROUND(BO63,0)</f>
        <v>0</v>
      </c>
      <c r="G797" s="281">
        <f>ROUND(BO64,0)</f>
        <v>15000</v>
      </c>
      <c r="H797" s="281">
        <f>ROUND(BO65,0)</f>
        <v>200</v>
      </c>
      <c r="I797" s="281">
        <f>ROUND(BO66,0)</f>
        <v>673</v>
      </c>
      <c r="J797" s="281">
        <f>ROUND(BO67,0)</f>
        <v>2613</v>
      </c>
      <c r="K797" s="281">
        <f>ROUND(BO68,0)</f>
        <v>0</v>
      </c>
      <c r="L797" s="281">
        <f>ROUND(BO70,0)</f>
        <v>0</v>
      </c>
      <c r="M797" s="281">
        <f>ROUND(BO71,0)</f>
        <v>140080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">
      <c r="A798" s="209" t="str">
        <f>RIGHT($C$84,3)&amp;"*"&amp;RIGHT($C$83,4)&amp;"*"&amp;BP$55&amp;"*"&amp;"A"</f>
        <v>are*140*8630*A</v>
      </c>
      <c r="B798" s="281"/>
      <c r="C798" s="284">
        <f>ROUND(BP60,2)</f>
        <v>3</v>
      </c>
      <c r="D798" s="281">
        <f>ROUND(BP61,0)</f>
        <v>220424</v>
      </c>
      <c r="E798" s="281">
        <f>ROUND(BP62,0)</f>
        <v>50835</v>
      </c>
      <c r="F798" s="281">
        <f>ROUND(BP63,0)</f>
        <v>30</v>
      </c>
      <c r="G798" s="281">
        <f>ROUND(BP64,0)</f>
        <v>5490</v>
      </c>
      <c r="H798" s="281">
        <f>ROUND(BP65,0)</f>
        <v>0</v>
      </c>
      <c r="I798" s="281">
        <f>ROUND(BP66,0)</f>
        <v>23250</v>
      </c>
      <c r="J798" s="281">
        <f>ROUND(BP67,0)</f>
        <v>0</v>
      </c>
      <c r="K798" s="281">
        <f>ROUND(BP68,0)</f>
        <v>0</v>
      </c>
      <c r="L798" s="281">
        <f>ROUND(BP70,0)</f>
        <v>0</v>
      </c>
      <c r="M798" s="281">
        <f>ROUND(BP71,0)</f>
        <v>437103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">
      <c r="A799" s="209" t="str">
        <f>RIGHT($C$84,3)&amp;"*"&amp;RIGHT($C$83,4)&amp;"*"&amp;BQ$55&amp;"*"&amp;"A"</f>
        <v>are*140*8640*A</v>
      </c>
      <c r="B799" s="281"/>
      <c r="C799" s="284">
        <f>ROUND(BQ60,2)</f>
        <v>0</v>
      </c>
      <c r="D799" s="281">
        <f>ROUND(BQ61,0)</f>
        <v>0</v>
      </c>
      <c r="E799" s="281">
        <f>ROUND(BQ62,0)</f>
        <v>0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>
        <f>ROUND(BQ67,0)</f>
        <v>0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">
      <c r="A800" s="209" t="str">
        <f>RIGHT($C$84,3)&amp;"*"&amp;RIGHT($C$83,4)&amp;"*"&amp;BR$55&amp;"*"&amp;"A"</f>
        <v>are*140*8650*A</v>
      </c>
      <c r="B800" s="281"/>
      <c r="C800" s="284">
        <f>ROUND(BR60,2)</f>
        <v>5.39</v>
      </c>
      <c r="D800" s="281">
        <f>ROUND(BR61,0)</f>
        <v>452102</v>
      </c>
      <c r="E800" s="281">
        <f>ROUND(BR62,0)</f>
        <v>104266</v>
      </c>
      <c r="F800" s="281">
        <f>ROUND(BR63,0)</f>
        <v>17177</v>
      </c>
      <c r="G800" s="281">
        <f>ROUND(BR64,0)</f>
        <v>6236</v>
      </c>
      <c r="H800" s="281">
        <f>ROUND(BR65,0)</f>
        <v>0</v>
      </c>
      <c r="I800" s="281">
        <f>ROUND(BR66,0)</f>
        <v>181685</v>
      </c>
      <c r="J800" s="281">
        <f>ROUND(BR67,0)</f>
        <v>87421</v>
      </c>
      <c r="K800" s="281">
        <f>ROUND(BR68,0)</f>
        <v>0</v>
      </c>
      <c r="L800" s="281">
        <f>ROUND(BR70,0)</f>
        <v>0</v>
      </c>
      <c r="M800" s="281">
        <f>ROUND(BR71,0)</f>
        <v>866866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">
      <c r="A801" s="209" t="str">
        <f>RIGHT($C$84,3)&amp;"*"&amp;RIGHT($C$83,4)&amp;"*"&amp;BS$55&amp;"*"&amp;"A"</f>
        <v>are*140*8660*A</v>
      </c>
      <c r="B801" s="281"/>
      <c r="C801" s="284">
        <f>ROUND(BS60,2)</f>
        <v>0.4</v>
      </c>
      <c r="D801" s="281">
        <f>ROUND(BS61,0)</f>
        <v>8975</v>
      </c>
      <c r="E801" s="281">
        <f>ROUND(BS62,0)</f>
        <v>2070</v>
      </c>
      <c r="F801" s="281">
        <f>ROUND(BS63,0)</f>
        <v>0</v>
      </c>
      <c r="G801" s="281">
        <f>ROUND(BS64,0)</f>
        <v>22159</v>
      </c>
      <c r="H801" s="281">
        <f>ROUND(BS65,0)</f>
        <v>0</v>
      </c>
      <c r="I801" s="281">
        <f>ROUND(BS66,0)</f>
        <v>1377</v>
      </c>
      <c r="J801" s="281">
        <f>ROUND(BS67,0)</f>
        <v>0</v>
      </c>
      <c r="K801" s="281">
        <f>ROUND(BS68,0)</f>
        <v>0</v>
      </c>
      <c r="L801" s="281">
        <f>ROUND(BS70,0)</f>
        <v>0</v>
      </c>
      <c r="M801" s="281">
        <f>ROUND(BS71,0)</f>
        <v>34581</v>
      </c>
      <c r="N801" s="281"/>
      <c r="O801" s="281"/>
      <c r="P801" s="281">
        <f>IF(BS77&gt;0,ROUND(BS77,0),0)</f>
        <v>0</v>
      </c>
      <c r="Q801" s="281">
        <f>IF(BS78&gt;0,ROUND(BS78,0),0)</f>
        <v>0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">
      <c r="A802" s="209" t="str">
        <f>RIGHT($C$84,3)&amp;"*"&amp;RIGHT($C$83,4)&amp;"*"&amp;BT$55&amp;"*"&amp;"A"</f>
        <v>are*140*8670*A</v>
      </c>
      <c r="B802" s="281"/>
      <c r="C802" s="284">
        <f>ROUND(BT60,2)</f>
        <v>0</v>
      </c>
      <c r="D802" s="281">
        <f>ROUND(BT61,0)</f>
        <v>0</v>
      </c>
      <c r="E802" s="281">
        <f>ROUND(BT62,0)</f>
        <v>0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>
        <f>ROUND(BT67,0)</f>
        <v>0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">
      <c r="A803" s="209" t="str">
        <f>RIGHT($C$84,3)&amp;"*"&amp;RIGHT($C$83,4)&amp;"*"&amp;BU$55&amp;"*"&amp;"A"</f>
        <v>are*140*8680*A</v>
      </c>
      <c r="B803" s="281"/>
      <c r="C803" s="284">
        <f>ROUND(BU60,2)</f>
        <v>0</v>
      </c>
      <c r="D803" s="281">
        <f>ROUND(BU61,0)</f>
        <v>0</v>
      </c>
      <c r="E803" s="281">
        <f>ROUND(BU62,0)</f>
        <v>0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>
        <f>ROUND(BU67,0)</f>
        <v>0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">
      <c r="A804" s="209" t="str">
        <f>RIGHT($C$84,3)&amp;"*"&amp;RIGHT($C$83,4)&amp;"*"&amp;BV$55&amp;"*"&amp;"A"</f>
        <v>are*140*8690*A</v>
      </c>
      <c r="B804" s="281"/>
      <c r="C804" s="284">
        <f>ROUND(BV60,2)</f>
        <v>16.68</v>
      </c>
      <c r="D804" s="281">
        <f>ROUND(BV61,0)</f>
        <v>994388</v>
      </c>
      <c r="E804" s="281">
        <f>ROUND(BV62,0)</f>
        <v>229330</v>
      </c>
      <c r="F804" s="281">
        <f>ROUND(BV63,0)</f>
        <v>46080</v>
      </c>
      <c r="G804" s="281">
        <f>ROUND(BV64,0)</f>
        <v>8158</v>
      </c>
      <c r="H804" s="281">
        <f>ROUND(BV65,0)</f>
        <v>0</v>
      </c>
      <c r="I804" s="281">
        <f>ROUND(BV66,0)</f>
        <v>623828</v>
      </c>
      <c r="J804" s="281">
        <f>ROUND(BV67,0)</f>
        <v>9051</v>
      </c>
      <c r="K804" s="281">
        <f>ROUND(BV68,0)</f>
        <v>0</v>
      </c>
      <c r="L804" s="281">
        <f>ROUND(BV70,0)</f>
        <v>0</v>
      </c>
      <c r="M804" s="281">
        <f>ROUND(BV71,0)</f>
        <v>1911372</v>
      </c>
      <c r="N804" s="281"/>
      <c r="O804" s="281"/>
      <c r="P804" s="281">
        <f>IF(BV77&gt;0,ROUND(BV77,0),0)</f>
        <v>0</v>
      </c>
      <c r="Q804" s="281">
        <f>IF(BV78&gt;0,ROUND(BV78,0),0)</f>
        <v>408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">
      <c r="A805" s="209" t="str">
        <f>RIGHT($C$84,3)&amp;"*"&amp;RIGHT($C$83,4)&amp;"*"&amp;BW$55&amp;"*"&amp;"A"</f>
        <v>are*140*8700*A</v>
      </c>
      <c r="B805" s="281"/>
      <c r="C805" s="284">
        <f>ROUND(BW60,2)</f>
        <v>3.45</v>
      </c>
      <c r="D805" s="281">
        <f>ROUND(BW61,0)</f>
        <v>511659</v>
      </c>
      <c r="E805" s="281">
        <f>ROUND(BW62,0)</f>
        <v>118001</v>
      </c>
      <c r="F805" s="281">
        <f>ROUND(BW63,0)</f>
        <v>15795</v>
      </c>
      <c r="G805" s="281">
        <f>ROUND(BW64,0)</f>
        <v>1819</v>
      </c>
      <c r="H805" s="281">
        <f>ROUND(BW65,0)</f>
        <v>0</v>
      </c>
      <c r="I805" s="281">
        <f>ROUND(BW66,0)</f>
        <v>13058</v>
      </c>
      <c r="J805" s="281">
        <f>ROUND(BW67,0)</f>
        <v>1383</v>
      </c>
      <c r="K805" s="281">
        <f>ROUND(BW68,0)</f>
        <v>0</v>
      </c>
      <c r="L805" s="281">
        <f>ROUND(BW70,0)</f>
        <v>0</v>
      </c>
      <c r="M805" s="281">
        <f>ROUND(BW71,0)</f>
        <v>708856</v>
      </c>
      <c r="N805" s="281"/>
      <c r="O805" s="281"/>
      <c r="P805" s="281">
        <f>IF(BW77&gt;0,ROUND(BW77,0),0)</f>
        <v>0</v>
      </c>
      <c r="Q805" s="281">
        <f>IF(BW78&gt;0,ROUND(BW78,0),0)</f>
        <v>0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">
      <c r="A806" s="209" t="str">
        <f>RIGHT($C$84,3)&amp;"*"&amp;RIGHT($C$83,4)&amp;"*"&amp;BX$55&amp;"*"&amp;"A"</f>
        <v>are*140*8710*A</v>
      </c>
      <c r="B806" s="281"/>
      <c r="C806" s="284">
        <f>ROUND(BX60,2)</f>
        <v>6.07</v>
      </c>
      <c r="D806" s="281">
        <f>ROUND(BX61,0)</f>
        <v>530672</v>
      </c>
      <c r="E806" s="281">
        <f>ROUND(BX62,0)</f>
        <v>122386</v>
      </c>
      <c r="F806" s="281">
        <f>ROUND(BX63,0)</f>
        <v>158</v>
      </c>
      <c r="G806" s="281">
        <f>ROUND(BX64,0)</f>
        <v>2108</v>
      </c>
      <c r="H806" s="281">
        <f>ROUND(BX65,0)</f>
        <v>0</v>
      </c>
      <c r="I806" s="281">
        <f>ROUND(BX66,0)</f>
        <v>347196</v>
      </c>
      <c r="J806" s="281">
        <f>ROUND(BX67,0)</f>
        <v>1149</v>
      </c>
      <c r="K806" s="281">
        <f>ROUND(BX68,0)</f>
        <v>0</v>
      </c>
      <c r="L806" s="281">
        <f>ROUND(BX70,0)</f>
        <v>0</v>
      </c>
      <c r="M806" s="281">
        <f>ROUND(BX71,0)</f>
        <v>1008545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">
      <c r="A807" s="209" t="str">
        <f>RIGHT($C$84,3)&amp;"*"&amp;RIGHT($C$83,4)&amp;"*"&amp;BY$55&amp;"*"&amp;"A"</f>
        <v>are*140*8720*A</v>
      </c>
      <c r="B807" s="281"/>
      <c r="C807" s="284">
        <f>ROUND(BY60,2)</f>
        <v>8.8000000000000007</v>
      </c>
      <c r="D807" s="281">
        <f>ROUND(BY61,0)</f>
        <v>1055443</v>
      </c>
      <c r="E807" s="281">
        <f>ROUND(BY62,0)</f>
        <v>243411</v>
      </c>
      <c r="F807" s="281">
        <f>ROUND(BY63,0)</f>
        <v>30109</v>
      </c>
      <c r="G807" s="281">
        <f>ROUND(BY64,0)</f>
        <v>11301</v>
      </c>
      <c r="H807" s="281">
        <f>ROUND(BY65,0)</f>
        <v>0</v>
      </c>
      <c r="I807" s="281">
        <f>ROUND(BY66,0)</f>
        <v>232463</v>
      </c>
      <c r="J807" s="281">
        <f>ROUND(BY67,0)</f>
        <v>14398</v>
      </c>
      <c r="K807" s="281">
        <f>ROUND(BY68,0)</f>
        <v>0</v>
      </c>
      <c r="L807" s="281">
        <f>ROUND(BY70,0)</f>
        <v>0</v>
      </c>
      <c r="M807" s="281">
        <f>ROUND(BY71,0)</f>
        <v>1593810</v>
      </c>
      <c r="N807" s="281"/>
      <c r="O807" s="281"/>
      <c r="P807" s="281">
        <f>IF(BY77&gt;0,ROUND(BY77,0),0)</f>
        <v>0</v>
      </c>
      <c r="Q807" s="281">
        <f>IF(BY78&gt;0,ROUND(BY78,0),0)</f>
        <v>732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">
      <c r="A808" s="209" t="str">
        <f>RIGHT($C$84,3)&amp;"*"&amp;RIGHT($C$83,4)&amp;"*"&amp;BZ$55&amp;"*"&amp;"A"</f>
        <v>are*140*8730*A</v>
      </c>
      <c r="B808" s="281"/>
      <c r="C808" s="284">
        <f>ROUND(BZ60,2)</f>
        <v>0</v>
      </c>
      <c r="D808" s="281">
        <f>ROUND(BZ61,0)</f>
        <v>0</v>
      </c>
      <c r="E808" s="281">
        <f>ROUND(BZ62,0)</f>
        <v>0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>
        <f>ROUND(BZ67,0)</f>
        <v>0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">
      <c r="A809" s="209" t="str">
        <f>RIGHT($C$84,3)&amp;"*"&amp;RIGHT($C$83,4)&amp;"*"&amp;CA$55&amp;"*"&amp;"A"</f>
        <v>are*140*8740*A</v>
      </c>
      <c r="B809" s="281"/>
      <c r="C809" s="284">
        <f>ROUND(CA60,2)</f>
        <v>0</v>
      </c>
      <c r="D809" s="281">
        <f>ROUND(CA61,0)</f>
        <v>0</v>
      </c>
      <c r="E809" s="281">
        <f>ROUND(CA62,0)</f>
        <v>0</v>
      </c>
      <c r="F809" s="281">
        <f>ROUND(CA63,0)</f>
        <v>0</v>
      </c>
      <c r="G809" s="281">
        <f>ROUND(CA64,0)</f>
        <v>0</v>
      </c>
      <c r="H809" s="281">
        <f>ROUND(CA65,0)</f>
        <v>0</v>
      </c>
      <c r="I809" s="281">
        <f>ROUND(CA66,0)</f>
        <v>0</v>
      </c>
      <c r="J809" s="281">
        <f>ROUND(CA67,0)</f>
        <v>0</v>
      </c>
      <c r="K809" s="281">
        <f>ROUND(CA68,0)</f>
        <v>0</v>
      </c>
      <c r="L809" s="281">
        <f>ROUND(CA70,0)</f>
        <v>0</v>
      </c>
      <c r="M809" s="281">
        <f>ROUND(CA71,0)</f>
        <v>0</v>
      </c>
      <c r="N809" s="281"/>
      <c r="O809" s="281"/>
      <c r="P809" s="281">
        <f>IF(CA77&gt;0,ROUND(CA77,0),0)</f>
        <v>0</v>
      </c>
      <c r="Q809" s="281">
        <f>IF(CA78&gt;0,ROUND(CA78,0),0)</f>
        <v>0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">
      <c r="A810" s="209" t="str">
        <f>RIGHT($C$84,3)&amp;"*"&amp;RIGHT($C$83,4)&amp;"*"&amp;CB$55&amp;"*"&amp;"A"</f>
        <v>are*140*8770*A</v>
      </c>
      <c r="B810" s="281"/>
      <c r="C810" s="284">
        <f>ROUND(CB60,2)</f>
        <v>0</v>
      </c>
      <c r="D810" s="281">
        <f>ROUND(CB61,0)</f>
        <v>0</v>
      </c>
      <c r="E810" s="281">
        <f>ROUND(CB62,0)</f>
        <v>0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>
        <f>ROUND(CB67,0)</f>
        <v>0</v>
      </c>
      <c r="K810" s="281">
        <f>ROUND(CB68,0)</f>
        <v>0</v>
      </c>
      <c r="L810" s="281">
        <f>ROUND(CB70,0)</f>
        <v>0</v>
      </c>
      <c r="M810" s="281">
        <f>ROUND(CB71,0)</f>
        <v>0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">
      <c r="A811" s="209" t="str">
        <f>RIGHT($C$84,3)&amp;"*"&amp;RIGHT($C$83,4)&amp;"*"&amp;CC$55&amp;"*"&amp;"A"</f>
        <v>are*140*8790*A</v>
      </c>
      <c r="B811" s="281"/>
      <c r="C811" s="284">
        <f>ROUND(CC60,2)</f>
        <v>0</v>
      </c>
      <c r="D811" s="281">
        <f>ROUND(CC61,0)</f>
        <v>0</v>
      </c>
      <c r="E811" s="281">
        <f>ROUND(CC62,0)</f>
        <v>0</v>
      </c>
      <c r="F811" s="281">
        <f>ROUND(CC63,0)</f>
        <v>0</v>
      </c>
      <c r="G811" s="281">
        <f>ROUND(CC64,0)</f>
        <v>0</v>
      </c>
      <c r="H811" s="281">
        <f>ROUND(CC65,0)</f>
        <v>0</v>
      </c>
      <c r="I811" s="281">
        <f>ROUND(CC66,0)</f>
        <v>0</v>
      </c>
      <c r="J811" s="281">
        <f>ROUND(CC67,0)</f>
        <v>0</v>
      </c>
      <c r="K811" s="281">
        <f>ROUND(CC68,0)</f>
        <v>0</v>
      </c>
      <c r="L811" s="281">
        <f>ROUND(CC70,0)</f>
        <v>0</v>
      </c>
      <c r="M811" s="281">
        <f>ROUND(CC71,0)</f>
        <v>0</v>
      </c>
      <c r="N811" s="281"/>
      <c r="O811" s="281"/>
      <c r="P811" s="281">
        <f>IF(CC77&gt;0,ROUND(CC77,0),0)</f>
        <v>0</v>
      </c>
      <c r="Q811" s="281">
        <f>IF(CC78&gt;0,ROUND(CC78,0),0)</f>
        <v>0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">
      <c r="A812" s="209" t="str">
        <f>RIGHT($C$84,3)&amp;"*"&amp;RIGHT($C$83,4)&amp;"*"&amp;"9000"&amp;"*"&amp;"A"</f>
        <v>are*140*9000*A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0</v>
      </c>
      <c r="V812" s="180">
        <f>ROUND(CD69,0)</f>
        <v>0</v>
      </c>
      <c r="W812" s="180">
        <f>ROUND(CD71,0)</f>
        <v>0</v>
      </c>
      <c r="X812" s="281">
        <f>ROUND(CE73,0)</f>
        <v>19042561</v>
      </c>
      <c r="Y812" s="281">
        <f>ROUND(C132,0)</f>
        <v>0</v>
      </c>
      <c r="Z812" s="281"/>
    </row>
    <row r="814" spans="1:26" ht="12.65" customHeight="1" x14ac:dyDescent="0.3">
      <c r="B814" s="199" t="s">
        <v>1004</v>
      </c>
      <c r="C814" s="263">
        <f t="shared" ref="C814:K814" si="22">SUM(C733:C812)</f>
        <v>499.01</v>
      </c>
      <c r="D814" s="180">
        <f t="shared" si="22"/>
        <v>45520243</v>
      </c>
      <c r="E814" s="180">
        <f t="shared" si="22"/>
        <v>10498082</v>
      </c>
      <c r="F814" s="180">
        <f t="shared" si="22"/>
        <v>1177565</v>
      </c>
      <c r="G814" s="180">
        <f t="shared" si="22"/>
        <v>10836660</v>
      </c>
      <c r="H814" s="180">
        <f t="shared" si="22"/>
        <v>1048528</v>
      </c>
      <c r="I814" s="180">
        <f t="shared" si="22"/>
        <v>11961824</v>
      </c>
      <c r="J814" s="180">
        <f t="shared" si="22"/>
        <v>4240486</v>
      </c>
      <c r="K814" s="180">
        <f t="shared" si="22"/>
        <v>1364342</v>
      </c>
      <c r="L814" s="180">
        <f>SUM(L733:L812)+SUM(U733:U812)</f>
        <v>0</v>
      </c>
      <c r="M814" s="180">
        <f>SUM(M733:M812)+SUM(W733:W812)</f>
        <v>89284510</v>
      </c>
      <c r="N814" s="180">
        <f t="shared" ref="N814:Z814" si="23">SUM(N733:N812)</f>
        <v>73132</v>
      </c>
      <c r="O814" s="180">
        <f t="shared" si="23"/>
        <v>141259067</v>
      </c>
      <c r="P814" s="180">
        <f t="shared" si="23"/>
        <v>10916</v>
      </c>
      <c r="Q814" s="180">
        <f t="shared" si="23"/>
        <v>30607</v>
      </c>
      <c r="R814" s="180">
        <f t="shared" si="23"/>
        <v>343994</v>
      </c>
      <c r="S814" s="180">
        <f t="shared" si="23"/>
        <v>98</v>
      </c>
      <c r="T814" s="263">
        <f t="shared" si="23"/>
        <v>0</v>
      </c>
      <c r="U814" s="180">
        <f t="shared" si="23"/>
        <v>0</v>
      </c>
      <c r="V814" s="180">
        <f t="shared" si="23"/>
        <v>0</v>
      </c>
      <c r="W814" s="180">
        <f t="shared" si="23"/>
        <v>0</v>
      </c>
      <c r="X814" s="180">
        <f t="shared" si="23"/>
        <v>19042561</v>
      </c>
      <c r="Y814" s="180">
        <f t="shared" si="23"/>
        <v>0</v>
      </c>
      <c r="Z814" s="180">
        <f t="shared" si="23"/>
        <v>24931309</v>
      </c>
    </row>
    <row r="815" spans="1:26" ht="12.65" customHeight="1" x14ac:dyDescent="0.3">
      <c r="B815" s="180" t="s">
        <v>1005</v>
      </c>
      <c r="C815" s="263">
        <f>CE60</f>
        <v>499.00999999999993</v>
      </c>
      <c r="D815" s="180">
        <f>CE61</f>
        <v>45520243</v>
      </c>
      <c r="E815" s="180">
        <f>CE62</f>
        <v>10498082</v>
      </c>
      <c r="F815" s="180">
        <f>CE63</f>
        <v>1177565</v>
      </c>
      <c r="G815" s="180">
        <f>CE64</f>
        <v>10836660</v>
      </c>
      <c r="H815" s="240">
        <f>CE65</f>
        <v>1048528</v>
      </c>
      <c r="I815" s="240">
        <f>CE66</f>
        <v>11961824</v>
      </c>
      <c r="J815" s="240">
        <f>CE67</f>
        <v>4240486</v>
      </c>
      <c r="K815" s="240">
        <f>CE68</f>
        <v>1364342</v>
      </c>
      <c r="L815" s="240">
        <f>CE70</f>
        <v>0</v>
      </c>
      <c r="M815" s="240">
        <f>CE71</f>
        <v>89284510</v>
      </c>
      <c r="N815" s="180">
        <f>CE76</f>
        <v>116602</v>
      </c>
      <c r="O815" s="180">
        <f>CE74</f>
        <v>141259067</v>
      </c>
      <c r="P815" s="180">
        <f>CE77</f>
        <v>10916</v>
      </c>
      <c r="Q815" s="180">
        <f>CE78</f>
        <v>30607</v>
      </c>
      <c r="R815" s="180">
        <f>CE79</f>
        <v>343994</v>
      </c>
      <c r="S815" s="180">
        <f>CE80</f>
        <v>96.84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24931309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45520243</v>
      </c>
      <c r="G816" s="240">
        <f>C379</f>
        <v>10498081</v>
      </c>
      <c r="H816" s="240">
        <f>C380</f>
        <v>1177563</v>
      </c>
      <c r="I816" s="240">
        <f>C381</f>
        <v>10836660</v>
      </c>
      <c r="J816" s="240">
        <f>C382</f>
        <v>1048528</v>
      </c>
      <c r="K816" s="240">
        <f>C383</f>
        <v>11961824</v>
      </c>
      <c r="L816" s="240">
        <f>C384+C385+C386+C388</f>
        <v>6758795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Kittitas Valley Healthcare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H-140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603 South Chestnut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603 South Chestnut Street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Ellensburg, WA 98926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H-140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Kittitas Valley Healthcare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Kittitas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Julie A. Petersen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Dale Scott Olander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Erica Libenow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 962-9841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 962-7351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935</v>
      </c>
      <c r="G23" s="21">
        <f>data!D111</f>
        <v>3182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9</v>
      </c>
      <c r="G24" s="21">
        <f>data!D112</f>
        <v>74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280</v>
      </c>
      <c r="G26" s="13">
        <f>data!D114</f>
        <v>444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6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77481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Kittitas Valley Healthcare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431</v>
      </c>
      <c r="C7" s="48">
        <f>data!B139</f>
        <v>1809</v>
      </c>
      <c r="D7" s="48">
        <f>data!B140</f>
        <v>84634</v>
      </c>
      <c r="E7" s="48">
        <f>data!B141</f>
        <v>11029165</v>
      </c>
      <c r="F7" s="48">
        <f>data!B142</f>
        <v>70120901</v>
      </c>
      <c r="G7" s="48">
        <f>data!B141+data!B142</f>
        <v>81150066</v>
      </c>
    </row>
    <row r="8" spans="1:13" ht="20.149999999999999" customHeight="1" x14ac:dyDescent="0.35">
      <c r="A8" s="23" t="s">
        <v>297</v>
      </c>
      <c r="B8" s="48">
        <f>data!C138</f>
        <v>218</v>
      </c>
      <c r="C8" s="48">
        <f>data!C139</f>
        <v>464</v>
      </c>
      <c r="D8" s="48">
        <f>data!C140</f>
        <v>40720</v>
      </c>
      <c r="E8" s="48">
        <f>data!C141</f>
        <v>5640646</v>
      </c>
      <c r="F8" s="48">
        <f>data!C142</f>
        <v>31430277</v>
      </c>
      <c r="G8" s="48">
        <f>data!C141+data!C142</f>
        <v>37070923</v>
      </c>
    </row>
    <row r="9" spans="1:13" ht="20.149999999999999" customHeight="1" x14ac:dyDescent="0.35">
      <c r="A9" s="23" t="s">
        <v>1058</v>
      </c>
      <c r="B9" s="48">
        <f>data!D138</f>
        <v>286</v>
      </c>
      <c r="C9" s="48">
        <f>data!D139</f>
        <v>1427</v>
      </c>
      <c r="D9" s="48">
        <f>data!D140</f>
        <v>91935</v>
      </c>
      <c r="E9" s="48">
        <f>data!D141</f>
        <v>9387746</v>
      </c>
      <c r="F9" s="48">
        <f>data!D142</f>
        <v>70943888</v>
      </c>
      <c r="G9" s="48">
        <f>data!D141+data!D142</f>
        <v>80331634</v>
      </c>
    </row>
    <row r="10" spans="1:13" ht="20.149999999999999" customHeight="1" x14ac:dyDescent="0.35">
      <c r="A10" s="111" t="s">
        <v>203</v>
      </c>
      <c r="B10" s="48">
        <f>data!E138</f>
        <v>935</v>
      </c>
      <c r="C10" s="48">
        <f>data!E139</f>
        <v>3700</v>
      </c>
      <c r="D10" s="48">
        <f>data!E140</f>
        <v>217289</v>
      </c>
      <c r="E10" s="48">
        <f>data!E141</f>
        <v>26057557</v>
      </c>
      <c r="F10" s="48">
        <f>data!E142</f>
        <v>172495066</v>
      </c>
      <c r="G10" s="48">
        <f>data!E141+data!E142</f>
        <v>198552623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9</v>
      </c>
      <c r="C16" s="48">
        <f>data!B145</f>
        <v>74</v>
      </c>
      <c r="D16" s="48">
        <f>data!B146</f>
        <v>0</v>
      </c>
      <c r="E16" s="48">
        <f>data!B147</f>
        <v>77481</v>
      </c>
      <c r="F16" s="48">
        <f>data!B148</f>
        <v>0</v>
      </c>
      <c r="G16" s="48">
        <f>data!B147+data!B148</f>
        <v>77481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9</v>
      </c>
      <c r="C19" s="48">
        <f>data!E145</f>
        <v>74</v>
      </c>
      <c r="D19" s="48">
        <f>data!E146</f>
        <v>0</v>
      </c>
      <c r="E19" s="48">
        <f>data!E147</f>
        <v>77481</v>
      </c>
      <c r="F19" s="48">
        <f>data!E148</f>
        <v>0</v>
      </c>
      <c r="G19" s="48">
        <f>data!E147+data!E148</f>
        <v>77481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4696899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4028279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Kittitas Valley Healthcare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3355301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56225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321603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5187272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58679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3253275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134395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19231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12385981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677245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585768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1263013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476648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300733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777381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174610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730191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904801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618983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618983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Kittitas Valley Healthcare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2808860</v>
      </c>
      <c r="D7" s="21">
        <f>data!C195</f>
        <v>0</v>
      </c>
      <c r="E7" s="21">
        <f>data!D195</f>
        <v>0</v>
      </c>
      <c r="F7" s="21">
        <f>data!E195</f>
        <v>2808860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429006</v>
      </c>
      <c r="D8" s="21">
        <f>data!C196</f>
        <v>0</v>
      </c>
      <c r="E8" s="21">
        <f>data!D196</f>
        <v>0</v>
      </c>
      <c r="F8" s="21">
        <f>data!E196</f>
        <v>429006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46640888</v>
      </c>
      <c r="D9" s="21">
        <f>data!C197</f>
        <v>1133428</v>
      </c>
      <c r="E9" s="21">
        <f>data!D197</f>
        <v>0</v>
      </c>
      <c r="F9" s="21">
        <f>data!E197</f>
        <v>47774316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6963975</v>
      </c>
      <c r="D10" s="21">
        <f>data!C198</f>
        <v>0</v>
      </c>
      <c r="E10" s="21">
        <f>data!D198</f>
        <v>0</v>
      </c>
      <c r="F10" s="21">
        <f>data!E198</f>
        <v>6963975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32524011</v>
      </c>
      <c r="D12" s="21">
        <f>data!C200</f>
        <v>2334590</v>
      </c>
      <c r="E12" s="21">
        <f>data!D200</f>
        <v>2113417</v>
      </c>
      <c r="F12" s="21">
        <f>data!E200</f>
        <v>32745184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286545</v>
      </c>
      <c r="D15" s="21">
        <f>data!C203</f>
        <v>1898077</v>
      </c>
      <c r="E15" s="21">
        <f>data!D203</f>
        <v>532347</v>
      </c>
      <c r="F15" s="21">
        <f>data!E203</f>
        <v>1652275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89653285</v>
      </c>
      <c r="D16" s="21">
        <f>data!C204</f>
        <v>5366095</v>
      </c>
      <c r="E16" s="21">
        <f>data!D204</f>
        <v>2645764</v>
      </c>
      <c r="F16" s="21">
        <f>data!E204</f>
        <v>92373616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430621</v>
      </c>
      <c r="D24" s="21">
        <f>data!C209</f>
        <v>4330</v>
      </c>
      <c r="E24" s="21">
        <f>data!D209</f>
        <v>0</v>
      </c>
      <c r="F24" s="21">
        <f>data!E209</f>
        <v>434951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18462371</v>
      </c>
      <c r="D25" s="21">
        <f>data!C210</f>
        <v>1828438</v>
      </c>
      <c r="E25" s="21">
        <f>data!D210</f>
        <v>0</v>
      </c>
      <c r="F25" s="21">
        <f>data!E210</f>
        <v>20290809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4114613</v>
      </c>
      <c r="D26" s="21">
        <f>data!C211</f>
        <v>318490</v>
      </c>
      <c r="E26" s="21">
        <f>data!D211</f>
        <v>0</v>
      </c>
      <c r="F26" s="21">
        <f>data!E211</f>
        <v>4433103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23835108</v>
      </c>
      <c r="D28" s="21">
        <f>data!C213</f>
        <v>2360007</v>
      </c>
      <c r="E28" s="21">
        <f>data!D213</f>
        <v>2099737</v>
      </c>
      <c r="F28" s="21">
        <f>data!E213</f>
        <v>24095378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46842713</v>
      </c>
      <c r="D32" s="21">
        <f>data!C217</f>
        <v>4511265</v>
      </c>
      <c r="E32" s="21">
        <f>data!D217</f>
        <v>2099737</v>
      </c>
      <c r="F32" s="21">
        <f>data!E217</f>
        <v>49254241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Kittitas Valley Healthcare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5248503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40567106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19485044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18929787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78981937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3704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206511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1075143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1281654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3052375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88564469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Kittitas Valley Healthcare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25190022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35722017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24319514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360237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2482366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818867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958166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41212161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35766314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35766314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2808860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429006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47774316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6963975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32745184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1652275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92373616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49284241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43089375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120067850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Kittitas Valley Healthcare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2613363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4557805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2347000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1719552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11237720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39519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2817513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2857032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525770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18911799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19437569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1719552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17718017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88255081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88255081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120067850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Kittitas Valley Healthcare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26135038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172495066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198630104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5248503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78981937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1281654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3052375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88564469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110065635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4307325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4307325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114372960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50820948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12385981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917874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12099940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1185983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14030879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4416659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1263014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777381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904801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618983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823407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100245850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14127110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4343771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18470881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18470881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37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Kittitas Valley Healthcare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857</v>
      </c>
      <c r="D9" s="14">
        <f>data!D59</f>
        <v>0</v>
      </c>
      <c r="E9" s="14">
        <f>data!E59</f>
        <v>2325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13.9</v>
      </c>
      <c r="D10" s="26">
        <f>data!D60</f>
        <v>0</v>
      </c>
      <c r="E10" s="26">
        <f>data!E60</f>
        <v>23.56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1756878</v>
      </c>
      <c r="D11" s="14">
        <f>data!D61</f>
        <v>0</v>
      </c>
      <c r="E11" s="14">
        <f>data!E61</f>
        <v>1945606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428183</v>
      </c>
      <c r="D12" s="14">
        <f>data!D62</f>
        <v>0</v>
      </c>
      <c r="E12" s="14">
        <f>data!E62</f>
        <v>474179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124108</v>
      </c>
      <c r="D14" s="14">
        <f>data!D64</f>
        <v>0</v>
      </c>
      <c r="E14" s="14">
        <f>data!E64</f>
        <v>186497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4425</v>
      </c>
      <c r="D16" s="14">
        <f>data!D66</f>
        <v>0</v>
      </c>
      <c r="E16" s="14">
        <f>data!E66</f>
        <v>10663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66542</v>
      </c>
      <c r="D17" s="14">
        <f>data!D67</f>
        <v>0</v>
      </c>
      <c r="E17" s="14">
        <f>data!E67</f>
        <v>239560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12687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1110</v>
      </c>
      <c r="D19" s="14">
        <f>data!D69</f>
        <v>0</v>
      </c>
      <c r="E19" s="14">
        <f>data!E69</f>
        <v>2153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2381246</v>
      </c>
      <c r="D21" s="14">
        <f>data!D71</f>
        <v>0</v>
      </c>
      <c r="E21" s="14">
        <f>data!E71</f>
        <v>2871345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948616</v>
      </c>
      <c r="D23" s="48">
        <f>+data!M669</f>
        <v>0</v>
      </c>
      <c r="E23" s="48">
        <f>+data!M670</f>
        <v>2306987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2586693</v>
      </c>
      <c r="D24" s="14">
        <f>data!D73</f>
        <v>0</v>
      </c>
      <c r="E24" s="14">
        <f>data!E73</f>
        <v>3425195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497078</v>
      </c>
      <c r="D25" s="14">
        <f>data!D74</f>
        <v>0</v>
      </c>
      <c r="E25" s="14">
        <f>data!E74</f>
        <v>2672721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3083771</v>
      </c>
      <c r="D26" s="14">
        <f>data!D75</f>
        <v>0</v>
      </c>
      <c r="E26" s="14">
        <f>data!E75</f>
        <v>6097916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2897</v>
      </c>
      <c r="D28" s="14">
        <f>data!D76</f>
        <v>0</v>
      </c>
      <c r="E28" s="14">
        <f>data!E76</f>
        <v>13113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2604</v>
      </c>
      <c r="D29" s="14">
        <f>data!D77</f>
        <v>0</v>
      </c>
      <c r="E29" s="14">
        <f>data!E77</f>
        <v>8366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759</v>
      </c>
      <c r="D30" s="14">
        <f>data!D78</f>
        <v>0</v>
      </c>
      <c r="E30" s="14">
        <f>data!E78</f>
        <v>3436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21528</v>
      </c>
      <c r="D31" s="14">
        <f>data!D79</f>
        <v>0</v>
      </c>
      <c r="E31" s="14">
        <f>data!E79</f>
        <v>54280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10.23</v>
      </c>
      <c r="D32" s="84">
        <f>data!D80</f>
        <v>0</v>
      </c>
      <c r="E32" s="84">
        <f>data!E80</f>
        <v>25.669999999999998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Kittitas Valley Healthcare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444</v>
      </c>
      <c r="D41" s="14">
        <f>data!K59</f>
        <v>0</v>
      </c>
      <c r="E41" s="14">
        <f>data!L59</f>
        <v>74</v>
      </c>
      <c r="F41" s="14">
        <f>data!M59</f>
        <v>0</v>
      </c>
      <c r="G41" s="14">
        <f>data!N59</f>
        <v>0</v>
      </c>
      <c r="H41" s="14">
        <f>data!O59</f>
        <v>280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12.6</v>
      </c>
      <c r="I42" s="26">
        <f>data!P60</f>
        <v>28.2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202583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1276270</v>
      </c>
      <c r="I43" s="14">
        <f>data!P61</f>
        <v>2823856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49373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311050</v>
      </c>
      <c r="I44" s="14">
        <f>data!P62</f>
        <v>688225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500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107490</v>
      </c>
      <c r="I46" s="14">
        <f>data!P64</f>
        <v>3247655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2287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7221</v>
      </c>
      <c r="I48" s="14">
        <f>data!P66</f>
        <v>152187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3712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81179</v>
      </c>
      <c r="I49" s="14">
        <f>data!P67</f>
        <v>472357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15329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2215</v>
      </c>
      <c r="I51" s="14">
        <f>data!P69</f>
        <v>5689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255668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1785425</v>
      </c>
      <c r="I53" s="14">
        <f>data!P71</f>
        <v>7408085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142593</v>
      </c>
      <c r="D55" s="48">
        <f>+data!M676</f>
        <v>0</v>
      </c>
      <c r="E55" s="48">
        <f>+data!M677</f>
        <v>5958</v>
      </c>
      <c r="F55" s="48">
        <f>+data!M678</f>
        <v>0</v>
      </c>
      <c r="G55" s="48">
        <f>+data!M679</f>
        <v>0</v>
      </c>
      <c r="H55" s="48">
        <f>+data!M680</f>
        <v>675571</v>
      </c>
      <c r="I55" s="48">
        <f>+data!M681</f>
        <v>4057026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974705</v>
      </c>
      <c r="D56" s="14">
        <f>data!K73</f>
        <v>0</v>
      </c>
      <c r="E56" s="14">
        <f>data!L73</f>
        <v>77481</v>
      </c>
      <c r="F56" s="14">
        <f>data!M73</f>
        <v>0</v>
      </c>
      <c r="G56" s="14">
        <f>data!N73</f>
        <v>0</v>
      </c>
      <c r="H56" s="14">
        <f>data!O73</f>
        <v>2513919</v>
      </c>
      <c r="I56" s="14">
        <f>data!P73</f>
        <v>5575731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569561</v>
      </c>
      <c r="I57" s="14">
        <f>data!P74</f>
        <v>24325440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974705</v>
      </c>
      <c r="D58" s="14">
        <f>data!K75</f>
        <v>0</v>
      </c>
      <c r="E58" s="14">
        <f>data!L75</f>
        <v>77481</v>
      </c>
      <c r="F58" s="14">
        <f>data!M75</f>
        <v>0</v>
      </c>
      <c r="G58" s="14">
        <f>data!N75</f>
        <v>0</v>
      </c>
      <c r="H58" s="14">
        <f>data!O75</f>
        <v>3083480</v>
      </c>
      <c r="I58" s="14">
        <f>data!P75</f>
        <v>29901171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252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2224</v>
      </c>
      <c r="I60" s="14">
        <f>data!P76</f>
        <v>12295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47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66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583</v>
      </c>
      <c r="I62" s="14">
        <f>data!P78</f>
        <v>3221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10447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54938</v>
      </c>
      <c r="I63" s="14">
        <f>data!P79</f>
        <v>76669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5.1999999999999993</v>
      </c>
      <c r="I64" s="26">
        <f>data!P80</f>
        <v>18.03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Kittitas Valley Healthcare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288552</v>
      </c>
      <c r="H73" s="14">
        <f>data!V59</f>
        <v>0</v>
      </c>
      <c r="I73" s="14">
        <f>data!W59</f>
        <v>2029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0.4</v>
      </c>
      <c r="D74" s="26">
        <f>data!R60</f>
        <v>0</v>
      </c>
      <c r="E74" s="26">
        <f>data!S60</f>
        <v>4.3</v>
      </c>
      <c r="F74" s="26">
        <f>data!T60</f>
        <v>0</v>
      </c>
      <c r="G74" s="26">
        <f>data!U60</f>
        <v>28.95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118926</v>
      </c>
      <c r="D75" s="14">
        <f>data!R61</f>
        <v>0</v>
      </c>
      <c r="E75" s="14">
        <f>data!S61</f>
        <v>220185</v>
      </c>
      <c r="F75" s="14">
        <f>data!T61</f>
        <v>0</v>
      </c>
      <c r="G75" s="14">
        <f>data!U61</f>
        <v>2076686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28984</v>
      </c>
      <c r="D76" s="14">
        <f>data!R62</f>
        <v>0</v>
      </c>
      <c r="E76" s="14">
        <f>data!S62</f>
        <v>53663</v>
      </c>
      <c r="F76" s="14">
        <f>data!T62</f>
        <v>0</v>
      </c>
      <c r="G76" s="14">
        <f>data!U62</f>
        <v>506126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17900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23490</v>
      </c>
      <c r="D78" s="14">
        <f>data!R64</f>
        <v>34818</v>
      </c>
      <c r="E78" s="14">
        <f>data!S64</f>
        <v>134225</v>
      </c>
      <c r="F78" s="14">
        <f>data!T64</f>
        <v>0</v>
      </c>
      <c r="G78" s="14">
        <f>data!U64</f>
        <v>2240945</v>
      </c>
      <c r="H78" s="14">
        <f>data!V64</f>
        <v>0</v>
      </c>
      <c r="I78" s="14">
        <f>data!W64</f>
        <v>565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399</v>
      </c>
      <c r="D80" s="14">
        <f>data!R66</f>
        <v>66586</v>
      </c>
      <c r="E80" s="14">
        <f>data!S66</f>
        <v>68065</v>
      </c>
      <c r="F80" s="14">
        <f>data!T66</f>
        <v>0</v>
      </c>
      <c r="G80" s="14">
        <f>data!U66</f>
        <v>2452247</v>
      </c>
      <c r="H80" s="14">
        <f>data!V66</f>
        <v>0</v>
      </c>
      <c r="I80" s="14">
        <f>data!W66</f>
        <v>754494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23714</v>
      </c>
      <c r="D81" s="14">
        <f>data!R67</f>
        <v>13454</v>
      </c>
      <c r="E81" s="14">
        <f>data!S67</f>
        <v>73087</v>
      </c>
      <c r="F81" s="14">
        <f>data!T67</f>
        <v>0</v>
      </c>
      <c r="G81" s="14">
        <f>data!U67</f>
        <v>204798</v>
      </c>
      <c r="H81" s="14">
        <f>data!V67</f>
        <v>0</v>
      </c>
      <c r="I81" s="14">
        <f>data!W67</f>
        <v>2092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116518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1906</v>
      </c>
      <c r="F83" s="14">
        <f>data!T69</f>
        <v>0</v>
      </c>
      <c r="G83" s="14">
        <f>data!U69</f>
        <v>51901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195513</v>
      </c>
      <c r="D85" s="14">
        <f>data!R71</f>
        <v>114858</v>
      </c>
      <c r="E85" s="14">
        <f>data!S71</f>
        <v>551131</v>
      </c>
      <c r="F85" s="14">
        <f>data!T71</f>
        <v>0</v>
      </c>
      <c r="G85" s="14">
        <f>data!U71</f>
        <v>7667121</v>
      </c>
      <c r="H85" s="14">
        <f>data!V71</f>
        <v>0</v>
      </c>
      <c r="I85" s="14">
        <f>data!W71</f>
        <v>757151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266751</v>
      </c>
      <c r="D87" s="48">
        <f>+data!M683</f>
        <v>9054</v>
      </c>
      <c r="E87" s="48">
        <f>+data!M684</f>
        <v>132176</v>
      </c>
      <c r="F87" s="48">
        <f>+data!M685</f>
        <v>0</v>
      </c>
      <c r="G87" s="48">
        <f>+data!M686</f>
        <v>3267402</v>
      </c>
      <c r="H87" s="48">
        <f>+data!M687</f>
        <v>0</v>
      </c>
      <c r="I87" s="48">
        <f>+data!M688</f>
        <v>642348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236108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2058606</v>
      </c>
      <c r="H88" s="14">
        <f>data!V73</f>
        <v>0</v>
      </c>
      <c r="I88" s="14">
        <f>data!W73</f>
        <v>152550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2392705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28088376</v>
      </c>
      <c r="H89" s="14">
        <f>data!V74</f>
        <v>0</v>
      </c>
      <c r="I89" s="14">
        <f>data!W74</f>
        <v>7438082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2628813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30146982</v>
      </c>
      <c r="H90" s="14">
        <f>data!V75</f>
        <v>0</v>
      </c>
      <c r="I90" s="14">
        <f>data!W75</f>
        <v>7590632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1012</v>
      </c>
      <c r="D92" s="14">
        <f>data!R76</f>
        <v>0</v>
      </c>
      <c r="E92" s="14">
        <f>data!S76</f>
        <v>1529</v>
      </c>
      <c r="F92" s="14">
        <f>data!T76</f>
        <v>0</v>
      </c>
      <c r="G92" s="14">
        <f>data!U76</f>
        <v>4056</v>
      </c>
      <c r="H92" s="14">
        <f>data!V76</f>
        <v>0</v>
      </c>
      <c r="I92" s="14">
        <f>data!W76</f>
        <v>142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265</v>
      </c>
      <c r="D94" s="14">
        <f>data!R78</f>
        <v>0</v>
      </c>
      <c r="E94" s="14">
        <f>data!S78</f>
        <v>401</v>
      </c>
      <c r="F94" s="14">
        <f>data!T78</f>
        <v>0</v>
      </c>
      <c r="G94" s="14">
        <f>data!U78</f>
        <v>1063</v>
      </c>
      <c r="H94" s="14">
        <f>data!V78</f>
        <v>0</v>
      </c>
      <c r="I94" s="14">
        <f>data!W78</f>
        <v>37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10088</v>
      </c>
      <c r="H95" s="14">
        <f>data!V79</f>
        <v>0</v>
      </c>
      <c r="I95" s="14">
        <f>data!W79</f>
        <v>4569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0.25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Kittitas Valley Healthcare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5896</v>
      </c>
      <c r="D105" s="14">
        <f>data!Y59</f>
        <v>24091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8.8800000000000008</v>
      </c>
      <c r="D106" s="26">
        <f>data!Y60</f>
        <v>12</v>
      </c>
      <c r="E106" s="26">
        <f>data!Z60</f>
        <v>0</v>
      </c>
      <c r="F106" s="26">
        <f>data!AA60</f>
        <v>0</v>
      </c>
      <c r="G106" s="26">
        <f>data!AB60</f>
        <v>13.29</v>
      </c>
      <c r="H106" s="26">
        <f>data!AC60</f>
        <v>7.64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672163</v>
      </c>
      <c r="D107" s="14">
        <f>data!Y61</f>
        <v>969961</v>
      </c>
      <c r="E107" s="14">
        <f>data!Z61</f>
        <v>0</v>
      </c>
      <c r="F107" s="14">
        <f>data!AA61</f>
        <v>0</v>
      </c>
      <c r="G107" s="14">
        <f>data!AB61</f>
        <v>1366597</v>
      </c>
      <c r="H107" s="14">
        <f>data!AC61</f>
        <v>609148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163818</v>
      </c>
      <c r="D108" s="14">
        <f>data!Y62</f>
        <v>236397</v>
      </c>
      <c r="E108" s="14">
        <f>data!Z62</f>
        <v>0</v>
      </c>
      <c r="F108" s="14">
        <f>data!AA62</f>
        <v>0</v>
      </c>
      <c r="G108" s="14">
        <f>data!AB62</f>
        <v>333064</v>
      </c>
      <c r="H108" s="14">
        <f>data!AC62</f>
        <v>148460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3485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64554</v>
      </c>
      <c r="D110" s="14">
        <f>data!Y64</f>
        <v>134471</v>
      </c>
      <c r="E110" s="14">
        <f>data!Z64</f>
        <v>0</v>
      </c>
      <c r="F110" s="14">
        <f>data!AA64</f>
        <v>0</v>
      </c>
      <c r="G110" s="14">
        <f>data!AB64</f>
        <v>2765705</v>
      </c>
      <c r="H110" s="14">
        <f>data!AC64</f>
        <v>107989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130128</v>
      </c>
      <c r="D112" s="14">
        <f>data!Y66</f>
        <v>397202</v>
      </c>
      <c r="E112" s="14">
        <f>data!Z66</f>
        <v>0</v>
      </c>
      <c r="F112" s="14">
        <f>data!AA66</f>
        <v>0</v>
      </c>
      <c r="G112" s="14">
        <f>data!AB66</f>
        <v>324236</v>
      </c>
      <c r="H112" s="14">
        <f>data!AC66</f>
        <v>2177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36557</v>
      </c>
      <c r="D113" s="14">
        <f>data!Y67</f>
        <v>252305</v>
      </c>
      <c r="E113" s="14">
        <f>data!Z67</f>
        <v>0</v>
      </c>
      <c r="F113" s="14">
        <f>data!AA67</f>
        <v>0</v>
      </c>
      <c r="G113" s="14">
        <f>data!AB67</f>
        <v>18534</v>
      </c>
      <c r="H113" s="14">
        <f>data!AC67</f>
        <v>53082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62262</v>
      </c>
      <c r="D114" s="14">
        <f>data!Y68</f>
        <v>239308</v>
      </c>
      <c r="E114" s="14">
        <f>data!Z68</f>
        <v>0</v>
      </c>
      <c r="F114" s="14">
        <f>data!AA68</f>
        <v>0</v>
      </c>
      <c r="G114" s="14">
        <f>data!AB68</f>
        <v>204635</v>
      </c>
      <c r="H114" s="14">
        <f>data!AC68</f>
        <v>6686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4191</v>
      </c>
      <c r="E115" s="14">
        <f>data!Z69</f>
        <v>0</v>
      </c>
      <c r="F115" s="14">
        <f>data!AA69</f>
        <v>0</v>
      </c>
      <c r="G115" s="14">
        <f>data!AB69</f>
        <v>5930</v>
      </c>
      <c r="H115" s="14">
        <f>data!AC69</f>
        <v>348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1129482</v>
      </c>
      <c r="D117" s="14">
        <f>data!Y71</f>
        <v>2233835</v>
      </c>
      <c r="E117" s="14">
        <f>data!Z71</f>
        <v>0</v>
      </c>
      <c r="F117" s="14">
        <f>data!AA71</f>
        <v>0</v>
      </c>
      <c r="G117" s="14">
        <f>data!AB71</f>
        <v>5018701</v>
      </c>
      <c r="H117" s="14">
        <f>data!AC71</f>
        <v>931375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2029602</v>
      </c>
      <c r="D119" s="48">
        <f>+data!M690</f>
        <v>1289333</v>
      </c>
      <c r="E119" s="48">
        <f>+data!M691</f>
        <v>0</v>
      </c>
      <c r="F119" s="48">
        <f>+data!M692</f>
        <v>0</v>
      </c>
      <c r="G119" s="48">
        <f>+data!M693</f>
        <v>1945311</v>
      </c>
      <c r="H119" s="48">
        <f>+data!M694</f>
        <v>340450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1308630</v>
      </c>
      <c r="D120" s="14">
        <f>data!Y73</f>
        <v>545583</v>
      </c>
      <c r="E120" s="14">
        <f>data!Z73</f>
        <v>0</v>
      </c>
      <c r="F120" s="14">
        <f>data!AA73</f>
        <v>0</v>
      </c>
      <c r="G120" s="14">
        <f>data!AB73</f>
        <v>5381881</v>
      </c>
      <c r="H120" s="14">
        <f>data!AC73</f>
        <v>529391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22038206</v>
      </c>
      <c r="D121" s="14">
        <f>data!Y74</f>
        <v>11556011</v>
      </c>
      <c r="E121" s="14">
        <f>data!Z74</f>
        <v>0</v>
      </c>
      <c r="F121" s="14">
        <f>data!AA74</f>
        <v>0</v>
      </c>
      <c r="G121" s="14">
        <f>data!AB74</f>
        <v>12514330</v>
      </c>
      <c r="H121" s="14">
        <f>data!AC74</f>
        <v>1877237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23346836</v>
      </c>
      <c r="D122" s="14">
        <f>data!Y75</f>
        <v>12101594</v>
      </c>
      <c r="E122" s="14">
        <f>data!Z75</f>
        <v>0</v>
      </c>
      <c r="F122" s="14">
        <f>data!AA75</f>
        <v>0</v>
      </c>
      <c r="G122" s="14">
        <f>data!AB75</f>
        <v>17896211</v>
      </c>
      <c r="H122" s="14">
        <f>data!AC75</f>
        <v>2406628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2272</v>
      </c>
      <c r="D124" s="14">
        <f>data!Y76</f>
        <v>2355</v>
      </c>
      <c r="E124" s="14">
        <f>data!Z76</f>
        <v>0</v>
      </c>
      <c r="F124" s="14">
        <f>data!AA76</f>
        <v>0</v>
      </c>
      <c r="G124" s="14">
        <f>data!AB76</f>
        <v>1163</v>
      </c>
      <c r="H124" s="14">
        <f>data!AC76</f>
        <v>1032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596</v>
      </c>
      <c r="D126" s="14">
        <f>data!Y78</f>
        <v>617</v>
      </c>
      <c r="E126" s="14">
        <f>data!Z78</f>
        <v>0</v>
      </c>
      <c r="F126" s="14">
        <f>data!AA78</f>
        <v>0</v>
      </c>
      <c r="G126" s="14">
        <f>data!AB78</f>
        <v>175</v>
      </c>
      <c r="H126" s="14">
        <f>data!AC78</f>
        <v>270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13276</v>
      </c>
      <c r="D127" s="14">
        <f>data!Y79</f>
        <v>54245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1816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Kittitas Valley Healthcare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15095</v>
      </c>
      <c r="D137" s="14">
        <f>data!AF59</f>
        <v>0</v>
      </c>
      <c r="E137" s="14">
        <f>data!AG59</f>
        <v>13988</v>
      </c>
      <c r="F137" s="14">
        <f>data!AH59</f>
        <v>0</v>
      </c>
      <c r="G137" s="14">
        <f>data!AI59</f>
        <v>0</v>
      </c>
      <c r="H137" s="14">
        <f>data!AJ59</f>
        <v>88964</v>
      </c>
      <c r="I137" s="14">
        <f>data!AK59</f>
        <v>3129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3.87</v>
      </c>
      <c r="D138" s="26">
        <f>data!AF60</f>
        <v>0</v>
      </c>
      <c r="E138" s="26">
        <f>data!AG60</f>
        <v>32.21</v>
      </c>
      <c r="F138" s="26">
        <f>data!AH60</f>
        <v>0</v>
      </c>
      <c r="G138" s="26">
        <f>data!AI60</f>
        <v>0</v>
      </c>
      <c r="H138" s="26">
        <f>data!AJ60</f>
        <v>151.87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296723</v>
      </c>
      <c r="D139" s="14">
        <f>data!AF61</f>
        <v>0</v>
      </c>
      <c r="E139" s="14">
        <f>data!AG61</f>
        <v>5127040</v>
      </c>
      <c r="F139" s="14">
        <f>data!AH61</f>
        <v>0</v>
      </c>
      <c r="G139" s="14">
        <f>data!AI61</f>
        <v>0</v>
      </c>
      <c r="H139" s="14">
        <f>data!AJ61</f>
        <v>17031935</v>
      </c>
      <c r="I139" s="14">
        <f>data!AK61</f>
        <v>184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72317</v>
      </c>
      <c r="D140" s="14">
        <f>data!AF62</f>
        <v>0</v>
      </c>
      <c r="E140" s="14">
        <f>data!AG62</f>
        <v>1249552</v>
      </c>
      <c r="F140" s="14">
        <f>data!AH62</f>
        <v>0</v>
      </c>
      <c r="G140" s="14">
        <f>data!AI62</f>
        <v>0</v>
      </c>
      <c r="H140" s="14">
        <f>data!AJ62</f>
        <v>4150990</v>
      </c>
      <c r="I140" s="14">
        <f>data!AK62</f>
        <v>45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980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732496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19324</v>
      </c>
      <c r="D142" s="14">
        <f>data!AF64</f>
        <v>0</v>
      </c>
      <c r="E142" s="14">
        <f>data!AG64</f>
        <v>359515</v>
      </c>
      <c r="F142" s="14">
        <f>data!AH64</f>
        <v>0</v>
      </c>
      <c r="G142" s="14">
        <f>data!AI64</f>
        <v>0</v>
      </c>
      <c r="H142" s="14">
        <f>data!AJ64</f>
        <v>1450896</v>
      </c>
      <c r="I142" s="14">
        <f>data!AK64</f>
        <v>11661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1269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131786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1180420</v>
      </c>
      <c r="D144" s="14">
        <f>data!AF66</f>
        <v>0</v>
      </c>
      <c r="E144" s="14">
        <f>data!AG66</f>
        <v>116245</v>
      </c>
      <c r="F144" s="14">
        <f>data!AH66</f>
        <v>0</v>
      </c>
      <c r="G144" s="14">
        <f>data!AI66</f>
        <v>0</v>
      </c>
      <c r="H144" s="14">
        <f>data!AJ66</f>
        <v>968496</v>
      </c>
      <c r="I144" s="14">
        <f>data!AK66</f>
        <v>281485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4347</v>
      </c>
      <c r="D145" s="14">
        <f>data!AF67</f>
        <v>0</v>
      </c>
      <c r="E145" s="14">
        <f>data!AG67</f>
        <v>112652</v>
      </c>
      <c r="F145" s="14">
        <f>data!AH67</f>
        <v>0</v>
      </c>
      <c r="G145" s="14">
        <f>data!AI67</f>
        <v>0</v>
      </c>
      <c r="H145" s="14">
        <f>data!AJ67</f>
        <v>729837</v>
      </c>
      <c r="I145" s="14">
        <f>data!AK67</f>
        <v>1964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143794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304705</v>
      </c>
      <c r="I146" s="14">
        <f>data!AK68</f>
        <v>45695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2579</v>
      </c>
      <c r="D147" s="14">
        <f>data!AF69</f>
        <v>0</v>
      </c>
      <c r="E147" s="14">
        <f>data!AG69</f>
        <v>90133</v>
      </c>
      <c r="F147" s="14">
        <f>data!AH69</f>
        <v>0</v>
      </c>
      <c r="G147" s="14">
        <f>data!AI69</f>
        <v>0</v>
      </c>
      <c r="H147" s="14">
        <f>data!AJ69</f>
        <v>444804</v>
      </c>
      <c r="I147" s="14">
        <f>data!AK69</f>
        <v>43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1721753</v>
      </c>
      <c r="D149" s="14">
        <f>data!AF71</f>
        <v>0</v>
      </c>
      <c r="E149" s="14">
        <f>data!AG71</f>
        <v>7055137</v>
      </c>
      <c r="F149" s="14">
        <f>data!AH71</f>
        <v>0</v>
      </c>
      <c r="G149" s="14">
        <f>data!AI71</f>
        <v>0</v>
      </c>
      <c r="H149" s="14">
        <f>data!AJ71</f>
        <v>25945945</v>
      </c>
      <c r="I149" s="14">
        <f>data!AK71</f>
        <v>341077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597432</v>
      </c>
      <c r="D151" s="48">
        <f>+data!M697</f>
        <v>0</v>
      </c>
      <c r="E151" s="48">
        <f>+data!M698</f>
        <v>2896925</v>
      </c>
      <c r="F151" s="48">
        <f>+data!M699</f>
        <v>0</v>
      </c>
      <c r="G151" s="48">
        <f>+data!M700</f>
        <v>0</v>
      </c>
      <c r="H151" s="48">
        <f>+data!M701</f>
        <v>6603762</v>
      </c>
      <c r="I151" s="48">
        <f>+data!M702</f>
        <v>138995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241595</v>
      </c>
      <c r="D152" s="14">
        <f>data!AF73</f>
        <v>0</v>
      </c>
      <c r="E152" s="14">
        <f>data!AG73</f>
        <v>400220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76366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4069628</v>
      </c>
      <c r="D153" s="14">
        <f>data!AF74</f>
        <v>0</v>
      </c>
      <c r="E153" s="14">
        <f>data!AG74</f>
        <v>20140691</v>
      </c>
      <c r="F153" s="14">
        <f>data!AH74</f>
        <v>0</v>
      </c>
      <c r="G153" s="14">
        <f>data!AI74</f>
        <v>0</v>
      </c>
      <c r="H153" s="14">
        <f>data!AJ74</f>
        <v>29957923</v>
      </c>
      <c r="I153" s="14">
        <f>data!AK74</f>
        <v>763520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4311223</v>
      </c>
      <c r="D154" s="14">
        <f>data!AF75</f>
        <v>0</v>
      </c>
      <c r="E154" s="14">
        <f>data!AG75</f>
        <v>20540911</v>
      </c>
      <c r="F154" s="14">
        <f>data!AH75</f>
        <v>0</v>
      </c>
      <c r="G154" s="14">
        <f>data!AI75</f>
        <v>0</v>
      </c>
      <c r="H154" s="14">
        <f>data!AJ75</f>
        <v>29957923</v>
      </c>
      <c r="I154" s="14">
        <f>data!AK75</f>
        <v>839886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5160</v>
      </c>
      <c r="F156" s="14">
        <f>data!AH76</f>
        <v>0</v>
      </c>
      <c r="G156" s="14">
        <f>data!AI76</f>
        <v>0</v>
      </c>
      <c r="H156" s="14">
        <f>data!AJ76</f>
        <v>31709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524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1811</v>
      </c>
      <c r="D158" s="14">
        <f>data!AF78</f>
        <v>0</v>
      </c>
      <c r="E158" s="14">
        <f>data!AG78</f>
        <v>1352</v>
      </c>
      <c r="F158" s="14">
        <f>data!AH78</f>
        <v>0</v>
      </c>
      <c r="G158" s="14">
        <f>data!AI78</f>
        <v>0</v>
      </c>
      <c r="H158" s="14">
        <f>data!AJ78</f>
        <v>8308</v>
      </c>
      <c r="I158" s="14">
        <f>data!AK78</f>
        <v>719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9079</v>
      </c>
      <c r="D159" s="14">
        <f>data!AF79</f>
        <v>0</v>
      </c>
      <c r="E159" s="14">
        <f>data!AG79</f>
        <v>72997</v>
      </c>
      <c r="F159" s="14">
        <f>data!AH79</f>
        <v>0</v>
      </c>
      <c r="G159" s="14">
        <f>data!AI79</f>
        <v>0</v>
      </c>
      <c r="H159" s="14">
        <f>data!AJ79</f>
        <v>29656</v>
      </c>
      <c r="I159" s="14">
        <f>data!AK79</f>
        <v>3632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16.79</v>
      </c>
      <c r="F160" s="26">
        <f>data!AH80</f>
        <v>0</v>
      </c>
      <c r="G160" s="26">
        <f>data!AI80</f>
        <v>0</v>
      </c>
      <c r="H160" s="26">
        <f>data!AJ80</f>
        <v>13.2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Kittitas Valley Healthcare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3176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13181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18.869999999999997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513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1587175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125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386823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11620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3766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114416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295511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225580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41697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13428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37835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43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75623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325006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2469149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96955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693597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50384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744398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2849159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794782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2849159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1394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211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366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6.4399999999999995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Kittitas Valley Healthcare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11541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4.0300000000000011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209790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51130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84687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56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7269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39507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543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6169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399151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2628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Kittitas Valley Healthcare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28225</v>
      </c>
      <c r="D233" s="14">
        <f>data!BA59</f>
        <v>0</v>
      </c>
      <c r="E233" s="212"/>
      <c r="F233" s="212"/>
      <c r="G233" s="212"/>
      <c r="H233" s="14">
        <f>data!BE59</f>
        <v>139151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9.8699999999999992</v>
      </c>
      <c r="D234" s="26">
        <f>data!BA60</f>
        <v>2.89</v>
      </c>
      <c r="E234" s="26">
        <f>data!BB60</f>
        <v>1.6</v>
      </c>
      <c r="F234" s="26">
        <f>data!BC60</f>
        <v>0</v>
      </c>
      <c r="G234" s="26">
        <f>data!BD60</f>
        <v>5.64</v>
      </c>
      <c r="H234" s="26">
        <f>data!BE60</f>
        <v>7.5</v>
      </c>
      <c r="I234" s="26">
        <f>data!BF60</f>
        <v>19.27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513624</v>
      </c>
      <c r="D235" s="14">
        <f>data!BA61</f>
        <v>129990</v>
      </c>
      <c r="E235" s="14">
        <f>data!BB61</f>
        <v>136099</v>
      </c>
      <c r="F235" s="14">
        <f>data!BC61</f>
        <v>0</v>
      </c>
      <c r="G235" s="14">
        <f>data!BD61</f>
        <v>311435</v>
      </c>
      <c r="H235" s="14">
        <f>data!BE61</f>
        <v>566397</v>
      </c>
      <c r="I235" s="14">
        <f>data!BF61</f>
        <v>856838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125179</v>
      </c>
      <c r="D236" s="14">
        <f>data!BA62</f>
        <v>31681</v>
      </c>
      <c r="E236" s="14">
        <f>data!BB62</f>
        <v>33170</v>
      </c>
      <c r="F236" s="14">
        <f>data!BC62</f>
        <v>0</v>
      </c>
      <c r="G236" s="14">
        <f>data!BD62</f>
        <v>75902</v>
      </c>
      <c r="H236" s="14">
        <f>data!BE62</f>
        <v>138041</v>
      </c>
      <c r="I236" s="14">
        <f>data!BF62</f>
        <v>208827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207335</v>
      </c>
      <c r="D238" s="14">
        <f>data!BA64</f>
        <v>30221</v>
      </c>
      <c r="E238" s="14">
        <f>data!BB64</f>
        <v>132</v>
      </c>
      <c r="F238" s="14">
        <f>data!BC64</f>
        <v>0</v>
      </c>
      <c r="G238" s="14">
        <f>data!BD64</f>
        <v>-155300</v>
      </c>
      <c r="H238" s="14">
        <f>data!BE64</f>
        <v>72924</v>
      </c>
      <c r="I238" s="14">
        <f>data!BF64</f>
        <v>330194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1025500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1152</v>
      </c>
      <c r="E240" s="14">
        <f>data!BB66</f>
        <v>4191</v>
      </c>
      <c r="F240" s="14">
        <f>data!BC66</f>
        <v>0</v>
      </c>
      <c r="G240" s="14">
        <f>data!BD66</f>
        <v>88599</v>
      </c>
      <c r="H240" s="14">
        <f>data!BE66</f>
        <v>1156064</v>
      </c>
      <c r="I240" s="14">
        <f>data!BF66</f>
        <v>314046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22150</v>
      </c>
      <c r="D241" s="14">
        <f>data!BA67</f>
        <v>18939</v>
      </c>
      <c r="E241" s="14">
        <f>data!BB67</f>
        <v>0</v>
      </c>
      <c r="F241" s="14">
        <f>data!BC67</f>
        <v>0</v>
      </c>
      <c r="G241" s="14">
        <f>data!BD67</f>
        <v>23673</v>
      </c>
      <c r="H241" s="14">
        <f>data!BE67</f>
        <v>130894</v>
      </c>
      <c r="I241" s="14">
        <f>data!BF67</f>
        <v>7387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1329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98</v>
      </c>
      <c r="H242" s="14">
        <f>data!BE68</f>
        <v>2124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59</v>
      </c>
      <c r="F243" s="14">
        <f>data!BC69</f>
        <v>0</v>
      </c>
      <c r="G243" s="14">
        <f>data!BD69</f>
        <v>123748</v>
      </c>
      <c r="H243" s="14">
        <f>data!BE69</f>
        <v>7049</v>
      </c>
      <c r="I243" s="14">
        <f>data!BF69</f>
        <v>379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869617</v>
      </c>
      <c r="D245" s="14">
        <f>data!BA71</f>
        <v>211983</v>
      </c>
      <c r="E245" s="14">
        <f>data!BB71</f>
        <v>173651</v>
      </c>
      <c r="F245" s="14">
        <f>data!BC71</f>
        <v>0</v>
      </c>
      <c r="G245" s="14">
        <f>data!BD71</f>
        <v>468155</v>
      </c>
      <c r="H245" s="14">
        <f>data!BE71</f>
        <v>3098993</v>
      </c>
      <c r="I245" s="14">
        <f>data!BF71</f>
        <v>1717671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1372</v>
      </c>
      <c r="D252" s="85">
        <f>data!BA76</f>
        <v>855</v>
      </c>
      <c r="E252" s="85">
        <f>data!BB76</f>
        <v>0</v>
      </c>
      <c r="F252" s="85">
        <f>data!BC76</f>
        <v>0</v>
      </c>
      <c r="G252" s="85">
        <f>data!BD76</f>
        <v>1607</v>
      </c>
      <c r="H252" s="85">
        <f>data!BE76</f>
        <v>5182</v>
      </c>
      <c r="I252" s="85">
        <f>data!BF76</f>
        <v>343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224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Kittitas Valley Healthcare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15.29</v>
      </c>
      <c r="E266" s="26">
        <f>data!BI60</f>
        <v>0</v>
      </c>
      <c r="F266" s="26">
        <f>data!BJ60</f>
        <v>5.93</v>
      </c>
      <c r="G266" s="26">
        <f>data!BK60</f>
        <v>19.3</v>
      </c>
      <c r="H266" s="26">
        <f>data!BL60</f>
        <v>14.56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1446152</v>
      </c>
      <c r="E267" s="14">
        <f>data!BI61</f>
        <v>0</v>
      </c>
      <c r="F267" s="14">
        <f>data!BJ61</f>
        <v>492710</v>
      </c>
      <c r="G267" s="14">
        <f>data!BK61</f>
        <v>1217369</v>
      </c>
      <c r="H267" s="14">
        <f>data!BL61</f>
        <v>686702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352453</v>
      </c>
      <c r="E268" s="14">
        <f>data!BI62</f>
        <v>0</v>
      </c>
      <c r="F268" s="14">
        <f>data!BJ62</f>
        <v>120082</v>
      </c>
      <c r="G268" s="14">
        <f>data!BK62</f>
        <v>296695</v>
      </c>
      <c r="H268" s="14">
        <f>data!BL62</f>
        <v>167362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56692</v>
      </c>
      <c r="G269" s="14">
        <f>data!BK63</f>
        <v>15600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235525</v>
      </c>
      <c r="E270" s="14">
        <f>data!BI64</f>
        <v>0</v>
      </c>
      <c r="F270" s="14">
        <f>data!BJ64</f>
        <v>4973</v>
      </c>
      <c r="G270" s="14">
        <f>data!BK64</f>
        <v>17070</v>
      </c>
      <c r="H270" s="14">
        <f>data!BL64</f>
        <v>33127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19059</v>
      </c>
      <c r="E271" s="14">
        <f>data!BI65</f>
        <v>0</v>
      </c>
      <c r="F271" s="14">
        <f>data!BJ65</f>
        <v>0</v>
      </c>
      <c r="G271" s="14">
        <f>data!BK65</f>
        <v>1100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2602857</v>
      </c>
      <c r="E272" s="14">
        <f>data!BI66</f>
        <v>0</v>
      </c>
      <c r="F272" s="14">
        <f>data!BJ66</f>
        <v>258163</v>
      </c>
      <c r="G272" s="14">
        <f>data!BK66</f>
        <v>649130</v>
      </c>
      <c r="H272" s="14">
        <f>data!BL66</f>
        <v>9890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1075172</v>
      </c>
      <c r="E273" s="14">
        <f>data!BI67</f>
        <v>0</v>
      </c>
      <c r="F273" s="14">
        <f>data!BJ67</f>
        <v>10523</v>
      </c>
      <c r="G273" s="14">
        <f>data!BK67</f>
        <v>119980</v>
      </c>
      <c r="H273" s="14">
        <f>data!BL67</f>
        <v>6202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460</v>
      </c>
      <c r="E275" s="14">
        <f>data!BI69</f>
        <v>0</v>
      </c>
      <c r="F275" s="14">
        <f>data!BJ69</f>
        <v>923</v>
      </c>
      <c r="G275" s="14">
        <f>data!BK69</f>
        <v>9899</v>
      </c>
      <c r="H275" s="14">
        <f>data!BL69</f>
        <v>878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5731678</v>
      </c>
      <c r="E277" s="14">
        <f>data!BI71</f>
        <v>0</v>
      </c>
      <c r="F277" s="14">
        <f>data!BJ71</f>
        <v>944066</v>
      </c>
      <c r="G277" s="14">
        <f>data!BK71</f>
        <v>2326843</v>
      </c>
      <c r="H277" s="14">
        <f>data!BL71</f>
        <v>904161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3456</v>
      </c>
      <c r="E284" s="85">
        <f>data!BI76</f>
        <v>0</v>
      </c>
      <c r="F284" s="85">
        <f>data!BJ76</f>
        <v>664</v>
      </c>
      <c r="G284" s="85">
        <f>data!BK76</f>
        <v>7998</v>
      </c>
      <c r="H284" s="85">
        <f>data!BL76</f>
        <v>421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881</v>
      </c>
      <c r="E286" s="85">
        <f>data!BI78</f>
        <v>0</v>
      </c>
      <c r="F286" s="213" t="str">
        <f>IF(data!BJ78&gt;0,data!BJ78,"")</f>
        <v>x</v>
      </c>
      <c r="G286" s="85">
        <f>data!BK78</f>
        <v>2096</v>
      </c>
      <c r="H286" s="85">
        <f>data!BL78</f>
        <v>110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Kittitas Valley Healthcare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6.5</v>
      </c>
      <c r="D298" s="26">
        <f>data!BO60</f>
        <v>5.99</v>
      </c>
      <c r="E298" s="26">
        <f>data!BP60</f>
        <v>3.13</v>
      </c>
      <c r="F298" s="26">
        <f>data!BQ60</f>
        <v>0</v>
      </c>
      <c r="G298" s="26">
        <f>data!BR60</f>
        <v>5.47</v>
      </c>
      <c r="H298" s="26">
        <f>data!BS60</f>
        <v>0.51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1059123</v>
      </c>
      <c r="D299" s="14">
        <f>data!BO61</f>
        <v>495392</v>
      </c>
      <c r="E299" s="14">
        <f>data!BP61</f>
        <v>319616</v>
      </c>
      <c r="F299" s="14">
        <f>data!BQ61</f>
        <v>0</v>
      </c>
      <c r="G299" s="14">
        <f>data!BR61</f>
        <v>476065</v>
      </c>
      <c r="H299" s="14">
        <f>data!BS61</f>
        <v>34125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258127</v>
      </c>
      <c r="D300" s="14">
        <f>data!BO62</f>
        <v>120736</v>
      </c>
      <c r="E300" s="14">
        <f>data!BP62</f>
        <v>77896</v>
      </c>
      <c r="F300" s="14">
        <f>data!BQ62</f>
        <v>0</v>
      </c>
      <c r="G300" s="14">
        <f>data!BR62</f>
        <v>116026</v>
      </c>
      <c r="H300" s="14">
        <f>data!BS62</f>
        <v>8317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51173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22468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52108</v>
      </c>
      <c r="D302" s="14">
        <f>data!BO64</f>
        <v>7292</v>
      </c>
      <c r="E302" s="14">
        <f>data!BP64</f>
        <v>4091</v>
      </c>
      <c r="F302" s="14">
        <f>data!BQ64</f>
        <v>0</v>
      </c>
      <c r="G302" s="14">
        <f>data!BR64</f>
        <v>4283</v>
      </c>
      <c r="H302" s="14">
        <f>data!BS64</f>
        <v>7623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4926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47283</v>
      </c>
      <c r="D304" s="14">
        <f>data!BO66</f>
        <v>121026</v>
      </c>
      <c r="E304" s="14">
        <f>data!BP66</f>
        <v>35781</v>
      </c>
      <c r="F304" s="14">
        <f>data!BQ66</f>
        <v>0</v>
      </c>
      <c r="G304" s="14">
        <f>data!BR66</f>
        <v>169765</v>
      </c>
      <c r="H304" s="14">
        <f>data!BS66</f>
        <v>907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447889</v>
      </c>
      <c r="D305" s="14">
        <f>data!BO67</f>
        <v>3358</v>
      </c>
      <c r="E305" s="14">
        <f>data!BP67</f>
        <v>0</v>
      </c>
      <c r="F305" s="14">
        <f>data!BQ67</f>
        <v>0</v>
      </c>
      <c r="G305" s="14">
        <f>data!BR67</f>
        <v>62021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56038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1936563</v>
      </c>
      <c r="D307" s="14">
        <f>data!BO69</f>
        <v>0</v>
      </c>
      <c r="E307" s="14">
        <f>data!BP69</f>
        <v>152506</v>
      </c>
      <c r="F307" s="14">
        <f>data!BQ69</f>
        <v>0</v>
      </c>
      <c r="G307" s="14">
        <f>data!BR69</f>
        <v>57800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3908304</v>
      </c>
      <c r="D309" s="14">
        <f>data!BO71</f>
        <v>752730</v>
      </c>
      <c r="E309" s="14">
        <f>data!BP71</f>
        <v>589890</v>
      </c>
      <c r="F309" s="14">
        <f>data!BQ71</f>
        <v>0</v>
      </c>
      <c r="G309" s="14">
        <f>data!BR71</f>
        <v>908428</v>
      </c>
      <c r="H309" s="14">
        <f>data!BS71</f>
        <v>50972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29935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1527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Kittitas Valley Healthcare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22.05</v>
      </c>
      <c r="E330" s="26">
        <f>data!BW60</f>
        <v>3.6</v>
      </c>
      <c r="F330" s="26">
        <f>data!BX60</f>
        <v>5.93</v>
      </c>
      <c r="G330" s="26">
        <f>data!BY60</f>
        <v>8.2999999999999989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1289084</v>
      </c>
      <c r="E331" s="86">
        <f>data!BW61</f>
        <v>835882</v>
      </c>
      <c r="F331" s="86">
        <f>data!BX61</f>
        <v>612511</v>
      </c>
      <c r="G331" s="86">
        <f>data!BY61</f>
        <v>1049615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314173</v>
      </c>
      <c r="E332" s="86">
        <f>data!BW62</f>
        <v>203720</v>
      </c>
      <c r="F332" s="86">
        <f>data!BX62</f>
        <v>149280</v>
      </c>
      <c r="G332" s="86">
        <f>data!BY62</f>
        <v>255810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4961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10239</v>
      </c>
      <c r="E334" s="86">
        <f>data!BW64</f>
        <v>3863</v>
      </c>
      <c r="F334" s="86">
        <f>data!BX64</f>
        <v>3115</v>
      </c>
      <c r="G334" s="86">
        <f>data!BY64</f>
        <v>14348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478452</v>
      </c>
      <c r="E336" s="86">
        <f>data!BW66</f>
        <v>27422</v>
      </c>
      <c r="F336" s="86">
        <f>data!BX66</f>
        <v>104137</v>
      </c>
      <c r="G336" s="86">
        <f>data!BY66</f>
        <v>516978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5669</v>
      </c>
      <c r="E337" s="86">
        <f>data!BW67</f>
        <v>1237</v>
      </c>
      <c r="F337" s="86">
        <f>data!BX67</f>
        <v>576</v>
      </c>
      <c r="G337" s="86">
        <f>data!BY67</f>
        <v>10009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2229</v>
      </c>
      <c r="E339" s="86">
        <f>data!BW69</f>
        <v>114880</v>
      </c>
      <c r="F339" s="86">
        <f>data!BX69</f>
        <v>18685</v>
      </c>
      <c r="G339" s="86">
        <f>data!BY69</f>
        <v>3676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2099846</v>
      </c>
      <c r="E341" s="14">
        <f>data!BW71</f>
        <v>1187004</v>
      </c>
      <c r="F341" s="14">
        <f>data!BX71</f>
        <v>893265</v>
      </c>
      <c r="G341" s="14">
        <f>data!BY71</f>
        <v>1850436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84</v>
      </c>
      <c r="F348" s="85">
        <f>data!BX76</f>
        <v>0</v>
      </c>
      <c r="G348" s="85">
        <f>data!BY76</f>
        <v>474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408</v>
      </c>
      <c r="E350" s="85">
        <f>data!BW78</f>
        <v>22</v>
      </c>
      <c r="F350" s="85">
        <f>data!BX78</f>
        <v>22</v>
      </c>
      <c r="G350" s="85">
        <f>data!BY78</f>
        <v>732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Kittitas Valley Healthcare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529.9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 t="str">
        <f>data!CC61</f>
        <v xml:space="preserve"> </v>
      </c>
      <c r="E363" s="218"/>
      <c r="F363" s="219"/>
      <c r="G363" s="219"/>
      <c r="H363" s="219"/>
      <c r="I363" s="86">
        <f>data!CE61</f>
        <v>50820948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12385981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917875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12099940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1185983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14030879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4416656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1263014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3124571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100245847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26135038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172495066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198630104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139151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11541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28751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417220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96.809999999999988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2022-06-27T20:05:52Z</cp:lastPrinted>
  <dcterms:created xsi:type="dcterms:W3CDTF">1999-06-02T22:01:56Z</dcterms:created>
  <dcterms:modified xsi:type="dcterms:W3CDTF">2022-06-28T23:17:49Z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2022-06-28T23:16:25Z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77e9b13d-0abf-42dd-89f6-7532377208b1</vt:lpwstr>
  </property>
  <property fmtid="{D5CDD505-2E9C-101B-9397-08002B2CF9AE}" pid="8" name="MSIP_Label_1520fa42-cf58-4c22-8b93-58cf1d3bd1cb_ContentBits">
    <vt:lpwstr>0</vt:lpwstr>
  </property>
</Properties>
</file>