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043B417F-1CAE-4A0A-A7BD-5C95378EA0C5}" xr6:coauthVersionLast="47" xr6:coauthVersionMax="47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70" i="1" l="1"/>
  <c r="C365" i="1"/>
  <c r="C364" i="1"/>
  <c r="C183" i="1"/>
  <c r="C180" i="1"/>
  <c r="AP68" i="1"/>
  <c r="E80" i="1" l="1"/>
  <c r="AJ80" i="1"/>
  <c r="AI80" i="1"/>
  <c r="AG80" i="1"/>
  <c r="Y80" i="1"/>
  <c r="Q80" i="1"/>
  <c r="AI59" i="1" l="1"/>
  <c r="C215" i="1"/>
  <c r="C276" i="1"/>
  <c r="E59" i="1"/>
  <c r="Y60" i="1" l="1"/>
  <c r="AI60" i="1"/>
  <c r="AJ60" i="1"/>
  <c r="AP60" i="1"/>
  <c r="BX60" i="1"/>
  <c r="BR60" i="1"/>
  <c r="BK60" i="1"/>
  <c r="BE60" i="1"/>
  <c r="AG60" i="1"/>
  <c r="AE60" i="1"/>
  <c r="X60" i="1"/>
  <c r="W60" i="1"/>
  <c r="U60" i="1"/>
  <c r="E60" i="1"/>
  <c r="C60" i="1"/>
  <c r="U59" i="1" l="1"/>
  <c r="AP59" i="1" l="1"/>
  <c r="AJ59" i="1"/>
  <c r="AE59" i="1"/>
  <c r="Y59" i="1"/>
  <c r="X59" i="1"/>
  <c r="W59" i="1"/>
  <c r="BD64" i="1" l="1"/>
  <c r="C381" i="1"/>
  <c r="C394" i="1"/>
  <c r="C370" i="1"/>
  <c r="BD70" i="1"/>
  <c r="D141" i="1" l="1"/>
  <c r="C138" i="1"/>
  <c r="B138" i="1"/>
  <c r="D138" i="1" s="1"/>
  <c r="C139" i="1"/>
  <c r="B139" i="1"/>
  <c r="D139" i="1" s="1"/>
  <c r="AI77" i="1" l="1"/>
  <c r="E77" i="1"/>
  <c r="AI79" i="1"/>
  <c r="P79" i="1"/>
  <c r="E79" i="1"/>
  <c r="C238" i="1" l="1"/>
  <c r="C227" i="1"/>
  <c r="C66" i="1"/>
  <c r="AP65" i="1"/>
  <c r="C64" i="1"/>
  <c r="C63" i="1"/>
  <c r="C61" i="1"/>
  <c r="AP61" i="1"/>
  <c r="BY61" i="1"/>
  <c r="C74" i="1"/>
  <c r="C73" i="1"/>
  <c r="AG74" i="1"/>
  <c r="AG73" i="1"/>
  <c r="AP74" i="1"/>
  <c r="AJ74" i="1"/>
  <c r="AI74" i="1"/>
  <c r="AE74" i="1"/>
  <c r="Y74" i="1"/>
  <c r="U74" i="1"/>
  <c r="S74" i="1"/>
  <c r="E74" i="1"/>
  <c r="AI73" i="1"/>
  <c r="Y73" i="1"/>
  <c r="U73" i="1"/>
  <c r="E73" i="1"/>
  <c r="BQ70" i="1" l="1"/>
  <c r="AY70" i="1"/>
  <c r="AP70" i="1"/>
  <c r="CD69" i="1" l="1"/>
  <c r="AP69" i="1"/>
  <c r="CC69" i="1"/>
  <c r="Y69" i="1"/>
  <c r="BX69" i="1"/>
  <c r="S69" i="1"/>
  <c r="BK66" i="1"/>
  <c r="AP66" i="1"/>
  <c r="BE66" i="1"/>
  <c r="BD66" i="1"/>
  <c r="BX66" i="1"/>
  <c r="E66" i="1"/>
  <c r="AP64" i="1"/>
  <c r="CC61" i="1"/>
  <c r="BX61" i="1"/>
  <c r="AG61" i="1"/>
  <c r="U61" i="1"/>
  <c r="AJ61" i="1"/>
  <c r="AE61" i="1"/>
  <c r="Y61" i="1"/>
  <c r="AI61" i="1"/>
  <c r="P61" i="1"/>
  <c r="E61" i="1"/>
  <c r="BX64" i="1"/>
  <c r="CC64" i="1"/>
  <c r="BS64" i="1"/>
  <c r="BE64" i="1"/>
  <c r="AJ64" i="1"/>
  <c r="AI64" i="1"/>
  <c r="AG64" i="1"/>
  <c r="AE64" i="1"/>
  <c r="AA64" i="1"/>
  <c r="Y64" i="1"/>
  <c r="U64" i="1"/>
  <c r="S64" i="1"/>
  <c r="P64" i="1"/>
  <c r="E64" i="1"/>
  <c r="BH65" i="1"/>
  <c r="BR65" i="1"/>
  <c r="BJ65" i="1"/>
  <c r="BE65" i="1"/>
  <c r="BD65" i="1"/>
  <c r="BN63" i="1"/>
  <c r="AP63" i="1"/>
  <c r="CC63" i="1"/>
  <c r="AG63" i="1"/>
  <c r="U63" i="1"/>
  <c r="AE63" i="1"/>
  <c r="E63" i="1"/>
  <c r="AJ63" i="1"/>
  <c r="C305" i="1" l="1"/>
  <c r="C389" i="1" l="1"/>
  <c r="C324" i="1" l="1"/>
  <c r="C383" i="1" l="1"/>
  <c r="C380" i="1"/>
  <c r="AP76" i="1" l="1"/>
  <c r="CC76" i="1"/>
  <c r="AJ76" i="1"/>
  <c r="BE76" i="1"/>
  <c r="AI76" i="1"/>
  <c r="Y76" i="1"/>
  <c r="U76" i="1"/>
  <c r="E76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H545" i="10"/>
  <c r="E545" i="10"/>
  <c r="D545" i="10"/>
  <c r="B545" i="10"/>
  <c r="F545" i="10" s="1"/>
  <c r="E544" i="10"/>
  <c r="D544" i="10"/>
  <c r="B544" i="10"/>
  <c r="F544" i="10" s="1"/>
  <c r="B543" i="10"/>
  <c r="B542" i="10"/>
  <c r="B541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F538" i="10" s="1"/>
  <c r="E537" i="10"/>
  <c r="D537" i="10"/>
  <c r="B537" i="10"/>
  <c r="E536" i="10"/>
  <c r="D536" i="10"/>
  <c r="B536" i="10"/>
  <c r="F536" i="10" s="1"/>
  <c r="D535" i="10"/>
  <c r="B535" i="10"/>
  <c r="E534" i="10"/>
  <c r="D534" i="10"/>
  <c r="B534" i="10"/>
  <c r="F534" i="10" s="1"/>
  <c r="E533" i="10"/>
  <c r="D533" i="10"/>
  <c r="B533" i="10"/>
  <c r="E532" i="10"/>
  <c r="D532" i="10"/>
  <c r="B532" i="10"/>
  <c r="F532" i="10" s="1"/>
  <c r="E531" i="10"/>
  <c r="D531" i="10"/>
  <c r="B531" i="10"/>
  <c r="E530" i="10"/>
  <c r="D530" i="10"/>
  <c r="B530" i="10"/>
  <c r="D529" i="10"/>
  <c r="B529" i="10"/>
  <c r="F529" i="10" s="1"/>
  <c r="D528" i="10"/>
  <c r="B528" i="10"/>
  <c r="E527" i="10"/>
  <c r="D527" i="10"/>
  <c r="B527" i="10"/>
  <c r="F527" i="10" s="1"/>
  <c r="D526" i="10"/>
  <c r="B526" i="10"/>
  <c r="E525" i="10"/>
  <c r="D525" i="10"/>
  <c r="B525" i="10"/>
  <c r="E524" i="10"/>
  <c r="D524" i="10"/>
  <c r="B524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E519" i="10"/>
  <c r="D519" i="10"/>
  <c r="B519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E514" i="10"/>
  <c r="D514" i="10"/>
  <c r="B514" i="10"/>
  <c r="F514" i="10" s="1"/>
  <c r="B513" i="10"/>
  <c r="B512" i="10"/>
  <c r="F512" i="10" s="1"/>
  <c r="E511" i="10"/>
  <c r="D511" i="10"/>
  <c r="B511" i="10"/>
  <c r="E510" i="10"/>
  <c r="D510" i="10"/>
  <c r="B510" i="10"/>
  <c r="F510" i="10" s="1"/>
  <c r="E509" i="10"/>
  <c r="D509" i="10"/>
  <c r="B509" i="10"/>
  <c r="E508" i="10"/>
  <c r="D508" i="10"/>
  <c r="B508" i="10"/>
  <c r="F508" i="10" s="1"/>
  <c r="E507" i="10"/>
  <c r="D507" i="10"/>
  <c r="B507" i="10"/>
  <c r="F507" i="10" s="1"/>
  <c r="E506" i="10"/>
  <c r="D506" i="10"/>
  <c r="B506" i="10"/>
  <c r="H506" i="10" s="1"/>
  <c r="E505" i="10"/>
  <c r="D505" i="10"/>
  <c r="B505" i="10"/>
  <c r="F505" i="10" s="1"/>
  <c r="E504" i="10"/>
  <c r="D504" i="10"/>
  <c r="B504" i="10"/>
  <c r="F504" i="10" s="1"/>
  <c r="E503" i="10"/>
  <c r="D503" i="10"/>
  <c r="B503" i="10"/>
  <c r="E502" i="10"/>
  <c r="D502" i="10"/>
  <c r="B502" i="10"/>
  <c r="H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F499" i="10" s="1"/>
  <c r="D498" i="10"/>
  <c r="B498" i="10"/>
  <c r="E497" i="10"/>
  <c r="D497" i="10"/>
  <c r="B497" i="10"/>
  <c r="E496" i="10"/>
  <c r="D496" i="10"/>
  <c r="B496" i="10"/>
  <c r="G493" i="10"/>
  <c r="F493" i="10"/>
  <c r="E493" i="10"/>
  <c r="D493" i="10"/>
  <c r="C493" i="10"/>
  <c r="B493" i="10"/>
  <c r="A493" i="10"/>
  <c r="B478" i="10"/>
  <c r="C475" i="10"/>
  <c r="B474" i="10"/>
  <c r="B473" i="10"/>
  <c r="B472" i="10"/>
  <c r="B471" i="10"/>
  <c r="B470" i="10"/>
  <c r="B469" i="10"/>
  <c r="B468" i="10"/>
  <c r="B464" i="10"/>
  <c r="B463" i="10"/>
  <c r="C459" i="10"/>
  <c r="B459" i="10"/>
  <c r="B455" i="10"/>
  <c r="B454" i="10"/>
  <c r="B453" i="10"/>
  <c r="C447" i="10"/>
  <c r="C446" i="10"/>
  <c r="C444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4" i="10"/>
  <c r="A412" i="10"/>
  <c r="C394" i="10"/>
  <c r="C392" i="10"/>
  <c r="D390" i="10"/>
  <c r="B441" i="10" s="1"/>
  <c r="D372" i="10"/>
  <c r="C370" i="10"/>
  <c r="B458" i="10" s="1"/>
  <c r="C364" i="10"/>
  <c r="D367" i="10" s="1"/>
  <c r="C448" i="10" s="1"/>
  <c r="D361" i="10"/>
  <c r="B465" i="10" s="1"/>
  <c r="D329" i="10"/>
  <c r="D328" i="10"/>
  <c r="D319" i="10"/>
  <c r="C306" i="10"/>
  <c r="C305" i="10"/>
  <c r="D314" i="10" s="1"/>
  <c r="D290" i="10"/>
  <c r="D283" i="10"/>
  <c r="D277" i="10"/>
  <c r="D275" i="10"/>
  <c r="B476" i="10" s="1"/>
  <c r="C274" i="10"/>
  <c r="B475" i="10" s="1"/>
  <c r="D265" i="10"/>
  <c r="C253" i="10"/>
  <c r="D260" i="10" s="1"/>
  <c r="D292" i="10" s="1"/>
  <c r="D341" i="10" s="1"/>
  <c r="C481" i="10" s="1"/>
  <c r="C252" i="10"/>
  <c r="C25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C171" i="10"/>
  <c r="C169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8" i="10"/>
  <c r="C414" i="10" s="1"/>
  <c r="D138" i="10"/>
  <c r="E127" i="10"/>
  <c r="D111" i="10"/>
  <c r="B415" i="10" s="1"/>
  <c r="AJ80" i="10"/>
  <c r="AI80" i="10"/>
  <c r="Y80" i="10"/>
  <c r="E80" i="10"/>
  <c r="CE80" i="10" s="1"/>
  <c r="L612" i="10" s="1"/>
  <c r="CF79" i="10"/>
  <c r="AI79" i="10"/>
  <c r="P79" i="10"/>
  <c r="E79" i="10"/>
  <c r="CE77" i="10"/>
  <c r="G612" i="10" s="1"/>
  <c r="AI77" i="10"/>
  <c r="E77" i="10"/>
  <c r="BE76" i="10"/>
  <c r="AP76" i="10"/>
  <c r="AJ76" i="10"/>
  <c r="AI76" i="10"/>
  <c r="Y76" i="10"/>
  <c r="U76" i="10"/>
  <c r="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J74" i="10"/>
  <c r="AJ75" i="10" s="1"/>
  <c r="Y74" i="10"/>
  <c r="Y73" i="10"/>
  <c r="CE73" i="10" s="1"/>
  <c r="C463" i="10" s="1"/>
  <c r="CD71" i="10"/>
  <c r="C575" i="10" s="1"/>
  <c r="CC70" i="10"/>
  <c r="CE70" i="10" s="1"/>
  <c r="C458" i="10" s="1"/>
  <c r="CC69" i="10"/>
  <c r="BX69" i="10"/>
  <c r="BN69" i="10"/>
  <c r="AW69" i="10"/>
  <c r="AP69" i="10"/>
  <c r="AG69" i="10"/>
  <c r="Y69" i="10"/>
  <c r="E69" i="10"/>
  <c r="C439" i="10" s="1"/>
  <c r="CC68" i="10"/>
  <c r="BX68" i="10"/>
  <c r="AP68" i="10"/>
  <c r="AJ68" i="10"/>
  <c r="AI68" i="10"/>
  <c r="AG68" i="10"/>
  <c r="AE68" i="10"/>
  <c r="Y68" i="10"/>
  <c r="CE68" i="10" s="1"/>
  <c r="C434" i="10" s="1"/>
  <c r="U68" i="10"/>
  <c r="E68" i="10"/>
  <c r="CC66" i="10"/>
  <c r="BX66" i="10"/>
  <c r="BP66" i="10"/>
  <c r="BE66" i="10"/>
  <c r="BD66" i="10"/>
  <c r="AP66" i="10"/>
  <c r="AJ66" i="10"/>
  <c r="AI66" i="10"/>
  <c r="AG66" i="10"/>
  <c r="AE66" i="10"/>
  <c r="AB66" i="10"/>
  <c r="AA66" i="10"/>
  <c r="Y66" i="10"/>
  <c r="W66" i="10"/>
  <c r="U66" i="10"/>
  <c r="E66" i="10"/>
  <c r="C66" i="10"/>
  <c r="CC65" i="10"/>
  <c r="BR65" i="10"/>
  <c r="BJ65" i="10"/>
  <c r="BH65" i="10"/>
  <c r="BE65" i="10"/>
  <c r="BD65" i="10"/>
  <c r="AP65" i="10"/>
  <c r="AG65" i="10"/>
  <c r="CC64" i="10"/>
  <c r="CB64" i="10"/>
  <c r="BX64" i="10"/>
  <c r="BE64" i="10"/>
  <c r="BD64" i="10"/>
  <c r="AP64" i="10"/>
  <c r="AJ64" i="10"/>
  <c r="AI64" i="10"/>
  <c r="AE64" i="10"/>
  <c r="AB64" i="10"/>
  <c r="AA64" i="10"/>
  <c r="Z64" i="10"/>
  <c r="Y64" i="10"/>
  <c r="X64" i="10"/>
  <c r="W64" i="10"/>
  <c r="U64" i="10"/>
  <c r="P64" i="10"/>
  <c r="E64" i="10"/>
  <c r="C64" i="10"/>
  <c r="CC63" i="10"/>
  <c r="AP63" i="10"/>
  <c r="AG63" i="10"/>
  <c r="Y63" i="10"/>
  <c r="U63" i="10"/>
  <c r="E63" i="10"/>
  <c r="CC61" i="10"/>
  <c r="BY61" i="10"/>
  <c r="BX61" i="10"/>
  <c r="BR61" i="10"/>
  <c r="BL61" i="10"/>
  <c r="BK61" i="10"/>
  <c r="AJ61" i="10"/>
  <c r="AI61" i="10"/>
  <c r="AG61" i="10"/>
  <c r="AE61" i="10"/>
  <c r="AA61" i="10"/>
  <c r="Y61" i="10"/>
  <c r="X61" i="10"/>
  <c r="W61" i="10"/>
  <c r="U61" i="10"/>
  <c r="E61" i="10"/>
  <c r="C61" i="10"/>
  <c r="BY60" i="10"/>
  <c r="BX60" i="10"/>
  <c r="BR60" i="10"/>
  <c r="BL60" i="10"/>
  <c r="BK60" i="10"/>
  <c r="AP60" i="10"/>
  <c r="AJ60" i="10"/>
  <c r="AI60" i="10"/>
  <c r="AG60" i="10"/>
  <c r="AE60" i="10"/>
  <c r="AA60" i="10"/>
  <c r="Y60" i="10"/>
  <c r="X60" i="10"/>
  <c r="W60" i="10"/>
  <c r="U60" i="10"/>
  <c r="AP59" i="10"/>
  <c r="E535" i="10" s="1"/>
  <c r="AJ59" i="10"/>
  <c r="E529" i="10" s="1"/>
  <c r="AI59" i="10"/>
  <c r="E528" i="10" s="1"/>
  <c r="AG59" i="10"/>
  <c r="E526" i="10" s="1"/>
  <c r="Y59" i="10"/>
  <c r="E518" i="10" s="1"/>
  <c r="E59" i="10"/>
  <c r="B53" i="10"/>
  <c r="CE51" i="10"/>
  <c r="B49" i="10"/>
  <c r="CE47" i="10"/>
  <c r="CE75" i="10" l="1"/>
  <c r="D438" i="10"/>
  <c r="CE64" i="10"/>
  <c r="F612" i="10" s="1"/>
  <c r="D463" i="10"/>
  <c r="D465" i="10" s="1"/>
  <c r="F503" i="10"/>
  <c r="H532" i="10"/>
  <c r="CE66" i="10"/>
  <c r="C432" i="10" s="1"/>
  <c r="CE74" i="10"/>
  <c r="C464" i="10" s="1"/>
  <c r="CE79" i="10"/>
  <c r="J612" i="10" s="1"/>
  <c r="E204" i="10"/>
  <c r="C476" i="10" s="1"/>
  <c r="D330" i="10"/>
  <c r="D339" i="10" s="1"/>
  <c r="C482" i="10" s="1"/>
  <c r="CE60" i="10"/>
  <c r="H612" i="10" s="1"/>
  <c r="F509" i="10"/>
  <c r="F531" i="10"/>
  <c r="F515" i="10"/>
  <c r="F517" i="10"/>
  <c r="F519" i="10"/>
  <c r="F518" i="10"/>
  <c r="F511" i="10"/>
  <c r="H539" i="10"/>
  <c r="H523" i="10"/>
  <c r="F497" i="10"/>
  <c r="F524" i="10"/>
  <c r="H508" i="10"/>
  <c r="H536" i="10"/>
  <c r="F535" i="10"/>
  <c r="H501" i="10"/>
  <c r="H500" i="10"/>
  <c r="H527" i="10"/>
  <c r="H505" i="10"/>
  <c r="F502" i="10"/>
  <c r="H540" i="10"/>
  <c r="H504" i="10"/>
  <c r="F496" i="10"/>
  <c r="K612" i="10"/>
  <c r="C465" i="10"/>
  <c r="CE61" i="10"/>
  <c r="F506" i="10"/>
  <c r="F537" i="10"/>
  <c r="H533" i="10"/>
  <c r="F533" i="10"/>
  <c r="E498" i="10"/>
  <c r="D415" i="10"/>
  <c r="CE63" i="10"/>
  <c r="C429" i="10" s="1"/>
  <c r="CE76" i="10"/>
  <c r="D368" i="10"/>
  <c r="D373" i="10" s="1"/>
  <c r="D391" i="10" s="1"/>
  <c r="D393" i="10" s="1"/>
  <c r="D396" i="10" s="1"/>
  <c r="F526" i="10"/>
  <c r="F546" i="10"/>
  <c r="CE69" i="10"/>
  <c r="C440" i="10" s="1"/>
  <c r="CE65" i="10"/>
  <c r="C431" i="10" s="1"/>
  <c r="AJ78" i="10"/>
  <c r="CF77" i="10"/>
  <c r="D242" i="10"/>
  <c r="B448" i="10" s="1"/>
  <c r="F498" i="10"/>
  <c r="F522" i="10"/>
  <c r="H525" i="10"/>
  <c r="F525" i="10"/>
  <c r="D139" i="10"/>
  <c r="E139" i="10" s="1"/>
  <c r="C415" i="10" s="1"/>
  <c r="H507" i="10"/>
  <c r="F513" i="10"/>
  <c r="C445" i="10"/>
  <c r="C468" i="10"/>
  <c r="F520" i="10"/>
  <c r="F528" i="10"/>
  <c r="F530" i="10"/>
  <c r="H530" i="10"/>
  <c r="H534" i="10"/>
  <c r="H538" i="10"/>
  <c r="F550" i="10"/>
  <c r="B575" i="1"/>
  <c r="F493" i="1"/>
  <c r="D493" i="1"/>
  <c r="B493" i="1"/>
  <c r="C430" i="10" l="1"/>
  <c r="D612" i="10"/>
  <c r="BY78" i="10"/>
  <c r="BU78" i="10"/>
  <c r="BL78" i="10"/>
  <c r="Q794" i="10" s="1"/>
  <c r="BC78" i="10"/>
  <c r="AV78" i="10"/>
  <c r="Q778" i="10" s="1"/>
  <c r="AR78" i="10"/>
  <c r="AN78" i="10"/>
  <c r="AF78" i="10"/>
  <c r="AB78" i="10"/>
  <c r="X78" i="10"/>
  <c r="T78" i="10"/>
  <c r="Q750" i="10" s="1"/>
  <c r="P78" i="10"/>
  <c r="L78" i="10"/>
  <c r="H78" i="10"/>
  <c r="Q738" i="10" s="1"/>
  <c r="D78" i="10"/>
  <c r="Q734" i="10" s="1"/>
  <c r="CB78" i="10"/>
  <c r="BX78" i="10"/>
  <c r="BT78" i="10"/>
  <c r="BK78" i="10"/>
  <c r="BB78" i="10"/>
  <c r="AU78" i="10"/>
  <c r="AQ78" i="10"/>
  <c r="AM78" i="10"/>
  <c r="Q769" i="10" s="1"/>
  <c r="AE78" i="10"/>
  <c r="AA78" i="10"/>
  <c r="W78" i="10"/>
  <c r="S78" i="10"/>
  <c r="Q749" i="10" s="1"/>
  <c r="O78" i="10"/>
  <c r="K78" i="10"/>
  <c r="G78" i="10"/>
  <c r="Q737" i="10" s="1"/>
  <c r="C78" i="10"/>
  <c r="CA78" i="10"/>
  <c r="BS78" i="10"/>
  <c r="BA78" i="10"/>
  <c r="AP78" i="10"/>
  <c r="AH78" i="10"/>
  <c r="Q764" i="10" s="1"/>
  <c r="Z78" i="10"/>
  <c r="Q756" i="10" s="1"/>
  <c r="R78" i="10"/>
  <c r="Q748" i="10" s="1"/>
  <c r="J78" i="10"/>
  <c r="CF76" i="10"/>
  <c r="BZ52" i="10" s="1"/>
  <c r="BZ67" i="10" s="1"/>
  <c r="BL52" i="10"/>
  <c r="BL67" i="10" s="1"/>
  <c r="AQ52" i="10"/>
  <c r="AQ67" i="10" s="1"/>
  <c r="U52" i="10"/>
  <c r="U67" i="10" s="1"/>
  <c r="BM52" i="10"/>
  <c r="BM67" i="10" s="1"/>
  <c r="BZ78" i="10"/>
  <c r="Q808" i="10" s="1"/>
  <c r="BM78" i="10"/>
  <c r="Q795" i="10" s="1"/>
  <c r="AW78" i="10"/>
  <c r="Q779" i="10" s="1"/>
  <c r="AO78" i="10"/>
  <c r="AG78" i="10"/>
  <c r="Q763" i="10" s="1"/>
  <c r="Y78" i="10"/>
  <c r="Q78" i="10"/>
  <c r="I78" i="10"/>
  <c r="BP52" i="10"/>
  <c r="BP67" i="10" s="1"/>
  <c r="AU52" i="10"/>
  <c r="AU67" i="10" s="1"/>
  <c r="Y52" i="10"/>
  <c r="Y67" i="10" s="1"/>
  <c r="D52" i="10"/>
  <c r="D67" i="10" s="1"/>
  <c r="AW52" i="10"/>
  <c r="AW67" i="10" s="1"/>
  <c r="BW78" i="10"/>
  <c r="BI78" i="10"/>
  <c r="AT78" i="10"/>
  <c r="AL78" i="10"/>
  <c r="AD78" i="10"/>
  <c r="Q760" i="10" s="1"/>
  <c r="V78" i="10"/>
  <c r="N78" i="10"/>
  <c r="F78" i="10"/>
  <c r="BY52" i="10"/>
  <c r="BY67" i="10" s="1"/>
  <c r="BD52" i="10"/>
  <c r="BD67" i="10" s="1"/>
  <c r="AI52" i="10"/>
  <c r="AI67" i="10" s="1"/>
  <c r="M52" i="10"/>
  <c r="M67" i="10" s="1"/>
  <c r="BV78" i="10"/>
  <c r="Q804" i="10" s="1"/>
  <c r="BH78" i="10"/>
  <c r="Q790" i="10" s="1"/>
  <c r="AS78" i="10"/>
  <c r="AK78" i="10"/>
  <c r="AC78" i="10"/>
  <c r="U78" i="10"/>
  <c r="Q751" i="10" s="1"/>
  <c r="M78" i="10"/>
  <c r="E78" i="10"/>
  <c r="BH52" i="10"/>
  <c r="BH67" i="10" s="1"/>
  <c r="L52" i="10"/>
  <c r="L67" i="10" s="1"/>
  <c r="AI78" i="10"/>
  <c r="C427" i="10"/>
  <c r="CB48" i="10"/>
  <c r="CB62" i="10" s="1"/>
  <c r="BZ48" i="10"/>
  <c r="BZ62" i="10" s="1"/>
  <c r="BV48" i="10"/>
  <c r="BV62" i="10" s="1"/>
  <c r="BR48" i="10"/>
  <c r="BR62" i="10" s="1"/>
  <c r="BN48" i="10"/>
  <c r="BN62" i="10" s="1"/>
  <c r="BJ48" i="10"/>
  <c r="BJ62" i="10" s="1"/>
  <c r="BF48" i="10"/>
  <c r="BF62" i="10" s="1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E736" i="10" s="1"/>
  <c r="BW48" i="10"/>
  <c r="BW62" i="10" s="1"/>
  <c r="E805" i="10" s="1"/>
  <c r="BO48" i="10"/>
  <c r="BO62" i="10" s="1"/>
  <c r="BC48" i="10"/>
  <c r="BC62" i="10" s="1"/>
  <c r="AM48" i="10"/>
  <c r="AM62" i="10" s="1"/>
  <c r="E769" i="10" s="1"/>
  <c r="AA48" i="10"/>
  <c r="AA62" i="10" s="1"/>
  <c r="K48" i="10"/>
  <c r="K62" i="10" s="1"/>
  <c r="BY48" i="10"/>
  <c r="BY62" i="10" s="1"/>
  <c r="BU48" i="10"/>
  <c r="BU62" i="10" s="1"/>
  <c r="BQ48" i="10"/>
  <c r="BQ62" i="10" s="1"/>
  <c r="BM48" i="10"/>
  <c r="BM62" i="10" s="1"/>
  <c r="BM71" i="10" s="1"/>
  <c r="BI48" i="10"/>
  <c r="BI62" i="10" s="1"/>
  <c r="BE48" i="10"/>
  <c r="BE62" i="10" s="1"/>
  <c r="E787" i="10" s="1"/>
  <c r="BA48" i="10"/>
  <c r="BA62" i="10" s="1"/>
  <c r="AW48" i="10"/>
  <c r="AW62" i="10" s="1"/>
  <c r="AS48" i="10"/>
  <c r="AS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U48" i="10"/>
  <c r="U62" i="10" s="1"/>
  <c r="Q48" i="10"/>
  <c r="Q62" i="10" s="1"/>
  <c r="M48" i="10"/>
  <c r="M62" i="10" s="1"/>
  <c r="I48" i="10"/>
  <c r="I62" i="10" s="1"/>
  <c r="E48" i="10"/>
  <c r="E62" i="10" s="1"/>
  <c r="E735" i="10" s="1"/>
  <c r="BS48" i="10"/>
  <c r="BS62" i="10" s="1"/>
  <c r="BG48" i="10"/>
  <c r="BG62" i="10" s="1"/>
  <c r="AU48" i="10"/>
  <c r="AU62" i="10" s="1"/>
  <c r="E777" i="10" s="1"/>
  <c r="AI48" i="10"/>
  <c r="AI62" i="10" s="1"/>
  <c r="S48" i="10"/>
  <c r="S62" i="10" s="1"/>
  <c r="G48" i="10"/>
  <c r="G62" i="10" s="1"/>
  <c r="CC48" i="10"/>
  <c r="CC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BD71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E742" i="10" s="1"/>
  <c r="H48" i="10"/>
  <c r="H62" i="10" s="1"/>
  <c r="D48" i="10"/>
  <c r="D62" i="10" s="1"/>
  <c r="CA48" i="10"/>
  <c r="CA62" i="10" s="1"/>
  <c r="BK48" i="10"/>
  <c r="BK62" i="10" s="1"/>
  <c r="AY48" i="10"/>
  <c r="AY62" i="10" s="1"/>
  <c r="AQ48" i="10"/>
  <c r="AQ62" i="10" s="1"/>
  <c r="AE48" i="10"/>
  <c r="AE62" i="10" s="1"/>
  <c r="W48" i="10"/>
  <c r="W62" i="10" s="1"/>
  <c r="O48" i="10"/>
  <c r="O62" i="10" s="1"/>
  <c r="C48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K814" i="10" s="1"/>
  <c r="I735" i="10"/>
  <c r="H735" i="10"/>
  <c r="G735" i="10"/>
  <c r="F735" i="10"/>
  <c r="D735" i="10"/>
  <c r="C735" i="10"/>
  <c r="B735" i="10"/>
  <c r="A735" i="10"/>
  <c r="T734" i="10"/>
  <c r="S734" i="10"/>
  <c r="R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785" i="10"/>
  <c r="E761" i="10"/>
  <c r="E809" i="10"/>
  <c r="E789" i="10"/>
  <c r="E773" i="10"/>
  <c r="D815" i="10"/>
  <c r="E765" i="10"/>
  <c r="E781" i="10"/>
  <c r="E734" i="10"/>
  <c r="BI729" i="10"/>
  <c r="R815" i="10"/>
  <c r="E748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49" i="9"/>
  <c r="H349" i="9"/>
  <c r="G349" i="9"/>
  <c r="F349" i="9"/>
  <c r="E349" i="9"/>
  <c r="D349" i="9"/>
  <c r="C351" i="9"/>
  <c r="C349" i="9"/>
  <c r="I319" i="9"/>
  <c r="H319" i="9"/>
  <c r="I317" i="9"/>
  <c r="H317" i="9"/>
  <c r="G317" i="9"/>
  <c r="I287" i="9"/>
  <c r="H287" i="9"/>
  <c r="G287" i="9"/>
  <c r="I285" i="9"/>
  <c r="H285" i="9"/>
  <c r="G285" i="9"/>
  <c r="D287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29" i="9"/>
  <c r="D28" i="9"/>
  <c r="H105" i="9"/>
  <c r="G28" i="9"/>
  <c r="G29" i="9"/>
  <c r="G31" i="9"/>
  <c r="H92" i="9"/>
  <c r="I252" i="9"/>
  <c r="F284" i="9"/>
  <c r="H284" i="9"/>
  <c r="H316" i="9"/>
  <c r="D348" i="9"/>
  <c r="G348" i="9"/>
  <c r="E316" i="9"/>
  <c r="C96" i="9"/>
  <c r="F96" i="9"/>
  <c r="G156" i="9"/>
  <c r="G157" i="9"/>
  <c r="E160" i="9"/>
  <c r="G160" i="9"/>
  <c r="H28" i="9"/>
  <c r="I28" i="9"/>
  <c r="H29" i="9"/>
  <c r="F31" i="9"/>
  <c r="H31" i="9"/>
  <c r="I31" i="9"/>
  <c r="G32" i="9"/>
  <c r="H32" i="9"/>
  <c r="I32" i="9"/>
  <c r="C63" i="9"/>
  <c r="D60" i="9"/>
  <c r="E60" i="9"/>
  <c r="F60" i="9"/>
  <c r="G60" i="9"/>
  <c r="H60" i="9"/>
  <c r="D61" i="9"/>
  <c r="E61" i="9"/>
  <c r="F61" i="9"/>
  <c r="G61" i="9"/>
  <c r="D63" i="9"/>
  <c r="E63" i="9"/>
  <c r="F63" i="9"/>
  <c r="G63" i="9"/>
  <c r="D64" i="9"/>
  <c r="E64" i="9"/>
  <c r="F64" i="9"/>
  <c r="G64" i="9"/>
  <c r="H64" i="9"/>
  <c r="C92" i="9"/>
  <c r="C93" i="9"/>
  <c r="D92" i="9"/>
  <c r="D93" i="9"/>
  <c r="D95" i="9"/>
  <c r="D96" i="9"/>
  <c r="I92" i="9"/>
  <c r="G93" i="9"/>
  <c r="H93" i="9"/>
  <c r="I93" i="9"/>
  <c r="G95" i="9"/>
  <c r="H95" i="9"/>
  <c r="I95" i="9"/>
  <c r="G96" i="9"/>
  <c r="H96" i="9"/>
  <c r="I96" i="9"/>
  <c r="E92" i="9"/>
  <c r="F92" i="9"/>
  <c r="E93" i="9"/>
  <c r="F93" i="9"/>
  <c r="E95" i="9"/>
  <c r="F95" i="9"/>
  <c r="E96" i="9"/>
  <c r="C124" i="9"/>
  <c r="C125" i="9"/>
  <c r="C128" i="9"/>
  <c r="E124" i="9"/>
  <c r="F124" i="9"/>
  <c r="D125" i="9"/>
  <c r="E125" i="9"/>
  <c r="F125" i="9"/>
  <c r="E127" i="9"/>
  <c r="F127" i="9"/>
  <c r="E128" i="9"/>
  <c r="F128" i="9"/>
  <c r="I124" i="9"/>
  <c r="H125" i="9"/>
  <c r="I125" i="9"/>
  <c r="H127" i="9"/>
  <c r="I127" i="9"/>
  <c r="H128" i="9"/>
  <c r="I128" i="9"/>
  <c r="G125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9" i="9"/>
  <c r="E159" i="9"/>
  <c r="F159" i="9"/>
  <c r="I159" i="9"/>
  <c r="D160" i="9"/>
  <c r="F160" i="9"/>
  <c r="H160" i="9"/>
  <c r="I160" i="9"/>
  <c r="C188" i="9"/>
  <c r="C189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3" i="9"/>
  <c r="C224" i="9"/>
  <c r="D220" i="9"/>
  <c r="E220" i="9"/>
  <c r="D221" i="9"/>
  <c r="E221" i="9"/>
  <c r="D223" i="9"/>
  <c r="E223" i="9"/>
  <c r="D224" i="9"/>
  <c r="E224" i="9"/>
  <c r="F221" i="9"/>
  <c r="F223" i="9"/>
  <c r="C253" i="9"/>
  <c r="D253" i="9"/>
  <c r="E253" i="9"/>
  <c r="F253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3" i="9"/>
  <c r="H220" i="9"/>
  <c r="C252" i="9"/>
  <c r="E252" i="9"/>
  <c r="F252" i="9"/>
  <c r="G92" i="9"/>
  <c r="H156" i="9"/>
  <c r="F220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I60" i="9"/>
  <c r="G124" i="9"/>
  <c r="E156" i="9"/>
  <c r="D284" i="9"/>
  <c r="G284" i="9"/>
  <c r="G316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N760" i="1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81" i="1"/>
  <c r="R782" i="1"/>
  <c r="R783" i="1"/>
  <c r="R787" i="1"/>
  <c r="R788" i="1"/>
  <c r="R789" i="1"/>
  <c r="R790" i="1"/>
  <c r="R793" i="1"/>
  <c r="R797" i="1"/>
  <c r="R798" i="1"/>
  <c r="R799" i="1"/>
  <c r="R800" i="1"/>
  <c r="R80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55" i="1"/>
  <c r="N761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N766" i="1"/>
  <c r="N743" i="1"/>
  <c r="N769" i="1"/>
  <c r="N747" i="1"/>
  <c r="F12" i="6"/>
  <c r="I377" i="9"/>
  <c r="G122" i="9"/>
  <c r="I26" i="9"/>
  <c r="N740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1" i="1"/>
  <c r="C615" i="1"/>
  <c r="C120" i="8"/>
  <c r="E372" i="9"/>
  <c r="I381" i="9"/>
  <c r="N752" i="1" l="1"/>
  <c r="D330" i="1"/>
  <c r="C86" i="8" s="1"/>
  <c r="F814" i="10"/>
  <c r="K816" i="1"/>
  <c r="N757" i="1"/>
  <c r="N736" i="1"/>
  <c r="AW71" i="10"/>
  <c r="M779" i="10" s="1"/>
  <c r="N765" i="1"/>
  <c r="N777" i="1"/>
  <c r="H58" i="9"/>
  <c r="N753" i="1"/>
  <c r="N762" i="1"/>
  <c r="I380" i="9"/>
  <c r="CB78" i="1"/>
  <c r="CA78" i="1"/>
  <c r="BS78" i="1"/>
  <c r="BA78" i="1"/>
  <c r="AH78" i="1"/>
  <c r="Z78" i="1"/>
  <c r="R78" i="1"/>
  <c r="J78" i="1"/>
  <c r="BM78" i="1"/>
  <c r="AW78" i="1"/>
  <c r="AO78" i="1"/>
  <c r="AG78" i="1"/>
  <c r="Q78" i="1"/>
  <c r="I78" i="1"/>
  <c r="BL78" i="1"/>
  <c r="AV78" i="1"/>
  <c r="AN78" i="1"/>
  <c r="AF78" i="1"/>
  <c r="BZ78" i="1"/>
  <c r="BY78" i="1"/>
  <c r="BX78" i="1"/>
  <c r="BK78" i="1"/>
  <c r="AU78" i="1"/>
  <c r="AM78" i="1"/>
  <c r="AE78" i="1"/>
  <c r="W78" i="1"/>
  <c r="O78" i="1"/>
  <c r="G78" i="1"/>
  <c r="AR78" i="1"/>
  <c r="T78" i="1"/>
  <c r="BB78" i="1"/>
  <c r="S78" i="1"/>
  <c r="H78" i="1"/>
  <c r="BW78" i="1"/>
  <c r="BI78" i="1"/>
  <c r="AT78" i="1"/>
  <c r="AL78" i="1"/>
  <c r="AD78" i="1"/>
  <c r="V78" i="1"/>
  <c r="N78" i="1"/>
  <c r="F78" i="1"/>
  <c r="L78" i="1"/>
  <c r="BT78" i="1"/>
  <c r="AA78" i="1"/>
  <c r="X78" i="1"/>
  <c r="BV78" i="1"/>
  <c r="BH78" i="1"/>
  <c r="AS78" i="1"/>
  <c r="AK78" i="1"/>
  <c r="AC78" i="1"/>
  <c r="M78" i="1"/>
  <c r="BU78" i="1"/>
  <c r="BC78" i="1"/>
  <c r="AB78" i="1"/>
  <c r="D78" i="1"/>
  <c r="AQ78" i="1"/>
  <c r="K78" i="1"/>
  <c r="C78" i="1"/>
  <c r="P78" i="1"/>
  <c r="AI78" i="1"/>
  <c r="E78" i="1"/>
  <c r="U78" i="1"/>
  <c r="Y78" i="1"/>
  <c r="AJ78" i="1"/>
  <c r="AP78" i="1"/>
  <c r="C434" i="1"/>
  <c r="D186" i="9"/>
  <c r="C473" i="1"/>
  <c r="G10" i="4"/>
  <c r="E10" i="4"/>
  <c r="B10" i="4"/>
  <c r="G612" i="1"/>
  <c r="Q816" i="1"/>
  <c r="N751" i="1"/>
  <c r="H122" i="9"/>
  <c r="N758" i="1"/>
  <c r="N737" i="1"/>
  <c r="I372" i="9"/>
  <c r="M816" i="1"/>
  <c r="I366" i="9"/>
  <c r="G816" i="1"/>
  <c r="D816" i="1"/>
  <c r="V48" i="1"/>
  <c r="V62" i="1" s="1"/>
  <c r="E753" i="1" s="1"/>
  <c r="CA48" i="1"/>
  <c r="CA62" i="1" s="1"/>
  <c r="I332" i="9" s="1"/>
  <c r="AV48" i="1"/>
  <c r="AV62" i="1" s="1"/>
  <c r="E779" i="1" s="1"/>
  <c r="BM48" i="1"/>
  <c r="BM62" i="1" s="1"/>
  <c r="E796" i="1" s="1"/>
  <c r="L48" i="1"/>
  <c r="L62" i="1" s="1"/>
  <c r="E743" i="1" s="1"/>
  <c r="AJ48" i="1"/>
  <c r="AJ62" i="1" s="1"/>
  <c r="E767" i="1" s="1"/>
  <c r="CC48" i="1"/>
  <c r="CC62" i="1" s="1"/>
  <c r="E812" i="1" s="1"/>
  <c r="O48" i="1"/>
  <c r="O62" i="1" s="1"/>
  <c r="H44" i="9" s="1"/>
  <c r="BF48" i="1"/>
  <c r="BF62" i="1" s="1"/>
  <c r="E789" i="1" s="1"/>
  <c r="E48" i="1"/>
  <c r="E62" i="1" s="1"/>
  <c r="E736" i="1" s="1"/>
  <c r="D815" i="1"/>
  <c r="C430" i="1"/>
  <c r="F815" i="1"/>
  <c r="D13" i="7"/>
  <c r="F8" i="6"/>
  <c r="B440" i="1"/>
  <c r="C119" i="8"/>
  <c r="B441" i="1"/>
  <c r="BX48" i="1"/>
  <c r="BX62" i="1" s="1"/>
  <c r="F332" i="9" s="1"/>
  <c r="AH48" i="1"/>
  <c r="AH62" i="1" s="1"/>
  <c r="F140" i="9" s="1"/>
  <c r="BD48" i="1"/>
  <c r="BD62" i="1" s="1"/>
  <c r="BY48" i="1"/>
  <c r="BY62" i="1" s="1"/>
  <c r="G332" i="9" s="1"/>
  <c r="BW48" i="1"/>
  <c r="BW62" i="1" s="1"/>
  <c r="E806" i="1" s="1"/>
  <c r="BU48" i="1"/>
  <c r="BU62" i="1" s="1"/>
  <c r="AL48" i="1"/>
  <c r="AL62" i="1" s="1"/>
  <c r="E769" i="1" s="1"/>
  <c r="BL48" i="1"/>
  <c r="BL62" i="1" s="1"/>
  <c r="C48" i="1"/>
  <c r="C62" i="1" s="1"/>
  <c r="E734" i="1" s="1"/>
  <c r="K48" i="1"/>
  <c r="K62" i="1" s="1"/>
  <c r="BA48" i="1"/>
  <c r="BA62" i="1" s="1"/>
  <c r="X48" i="1"/>
  <c r="X62" i="1" s="1"/>
  <c r="AR48" i="1"/>
  <c r="AR62" i="1" s="1"/>
  <c r="I172" i="9" s="1"/>
  <c r="BN48" i="1"/>
  <c r="BN62" i="1" s="1"/>
  <c r="E797" i="1" s="1"/>
  <c r="AA48" i="1"/>
  <c r="AA62" i="1" s="1"/>
  <c r="F108" i="9" s="1"/>
  <c r="AG48" i="1"/>
  <c r="AG62" i="1" s="1"/>
  <c r="E140" i="9" s="1"/>
  <c r="BQ48" i="1"/>
  <c r="BQ62" i="1" s="1"/>
  <c r="F300" i="9" s="1"/>
  <c r="AE48" i="1"/>
  <c r="AE62" i="1" s="1"/>
  <c r="AB48" i="1"/>
  <c r="AB62" i="1" s="1"/>
  <c r="G108" i="9" s="1"/>
  <c r="R48" i="1"/>
  <c r="R62" i="1" s="1"/>
  <c r="E749" i="1" s="1"/>
  <c r="AT48" i="1"/>
  <c r="AT62" i="1" s="1"/>
  <c r="E777" i="1" s="1"/>
  <c r="BP48" i="1"/>
  <c r="BP62" i="1" s="1"/>
  <c r="E799" i="1" s="1"/>
  <c r="AI48" i="1"/>
  <c r="AI62" i="1" s="1"/>
  <c r="E766" i="1" s="1"/>
  <c r="AO48" i="1"/>
  <c r="AO62" i="1" s="1"/>
  <c r="F48" i="1"/>
  <c r="F62" i="1" s="1"/>
  <c r="F12" i="9" s="1"/>
  <c r="Z48" i="1"/>
  <c r="Z62" i="1" s="1"/>
  <c r="E757" i="1" s="1"/>
  <c r="AN48" i="1"/>
  <c r="AN62" i="1" s="1"/>
  <c r="E172" i="9" s="1"/>
  <c r="AX48" i="1"/>
  <c r="AX62" i="1" s="1"/>
  <c r="E781" i="1" s="1"/>
  <c r="BH48" i="1"/>
  <c r="BH62" i="1" s="1"/>
  <c r="BR48" i="1"/>
  <c r="BR62" i="1" s="1"/>
  <c r="E801" i="1" s="1"/>
  <c r="AY48" i="1"/>
  <c r="AY62" i="1" s="1"/>
  <c r="E782" i="1" s="1"/>
  <c r="I48" i="1"/>
  <c r="I62" i="1" s="1"/>
  <c r="E740" i="1" s="1"/>
  <c r="AW48" i="1"/>
  <c r="AW62" i="1" s="1"/>
  <c r="E780" i="1" s="1"/>
  <c r="U48" i="1"/>
  <c r="U62" i="1" s="1"/>
  <c r="G76" i="9" s="1"/>
  <c r="BS48" i="1"/>
  <c r="BS62" i="1" s="1"/>
  <c r="J48" i="1"/>
  <c r="J62" i="1" s="1"/>
  <c r="AD48" i="1"/>
  <c r="AD62" i="1" s="1"/>
  <c r="I108" i="9" s="1"/>
  <c r="AP48" i="1"/>
  <c r="AP62" i="1" s="1"/>
  <c r="AZ48" i="1"/>
  <c r="AZ62" i="1" s="1"/>
  <c r="BJ48" i="1"/>
  <c r="BJ62" i="1" s="1"/>
  <c r="E793" i="1" s="1"/>
  <c r="BT48" i="1"/>
  <c r="BT62" i="1" s="1"/>
  <c r="I300" i="9" s="1"/>
  <c r="BG48" i="1"/>
  <c r="BG62" i="1" s="1"/>
  <c r="AU48" i="1"/>
  <c r="AU62" i="1" s="1"/>
  <c r="AS48" i="1"/>
  <c r="AS62" i="1" s="1"/>
  <c r="N48" i="1"/>
  <c r="N62" i="1" s="1"/>
  <c r="E745" i="1" s="1"/>
  <c r="AF48" i="1"/>
  <c r="AF62" i="1" s="1"/>
  <c r="E763" i="1" s="1"/>
  <c r="BB48" i="1"/>
  <c r="BB62" i="1" s="1"/>
  <c r="E236" i="9" s="1"/>
  <c r="BV48" i="1"/>
  <c r="BV62" i="1" s="1"/>
  <c r="BO48" i="1"/>
  <c r="BO62" i="1" s="1"/>
  <c r="D300" i="9" s="1"/>
  <c r="Q48" i="1"/>
  <c r="Q62" i="1" s="1"/>
  <c r="E748" i="1" s="1"/>
  <c r="BE48" i="1"/>
  <c r="BE62" i="1" s="1"/>
  <c r="AK48" i="1"/>
  <c r="AK62" i="1" s="1"/>
  <c r="BI48" i="1"/>
  <c r="BI62" i="1" s="1"/>
  <c r="E792" i="1" s="1"/>
  <c r="G48" i="1"/>
  <c r="G62" i="1" s="1"/>
  <c r="G12" i="9" s="1"/>
  <c r="D48" i="1"/>
  <c r="D62" i="1" s="1"/>
  <c r="D12" i="9" s="1"/>
  <c r="C33" i="8"/>
  <c r="P816" i="1"/>
  <c r="C624" i="10"/>
  <c r="C549" i="10"/>
  <c r="B549" i="1"/>
  <c r="C631" i="10"/>
  <c r="C542" i="10"/>
  <c r="B542" i="1"/>
  <c r="C558" i="10"/>
  <c r="C638" i="10"/>
  <c r="B558" i="1"/>
  <c r="BZ71" i="10"/>
  <c r="R52" i="10"/>
  <c r="R67" i="10" s="1"/>
  <c r="AH52" i="10"/>
  <c r="AH67" i="10" s="1"/>
  <c r="AH71" i="10" s="1"/>
  <c r="AX52" i="10"/>
  <c r="AX67" i="10" s="1"/>
  <c r="BN52" i="10"/>
  <c r="BN67" i="10" s="1"/>
  <c r="BN71" i="10" s="1"/>
  <c r="CE78" i="10"/>
  <c r="I612" i="10" s="1"/>
  <c r="T814" i="10"/>
  <c r="H814" i="10"/>
  <c r="R814" i="10"/>
  <c r="P814" i="10"/>
  <c r="L71" i="10"/>
  <c r="BH71" i="10"/>
  <c r="AI71" i="10"/>
  <c r="U71" i="10"/>
  <c r="R71" i="10"/>
  <c r="AX71" i="10"/>
  <c r="W52" i="10"/>
  <c r="W67" i="10" s="1"/>
  <c r="W71" i="10" s="1"/>
  <c r="BX52" i="10"/>
  <c r="BX67" i="10" s="1"/>
  <c r="BX71" i="10" s="1"/>
  <c r="S52" i="10"/>
  <c r="S67" i="10" s="1"/>
  <c r="S71" i="10" s="1"/>
  <c r="AN52" i="10"/>
  <c r="AN67" i="10" s="1"/>
  <c r="AN71" i="10" s="1"/>
  <c r="BI52" i="10"/>
  <c r="BI67" i="10" s="1"/>
  <c r="G52" i="10"/>
  <c r="G67" i="10" s="1"/>
  <c r="BC52" i="10"/>
  <c r="BC67" i="10" s="1"/>
  <c r="I52" i="10"/>
  <c r="I67" i="10" s="1"/>
  <c r="AE52" i="10"/>
  <c r="AE67" i="10" s="1"/>
  <c r="AE71" i="10" s="1"/>
  <c r="AZ52" i="10"/>
  <c r="AZ67" i="10" s="1"/>
  <c r="BU52" i="10"/>
  <c r="BU67" i="10" s="1"/>
  <c r="BU71" i="10" s="1"/>
  <c r="E52" i="10"/>
  <c r="E67" i="10" s="1"/>
  <c r="E71" i="10" s="1"/>
  <c r="AA52" i="10"/>
  <c r="AA67" i="10" s="1"/>
  <c r="AA71" i="10" s="1"/>
  <c r="AV52" i="10"/>
  <c r="AV67" i="10" s="1"/>
  <c r="BQ52" i="10"/>
  <c r="BQ67" i="10" s="1"/>
  <c r="BQ71" i="10" s="1"/>
  <c r="F52" i="10"/>
  <c r="F67" i="10" s="1"/>
  <c r="V52" i="10"/>
  <c r="V67" i="10" s="1"/>
  <c r="V71" i="10" s="1"/>
  <c r="AL52" i="10"/>
  <c r="AL67" i="10" s="1"/>
  <c r="BB52" i="10"/>
  <c r="BB67" i="10" s="1"/>
  <c r="BB71" i="10" s="1"/>
  <c r="BR52" i="10"/>
  <c r="BR67" i="10" s="1"/>
  <c r="E797" i="10"/>
  <c r="Q733" i="10"/>
  <c r="C62" i="10"/>
  <c r="CE48" i="10"/>
  <c r="AQ71" i="10"/>
  <c r="AV71" i="10"/>
  <c r="BL71" i="10"/>
  <c r="AU71" i="10"/>
  <c r="I71" i="10"/>
  <c r="Y71" i="10"/>
  <c r="F71" i="10"/>
  <c r="AL71" i="10"/>
  <c r="BR71" i="10"/>
  <c r="AM52" i="10"/>
  <c r="AM67" i="10" s="1"/>
  <c r="AM71" i="10" s="1"/>
  <c r="C52" i="10"/>
  <c r="X52" i="10"/>
  <c r="X67" i="10" s="1"/>
  <c r="X71" i="10" s="1"/>
  <c r="AS52" i="10"/>
  <c r="AS67" i="10" s="1"/>
  <c r="BO52" i="10"/>
  <c r="BO67" i="10" s="1"/>
  <c r="BO71" i="10" s="1"/>
  <c r="Q52" i="10"/>
  <c r="Q67" i="10" s="1"/>
  <c r="Q71" i="10" s="1"/>
  <c r="BS52" i="10"/>
  <c r="BS67" i="10" s="1"/>
  <c r="BS71" i="10" s="1"/>
  <c r="O52" i="10"/>
  <c r="O67" i="10" s="1"/>
  <c r="AJ52" i="10"/>
  <c r="AJ67" i="10" s="1"/>
  <c r="BE52" i="10"/>
  <c r="BE67" i="10" s="1"/>
  <c r="BE71" i="10" s="1"/>
  <c r="CA52" i="10"/>
  <c r="CA67" i="10" s="1"/>
  <c r="CA71" i="10" s="1"/>
  <c r="K52" i="10"/>
  <c r="K67" i="10" s="1"/>
  <c r="K71" i="10" s="1"/>
  <c r="AF52" i="10"/>
  <c r="AF67" i="10" s="1"/>
  <c r="AF71" i="10" s="1"/>
  <c r="BA52" i="10"/>
  <c r="BA67" i="10" s="1"/>
  <c r="BA71" i="10" s="1"/>
  <c r="BW52" i="10"/>
  <c r="BW67" i="10" s="1"/>
  <c r="BW71" i="10" s="1"/>
  <c r="J52" i="10"/>
  <c r="J67" i="10" s="1"/>
  <c r="Z52" i="10"/>
  <c r="Z67" i="10" s="1"/>
  <c r="AP52" i="10"/>
  <c r="AP67" i="10" s="1"/>
  <c r="BF52" i="10"/>
  <c r="BF67" i="10" s="1"/>
  <c r="BF71" i="10" s="1"/>
  <c r="BV52" i="10"/>
  <c r="BV67" i="10" s="1"/>
  <c r="E738" i="10"/>
  <c r="E801" i="10"/>
  <c r="O71" i="10"/>
  <c r="D71" i="10"/>
  <c r="AJ71" i="10"/>
  <c r="AZ71" i="10"/>
  <c r="BP71" i="10"/>
  <c r="G71" i="10"/>
  <c r="M71" i="10"/>
  <c r="AS71" i="10"/>
  <c r="BI71" i="10"/>
  <c r="BY71" i="10"/>
  <c r="BC71" i="10"/>
  <c r="J71" i="10"/>
  <c r="Z71" i="10"/>
  <c r="AP71" i="10"/>
  <c r="BV71" i="10"/>
  <c r="AR52" i="10"/>
  <c r="AR67" i="10" s="1"/>
  <c r="AR71" i="10" s="1"/>
  <c r="H52" i="10"/>
  <c r="H67" i="10" s="1"/>
  <c r="H71" i="10" s="1"/>
  <c r="AC52" i="10"/>
  <c r="AC67" i="10" s="1"/>
  <c r="AC71" i="10" s="1"/>
  <c r="AY52" i="10"/>
  <c r="AY67" i="10" s="1"/>
  <c r="AY71" i="10" s="1"/>
  <c r="BT52" i="10"/>
  <c r="BT67" i="10" s="1"/>
  <c r="BT71" i="10" s="1"/>
  <c r="AG52" i="10"/>
  <c r="AG67" i="10" s="1"/>
  <c r="AG71" i="10" s="1"/>
  <c r="CC52" i="10"/>
  <c r="CC67" i="10" s="1"/>
  <c r="CC71" i="10" s="1"/>
  <c r="T52" i="10"/>
  <c r="T67" i="10" s="1"/>
  <c r="T71" i="10" s="1"/>
  <c r="AO52" i="10"/>
  <c r="AO67" i="10" s="1"/>
  <c r="AO71" i="10" s="1"/>
  <c r="BK52" i="10"/>
  <c r="BK67" i="10" s="1"/>
  <c r="BK71" i="10" s="1"/>
  <c r="AB52" i="10"/>
  <c r="AB67" i="10" s="1"/>
  <c r="AB71" i="10" s="1"/>
  <c r="P52" i="10"/>
  <c r="P67" i="10" s="1"/>
  <c r="P71" i="10" s="1"/>
  <c r="AK52" i="10"/>
  <c r="AK67" i="10" s="1"/>
  <c r="AK71" i="10" s="1"/>
  <c r="BG52" i="10"/>
  <c r="BG67" i="10" s="1"/>
  <c r="BG71" i="10" s="1"/>
  <c r="CB52" i="10"/>
  <c r="CB67" i="10" s="1"/>
  <c r="CB71" i="10" s="1"/>
  <c r="N52" i="10"/>
  <c r="N67" i="10" s="1"/>
  <c r="N71" i="10" s="1"/>
  <c r="AD52" i="10"/>
  <c r="AD67" i="10" s="1"/>
  <c r="AD71" i="10" s="1"/>
  <c r="AT52" i="10"/>
  <c r="AT67" i="10" s="1"/>
  <c r="AT71" i="10" s="1"/>
  <c r="BJ52" i="10"/>
  <c r="BJ67" i="10" s="1"/>
  <c r="BJ71" i="10" s="1"/>
  <c r="E373" i="9"/>
  <c r="C575" i="1"/>
  <c r="E752" i="10"/>
  <c r="C14" i="5"/>
  <c r="D428" i="1"/>
  <c r="D612" i="1"/>
  <c r="CF76" i="1"/>
  <c r="BT52" i="1" s="1"/>
  <c r="BT67" i="1" s="1"/>
  <c r="D436" i="1"/>
  <c r="C28" i="4"/>
  <c r="C421" i="1"/>
  <c r="C470" i="1"/>
  <c r="F9" i="6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I62" i="9" l="1"/>
  <c r="R747" i="1"/>
  <c r="F62" i="9"/>
  <c r="R744" i="1"/>
  <c r="I318" i="9"/>
  <c r="R803" i="1"/>
  <c r="E286" i="9"/>
  <c r="R792" i="1"/>
  <c r="H62" i="9"/>
  <c r="R746" i="1"/>
  <c r="H350" i="9"/>
  <c r="R809" i="1"/>
  <c r="F190" i="9"/>
  <c r="R772" i="1"/>
  <c r="H318" i="9"/>
  <c r="R802" i="1"/>
  <c r="R734" i="1"/>
  <c r="C30" i="9"/>
  <c r="CE78" i="1"/>
  <c r="H126" i="9"/>
  <c r="R760" i="1"/>
  <c r="E62" i="9"/>
  <c r="R743" i="1"/>
  <c r="R806" i="1"/>
  <c r="E350" i="9"/>
  <c r="I94" i="9"/>
  <c r="R754" i="1"/>
  <c r="D158" i="9"/>
  <c r="R763" i="1"/>
  <c r="G222" i="9"/>
  <c r="R780" i="1"/>
  <c r="I350" i="9"/>
  <c r="R810" i="1"/>
  <c r="R811" i="1"/>
  <c r="C382" i="9"/>
  <c r="R767" i="1"/>
  <c r="H158" i="9"/>
  <c r="H190" i="9"/>
  <c r="R774" i="1"/>
  <c r="C222" i="9"/>
  <c r="R776" i="1"/>
  <c r="G62" i="9"/>
  <c r="R745" i="1"/>
  <c r="R750" i="1"/>
  <c r="E94" i="9"/>
  <c r="R770" i="1"/>
  <c r="D190" i="9"/>
  <c r="R779" i="1"/>
  <c r="F222" i="9"/>
  <c r="R741" i="1"/>
  <c r="C62" i="9"/>
  <c r="G190" i="9"/>
  <c r="R773" i="1"/>
  <c r="D62" i="9"/>
  <c r="R742" i="1"/>
  <c r="R768" i="1"/>
  <c r="I158" i="9"/>
  <c r="F30" i="9"/>
  <c r="R737" i="1"/>
  <c r="R739" i="1"/>
  <c r="H30" i="9"/>
  <c r="C158" i="9"/>
  <c r="R762" i="1"/>
  <c r="R771" i="1"/>
  <c r="E190" i="9"/>
  <c r="I286" i="9"/>
  <c r="R796" i="1"/>
  <c r="R756" i="1"/>
  <c r="D126" i="9"/>
  <c r="D30" i="9"/>
  <c r="R735" i="1"/>
  <c r="D286" i="9"/>
  <c r="R791" i="1"/>
  <c r="H94" i="9"/>
  <c r="R753" i="1"/>
  <c r="R785" i="1"/>
  <c r="E254" i="9"/>
  <c r="R778" i="1"/>
  <c r="E222" i="9"/>
  <c r="R795" i="1"/>
  <c r="H286" i="9"/>
  <c r="R749" i="1"/>
  <c r="D94" i="9"/>
  <c r="R752" i="1"/>
  <c r="G94" i="9"/>
  <c r="G126" i="9"/>
  <c r="R759" i="1"/>
  <c r="R805" i="1"/>
  <c r="D350" i="9"/>
  <c r="R761" i="1"/>
  <c r="I126" i="9"/>
  <c r="R751" i="1"/>
  <c r="F94" i="9"/>
  <c r="G286" i="9"/>
  <c r="R794" i="1"/>
  <c r="I30" i="9"/>
  <c r="R740" i="1"/>
  <c r="R757" i="1"/>
  <c r="E126" i="9"/>
  <c r="E30" i="9"/>
  <c r="R736" i="1"/>
  <c r="R786" i="1"/>
  <c r="F254" i="9"/>
  <c r="R755" i="1"/>
  <c r="C126" i="9"/>
  <c r="R769" i="1"/>
  <c r="C190" i="9"/>
  <c r="I190" i="9"/>
  <c r="R775" i="1"/>
  <c r="R807" i="1"/>
  <c r="F350" i="9"/>
  <c r="C94" i="9"/>
  <c r="R748" i="1"/>
  <c r="F158" i="9"/>
  <c r="R765" i="1"/>
  <c r="R766" i="1"/>
  <c r="G158" i="9"/>
  <c r="R804" i="1"/>
  <c r="C350" i="9"/>
  <c r="R758" i="1"/>
  <c r="F126" i="9"/>
  <c r="D222" i="9"/>
  <c r="R777" i="1"/>
  <c r="G30" i="9"/>
  <c r="R738" i="1"/>
  <c r="G350" i="9"/>
  <c r="R808" i="1"/>
  <c r="R764" i="1"/>
  <c r="E158" i="9"/>
  <c r="R784" i="1"/>
  <c r="D254" i="9"/>
  <c r="E810" i="1"/>
  <c r="I268" i="9"/>
  <c r="H76" i="9"/>
  <c r="F204" i="9"/>
  <c r="E44" i="9"/>
  <c r="H140" i="9"/>
  <c r="I236" i="9"/>
  <c r="E12" i="9"/>
  <c r="D364" i="9"/>
  <c r="E300" i="9"/>
  <c r="E746" i="1"/>
  <c r="C300" i="9"/>
  <c r="E807" i="1"/>
  <c r="C76" i="9"/>
  <c r="E808" i="1"/>
  <c r="E758" i="1"/>
  <c r="E762" i="1"/>
  <c r="E795" i="1"/>
  <c r="D204" i="9"/>
  <c r="G204" i="9"/>
  <c r="E771" i="1"/>
  <c r="E783" i="1"/>
  <c r="E765" i="1"/>
  <c r="H268" i="9"/>
  <c r="E735" i="1"/>
  <c r="D236" i="9"/>
  <c r="C236" i="9"/>
  <c r="E804" i="1"/>
  <c r="E798" i="1"/>
  <c r="C332" i="9"/>
  <c r="G44" i="9"/>
  <c r="C140" i="9"/>
  <c r="H204" i="9"/>
  <c r="E800" i="1"/>
  <c r="I204" i="9"/>
  <c r="E332" i="9"/>
  <c r="E108" i="9"/>
  <c r="C12" i="9"/>
  <c r="F268" i="9"/>
  <c r="I12" i="9"/>
  <c r="D44" i="9"/>
  <c r="G140" i="9"/>
  <c r="E784" i="1"/>
  <c r="E764" i="1"/>
  <c r="E742" i="1"/>
  <c r="E204" i="9"/>
  <c r="E778" i="1"/>
  <c r="C108" i="9"/>
  <c r="F44" i="9"/>
  <c r="C172" i="9"/>
  <c r="E805" i="1"/>
  <c r="G172" i="9"/>
  <c r="E738" i="1"/>
  <c r="E773" i="1"/>
  <c r="H172" i="9"/>
  <c r="E755" i="1"/>
  <c r="D332" i="9"/>
  <c r="F172" i="9"/>
  <c r="G300" i="9"/>
  <c r="E772" i="1"/>
  <c r="G236" i="9"/>
  <c r="E787" i="1"/>
  <c r="E744" i="1"/>
  <c r="E759" i="1"/>
  <c r="E775" i="1"/>
  <c r="D76" i="9"/>
  <c r="E811" i="1"/>
  <c r="E741" i="1"/>
  <c r="E737" i="1"/>
  <c r="H236" i="9"/>
  <c r="E788" i="1"/>
  <c r="E803" i="1"/>
  <c r="BT71" i="1"/>
  <c r="C268" i="9"/>
  <c r="E790" i="1"/>
  <c r="E791" i="1"/>
  <c r="D268" i="9"/>
  <c r="E752" i="1"/>
  <c r="E768" i="1"/>
  <c r="I140" i="9"/>
  <c r="E785" i="1"/>
  <c r="C44" i="9"/>
  <c r="E761" i="1"/>
  <c r="C204" i="9"/>
  <c r="E776" i="1"/>
  <c r="CE62" i="1"/>
  <c r="D140" i="9"/>
  <c r="E268" i="9"/>
  <c r="E802" i="1"/>
  <c r="H300" i="9"/>
  <c r="D108" i="9"/>
  <c r="E756" i="1"/>
  <c r="CE48" i="1"/>
  <c r="BV52" i="1"/>
  <c r="BV67" i="1" s="1"/>
  <c r="D337" i="9" s="1"/>
  <c r="BY52" i="1"/>
  <c r="BY67" i="1" s="1"/>
  <c r="BN52" i="1"/>
  <c r="BN67" i="1" s="1"/>
  <c r="J797" i="1" s="1"/>
  <c r="BD52" i="1"/>
  <c r="BD67" i="1" s="1"/>
  <c r="J787" i="1" s="1"/>
  <c r="BF52" i="1"/>
  <c r="BF67" i="1" s="1"/>
  <c r="AK52" i="1"/>
  <c r="AK67" i="1" s="1"/>
  <c r="I145" i="9" s="1"/>
  <c r="G52" i="1"/>
  <c r="G67" i="1" s="1"/>
  <c r="J738" i="1" s="1"/>
  <c r="T52" i="1"/>
  <c r="T67" i="1" s="1"/>
  <c r="F81" i="9" s="1"/>
  <c r="AX52" i="1"/>
  <c r="AX67" i="1" s="1"/>
  <c r="J781" i="1" s="1"/>
  <c r="BM52" i="1"/>
  <c r="BM67" i="1" s="1"/>
  <c r="BE52" i="1"/>
  <c r="BE67" i="1" s="1"/>
  <c r="J788" i="1" s="1"/>
  <c r="AY52" i="1"/>
  <c r="AY67" i="1" s="1"/>
  <c r="I209" i="9" s="1"/>
  <c r="BX52" i="1"/>
  <c r="BX67" i="1" s="1"/>
  <c r="BR52" i="1"/>
  <c r="BR67" i="1" s="1"/>
  <c r="J801" i="1" s="1"/>
  <c r="M52" i="1"/>
  <c r="M67" i="1" s="1"/>
  <c r="F49" i="9" s="1"/>
  <c r="F52" i="1"/>
  <c r="F67" i="1" s="1"/>
  <c r="J737" i="1" s="1"/>
  <c r="J52" i="1"/>
  <c r="J67" i="1" s="1"/>
  <c r="C49" i="9" s="1"/>
  <c r="H52" i="1"/>
  <c r="H67" i="1" s="1"/>
  <c r="J739" i="1" s="1"/>
  <c r="AG52" i="1"/>
  <c r="AG67" i="1" s="1"/>
  <c r="J764" i="1" s="1"/>
  <c r="AA52" i="1"/>
  <c r="AA67" i="1" s="1"/>
  <c r="J758" i="1" s="1"/>
  <c r="CB52" i="1"/>
  <c r="CB67" i="1" s="1"/>
  <c r="J811" i="1" s="1"/>
  <c r="AM52" i="1"/>
  <c r="AM67" i="1" s="1"/>
  <c r="J770" i="1" s="1"/>
  <c r="AN52" i="1"/>
  <c r="AN67" i="1" s="1"/>
  <c r="J771" i="1" s="1"/>
  <c r="AB52" i="1"/>
  <c r="AB67" i="1" s="1"/>
  <c r="G113" i="9" s="1"/>
  <c r="D52" i="1"/>
  <c r="D67" i="1" s="1"/>
  <c r="J735" i="1" s="1"/>
  <c r="AW52" i="1"/>
  <c r="AW67" i="1" s="1"/>
  <c r="J780" i="1" s="1"/>
  <c r="BQ52" i="1"/>
  <c r="BQ67" i="1" s="1"/>
  <c r="J800" i="1" s="1"/>
  <c r="AF52" i="1"/>
  <c r="AF67" i="1" s="1"/>
  <c r="J763" i="1" s="1"/>
  <c r="AH52" i="1"/>
  <c r="AH67" i="1" s="1"/>
  <c r="AJ52" i="1"/>
  <c r="AJ67" i="1" s="1"/>
  <c r="V52" i="1"/>
  <c r="V67" i="1" s="1"/>
  <c r="BP52" i="1"/>
  <c r="BP67" i="1" s="1"/>
  <c r="BP71" i="1" s="1"/>
  <c r="P52" i="1"/>
  <c r="P67" i="1" s="1"/>
  <c r="J747" i="1" s="1"/>
  <c r="J803" i="1"/>
  <c r="I305" i="9"/>
  <c r="BO52" i="1"/>
  <c r="BO67" i="1" s="1"/>
  <c r="J798" i="1" s="1"/>
  <c r="C679" i="10"/>
  <c r="C507" i="10"/>
  <c r="G507" i="10" s="1"/>
  <c r="B507" i="1"/>
  <c r="M744" i="10"/>
  <c r="C681" i="10"/>
  <c r="C509" i="10"/>
  <c r="B509" i="1"/>
  <c r="M746" i="10"/>
  <c r="C685" i="10"/>
  <c r="C513" i="10"/>
  <c r="B513" i="1"/>
  <c r="M750" i="10"/>
  <c r="C625" i="10"/>
  <c r="C544" i="10"/>
  <c r="B544" i="1"/>
  <c r="M781" i="10"/>
  <c r="C697" i="10"/>
  <c r="C525" i="10"/>
  <c r="G525" i="10" s="1"/>
  <c r="B525" i="1"/>
  <c r="M762" i="10"/>
  <c r="C560" i="10"/>
  <c r="C627" i="10"/>
  <c r="B560" i="1"/>
  <c r="M797" i="10"/>
  <c r="C687" i="10"/>
  <c r="C515" i="10"/>
  <c r="B515" i="1"/>
  <c r="M752" i="10"/>
  <c r="C692" i="10"/>
  <c r="C520" i="10"/>
  <c r="B520" i="1"/>
  <c r="F520" i="1" s="1"/>
  <c r="M757" i="10"/>
  <c r="C696" i="10"/>
  <c r="C524" i="10"/>
  <c r="B524" i="1"/>
  <c r="M761" i="10"/>
  <c r="C688" i="10"/>
  <c r="C516" i="10"/>
  <c r="B516" i="1"/>
  <c r="M753" i="10"/>
  <c r="C555" i="10"/>
  <c r="C617" i="10"/>
  <c r="B555" i="1"/>
  <c r="M792" i="10"/>
  <c r="C622" i="10"/>
  <c r="C573" i="10"/>
  <c r="B573" i="1"/>
  <c r="M810" i="10"/>
  <c r="C693" i="10"/>
  <c r="C521" i="10"/>
  <c r="B521" i="1"/>
  <c r="M758" i="10"/>
  <c r="C574" i="10"/>
  <c r="C620" i="10"/>
  <c r="B574" i="1"/>
  <c r="M811" i="10"/>
  <c r="C694" i="10"/>
  <c r="C522" i="10"/>
  <c r="B522" i="1"/>
  <c r="M759" i="10"/>
  <c r="C676" i="10"/>
  <c r="C504" i="10"/>
  <c r="G504" i="10" s="1"/>
  <c r="B504" i="1"/>
  <c r="M741" i="10"/>
  <c r="C670" i="10"/>
  <c r="C498" i="10"/>
  <c r="B498" i="1"/>
  <c r="F498" i="1" s="1"/>
  <c r="M735" i="10"/>
  <c r="C705" i="10"/>
  <c r="C533" i="10"/>
  <c r="G533" i="10" s="1"/>
  <c r="B533" i="1"/>
  <c r="M770" i="10"/>
  <c r="C711" i="10"/>
  <c r="C539" i="10"/>
  <c r="G539" i="10" s="1"/>
  <c r="B539" i="1"/>
  <c r="M776" i="10"/>
  <c r="C552" i="10"/>
  <c r="C618" i="10"/>
  <c r="B552" i="1"/>
  <c r="M789" i="10"/>
  <c r="C635" i="10"/>
  <c r="C556" i="10"/>
  <c r="B556" i="1"/>
  <c r="M793" i="10"/>
  <c r="C698" i="10"/>
  <c r="C526" i="10"/>
  <c r="B526" i="1"/>
  <c r="M763" i="10"/>
  <c r="C501" i="10"/>
  <c r="G501" i="10" s="1"/>
  <c r="C673" i="10"/>
  <c r="B501" i="1"/>
  <c r="H501" i="1" s="1"/>
  <c r="M738" i="10"/>
  <c r="C551" i="10"/>
  <c r="C629" i="10"/>
  <c r="B551" i="1"/>
  <c r="M788" i="10"/>
  <c r="C643" i="10"/>
  <c r="C568" i="10"/>
  <c r="B568" i="1"/>
  <c r="M805" i="10"/>
  <c r="C647" i="10"/>
  <c r="C572" i="10"/>
  <c r="B572" i="1"/>
  <c r="M809" i="10"/>
  <c r="C564" i="10"/>
  <c r="C639" i="10"/>
  <c r="B564" i="1"/>
  <c r="M801" i="10"/>
  <c r="C689" i="10"/>
  <c r="C517" i="10"/>
  <c r="B517" i="1"/>
  <c r="M754" i="10"/>
  <c r="C562" i="10"/>
  <c r="C623" i="10"/>
  <c r="B562" i="1"/>
  <c r="M799" i="10"/>
  <c r="C684" i="10"/>
  <c r="C512" i="10"/>
  <c r="B512" i="1"/>
  <c r="M749" i="10"/>
  <c r="C695" i="10"/>
  <c r="C523" i="10"/>
  <c r="G523" i="10" s="1"/>
  <c r="B523" i="1"/>
  <c r="M760" i="10"/>
  <c r="C702" i="10"/>
  <c r="C530" i="10"/>
  <c r="G530" i="10" s="1"/>
  <c r="B530" i="1"/>
  <c r="M767" i="10"/>
  <c r="C706" i="10"/>
  <c r="C534" i="10"/>
  <c r="G534" i="10" s="1"/>
  <c r="B534" i="1"/>
  <c r="M771" i="10"/>
  <c r="C640" i="10"/>
  <c r="C565" i="10"/>
  <c r="B565" i="1"/>
  <c r="M802" i="10"/>
  <c r="C709" i="10"/>
  <c r="C537" i="10"/>
  <c r="B537" i="1"/>
  <c r="M774" i="10"/>
  <c r="C630" i="10"/>
  <c r="C546" i="10"/>
  <c r="B546" i="1"/>
  <c r="M783" i="10"/>
  <c r="C614" i="10"/>
  <c r="C550" i="10"/>
  <c r="B550" i="1"/>
  <c r="M787" i="10"/>
  <c r="C682" i="10"/>
  <c r="C510" i="10"/>
  <c r="B510" i="1"/>
  <c r="M747" i="10"/>
  <c r="C644" i="10"/>
  <c r="C569" i="10"/>
  <c r="B569" i="1"/>
  <c r="M806" i="10"/>
  <c r="C691" i="10"/>
  <c r="C519" i="10"/>
  <c r="B519" i="1"/>
  <c r="M756" i="10"/>
  <c r="C634" i="10"/>
  <c r="C554" i="10"/>
  <c r="B554" i="1"/>
  <c r="M791" i="10"/>
  <c r="C701" i="10"/>
  <c r="C529" i="10"/>
  <c r="B529" i="1"/>
  <c r="M766" i="10"/>
  <c r="C680" i="10"/>
  <c r="C508" i="10"/>
  <c r="G508" i="10" s="1"/>
  <c r="B508" i="1"/>
  <c r="M745" i="10"/>
  <c r="C632" i="10"/>
  <c r="C547" i="10"/>
  <c r="B547" i="1"/>
  <c r="M784" i="10"/>
  <c r="C704" i="10"/>
  <c r="C532" i="10"/>
  <c r="G532" i="10" s="1"/>
  <c r="B532" i="1"/>
  <c r="M769" i="10"/>
  <c r="C690" i="10"/>
  <c r="C518" i="10"/>
  <c r="B518" i="1"/>
  <c r="M755" i="10"/>
  <c r="C637" i="10"/>
  <c r="C557" i="10"/>
  <c r="B557" i="1"/>
  <c r="M794" i="10"/>
  <c r="C708" i="10"/>
  <c r="C536" i="10"/>
  <c r="G536" i="10" s="1"/>
  <c r="B536" i="1"/>
  <c r="M773" i="10"/>
  <c r="C699" i="10"/>
  <c r="C527" i="10"/>
  <c r="G527" i="10" s="1"/>
  <c r="B527" i="1"/>
  <c r="M764" i="10"/>
  <c r="C642" i="10"/>
  <c r="C567" i="10"/>
  <c r="B567" i="1"/>
  <c r="M804" i="10"/>
  <c r="C675" i="10"/>
  <c r="C503" i="10"/>
  <c r="B503" i="1"/>
  <c r="M740" i="10"/>
  <c r="C710" i="10"/>
  <c r="C538" i="10"/>
  <c r="G538" i="10" s="1"/>
  <c r="B538" i="1"/>
  <c r="M775" i="10"/>
  <c r="C672" i="10"/>
  <c r="C500" i="10"/>
  <c r="G500" i="10" s="1"/>
  <c r="B500" i="1"/>
  <c r="M737" i="10"/>
  <c r="C67" i="10"/>
  <c r="CE67" i="10" s="1"/>
  <c r="C433" i="10" s="1"/>
  <c r="CE52" i="10"/>
  <c r="C703" i="10"/>
  <c r="C531" i="10"/>
  <c r="B531" i="1"/>
  <c r="M768" i="10"/>
  <c r="C566" i="10"/>
  <c r="C641" i="10"/>
  <c r="B566" i="1"/>
  <c r="M803" i="10"/>
  <c r="C674" i="10"/>
  <c r="C502" i="10"/>
  <c r="G502" i="10" s="1"/>
  <c r="B502" i="1"/>
  <c r="M739" i="10"/>
  <c r="C713" i="10"/>
  <c r="C541" i="10"/>
  <c r="B541" i="1"/>
  <c r="M778" i="10"/>
  <c r="C683" i="10"/>
  <c r="C511" i="10"/>
  <c r="B511" i="1"/>
  <c r="M748" i="10"/>
  <c r="C528" i="10"/>
  <c r="C700" i="10"/>
  <c r="B528" i="1"/>
  <c r="M765" i="10"/>
  <c r="C633" i="10"/>
  <c r="C548" i="10"/>
  <c r="B548" i="1"/>
  <c r="M785" i="10"/>
  <c r="C561" i="10"/>
  <c r="C621" i="10"/>
  <c r="B561" i="1"/>
  <c r="M798" i="10"/>
  <c r="C669" i="10"/>
  <c r="C497" i="10"/>
  <c r="B497" i="1"/>
  <c r="M734" i="10"/>
  <c r="C712" i="10"/>
  <c r="C540" i="10"/>
  <c r="G540" i="10" s="1"/>
  <c r="B540" i="1"/>
  <c r="H540" i="1" s="1"/>
  <c r="M777" i="10"/>
  <c r="CE62" i="10"/>
  <c r="E815" i="10" s="1"/>
  <c r="C559" i="10"/>
  <c r="C619" i="10"/>
  <c r="B559" i="1"/>
  <c r="M796" i="10"/>
  <c r="C677" i="10"/>
  <c r="C505" i="10"/>
  <c r="G505" i="10" s="1"/>
  <c r="B505" i="1"/>
  <c r="M742" i="10"/>
  <c r="C646" i="10"/>
  <c r="C571" i="10"/>
  <c r="B571" i="1"/>
  <c r="M808" i="10"/>
  <c r="C707" i="10"/>
  <c r="C535" i="10"/>
  <c r="B535" i="1"/>
  <c r="M772" i="10"/>
  <c r="C645" i="10"/>
  <c r="C570" i="10"/>
  <c r="B570" i="1"/>
  <c r="M807" i="10"/>
  <c r="C678" i="10"/>
  <c r="C506" i="10"/>
  <c r="G506" i="10" s="1"/>
  <c r="B506" i="1"/>
  <c r="M743" i="10"/>
  <c r="C628" i="10"/>
  <c r="C545" i="10"/>
  <c r="G545" i="10" s="1"/>
  <c r="B545" i="1"/>
  <c r="M782" i="10"/>
  <c r="C563" i="10"/>
  <c r="C626" i="10"/>
  <c r="B563" i="1"/>
  <c r="M800" i="10"/>
  <c r="C671" i="10"/>
  <c r="C499" i="10"/>
  <c r="B499" i="1"/>
  <c r="M736" i="10"/>
  <c r="C616" i="10"/>
  <c r="C543" i="10"/>
  <c r="B543" i="1"/>
  <c r="M780" i="10"/>
  <c r="C686" i="10"/>
  <c r="C514" i="10"/>
  <c r="B514" i="1"/>
  <c r="M751" i="10"/>
  <c r="C636" i="10"/>
  <c r="C553" i="10"/>
  <c r="B553" i="1"/>
  <c r="M790" i="10"/>
  <c r="F76" i="9"/>
  <c r="E751" i="1"/>
  <c r="J806" i="10"/>
  <c r="J776" i="10"/>
  <c r="J755" i="10"/>
  <c r="N815" i="1"/>
  <c r="F511" i="1"/>
  <c r="F497" i="1"/>
  <c r="E750" i="1"/>
  <c r="E76" i="9"/>
  <c r="D172" i="9"/>
  <c r="E770" i="1"/>
  <c r="H332" i="9"/>
  <c r="BZ71" i="1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C540" i="1" s="1"/>
  <c r="G540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AV52" i="1"/>
  <c r="AV67" i="1" s="1"/>
  <c r="AV71" i="1" s="1"/>
  <c r="F213" i="9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688" i="1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AZ52" i="1"/>
  <c r="AZ67" i="1" s="1"/>
  <c r="AZ71" i="1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C641" i="1" s="1"/>
  <c r="AD52" i="1"/>
  <c r="AD67" i="1" s="1"/>
  <c r="AD71" i="1" s="1"/>
  <c r="C523" i="1" s="1"/>
  <c r="G523" i="1" s="1"/>
  <c r="AT52" i="1"/>
  <c r="AT67" i="1" s="1"/>
  <c r="AT7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C568" i="1" s="1"/>
  <c r="BI52" i="1"/>
  <c r="BI67" i="1" s="1"/>
  <c r="BI71" i="1" s="1"/>
  <c r="E277" i="9" s="1"/>
  <c r="K52" i="1"/>
  <c r="K67" i="1" s="1"/>
  <c r="K71" i="1" s="1"/>
  <c r="D465" i="1"/>
  <c r="CB71" i="1"/>
  <c r="C573" i="1" s="1"/>
  <c r="F505" i="1"/>
  <c r="H505" i="1"/>
  <c r="F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I52" i="1"/>
  <c r="I67" i="1" s="1"/>
  <c r="I71" i="1" s="1"/>
  <c r="BJ52" i="1"/>
  <c r="BJ67" i="1" s="1"/>
  <c r="BJ71" i="1" s="1"/>
  <c r="BZ52" i="1"/>
  <c r="BZ67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32" i="1"/>
  <c r="H532" i="1"/>
  <c r="F524" i="1"/>
  <c r="F550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D17" i="9" l="1"/>
  <c r="C71" i="10"/>
  <c r="E814" i="10"/>
  <c r="AY71" i="1"/>
  <c r="C625" i="1" s="1"/>
  <c r="BD71" i="1"/>
  <c r="C549" i="1" s="1"/>
  <c r="H71" i="1"/>
  <c r="C501" i="1" s="1"/>
  <c r="G501" i="1" s="1"/>
  <c r="R816" i="1"/>
  <c r="I382" i="9"/>
  <c r="I612" i="1"/>
  <c r="P71" i="1"/>
  <c r="R815" i="1"/>
  <c r="C676" i="1"/>
  <c r="D53" i="9"/>
  <c r="BE71" i="1"/>
  <c r="C614" i="1" s="1"/>
  <c r="AM71" i="1"/>
  <c r="D181" i="9" s="1"/>
  <c r="AK71" i="1"/>
  <c r="I149" i="9" s="1"/>
  <c r="AF71" i="1"/>
  <c r="D149" i="9" s="1"/>
  <c r="AG71" i="1"/>
  <c r="E149" i="9" s="1"/>
  <c r="H53" i="9"/>
  <c r="C508" i="1"/>
  <c r="G508" i="1" s="1"/>
  <c r="C516" i="1"/>
  <c r="G516" i="1" s="1"/>
  <c r="C547" i="1"/>
  <c r="I341" i="9"/>
  <c r="C712" i="1"/>
  <c r="I85" i="9"/>
  <c r="C531" i="1"/>
  <c r="G531" i="1" s="1"/>
  <c r="C703" i="1"/>
  <c r="C498" i="1"/>
  <c r="G498" i="1" s="1"/>
  <c r="C620" i="1"/>
  <c r="C713" i="1"/>
  <c r="C541" i="1"/>
  <c r="C670" i="1"/>
  <c r="C85" i="9"/>
  <c r="C510" i="1"/>
  <c r="G510" i="1" s="1"/>
  <c r="C682" i="1"/>
  <c r="I21" i="9"/>
  <c r="C674" i="1"/>
  <c r="C502" i="1"/>
  <c r="G502" i="1" s="1"/>
  <c r="C637" i="1"/>
  <c r="C557" i="1"/>
  <c r="H277" i="9"/>
  <c r="C117" i="9"/>
  <c r="C517" i="1"/>
  <c r="G517" i="1" s="1"/>
  <c r="C689" i="1"/>
  <c r="C628" i="1"/>
  <c r="C245" i="9"/>
  <c r="C545" i="1"/>
  <c r="G545" i="1" s="1"/>
  <c r="C546" i="1"/>
  <c r="G546" i="1" s="1"/>
  <c r="D245" i="9"/>
  <c r="C630" i="1"/>
  <c r="D117" i="9"/>
  <c r="C690" i="1"/>
  <c r="C518" i="1"/>
  <c r="G518" i="1" s="1"/>
  <c r="F277" i="9"/>
  <c r="C555" i="1"/>
  <c r="C617" i="1"/>
  <c r="C524" i="1"/>
  <c r="C149" i="9"/>
  <c r="C696" i="1"/>
  <c r="F181" i="9"/>
  <c r="C706" i="1"/>
  <c r="C534" i="1"/>
  <c r="G534" i="1" s="1"/>
  <c r="C711" i="1"/>
  <c r="C539" i="1"/>
  <c r="G539" i="1" s="1"/>
  <c r="D213" i="9"/>
  <c r="J753" i="1"/>
  <c r="V71" i="1"/>
  <c r="C698" i="1"/>
  <c r="H145" i="9"/>
  <c r="AJ71" i="1"/>
  <c r="J807" i="1"/>
  <c r="BX71" i="1"/>
  <c r="G337" i="9"/>
  <c r="BY71" i="1"/>
  <c r="C341" i="9"/>
  <c r="AA71" i="1"/>
  <c r="C520" i="1" s="1"/>
  <c r="G520" i="1" s="1"/>
  <c r="G181" i="9"/>
  <c r="C632" i="1"/>
  <c r="C673" i="1"/>
  <c r="C647" i="1"/>
  <c r="BQ71" i="1"/>
  <c r="F309" i="9" s="1"/>
  <c r="AN71" i="1"/>
  <c r="C533" i="1" s="1"/>
  <c r="G533" i="1" s="1"/>
  <c r="D71" i="1"/>
  <c r="C669" i="1" s="1"/>
  <c r="BV71" i="1"/>
  <c r="AW71" i="1"/>
  <c r="C631" i="1" s="1"/>
  <c r="C707" i="1"/>
  <c r="C700" i="1"/>
  <c r="F145" i="9"/>
  <c r="AH71" i="1"/>
  <c r="I241" i="9"/>
  <c r="BF71" i="1"/>
  <c r="C528" i="1"/>
  <c r="G528" i="1" s="1"/>
  <c r="D373" i="9"/>
  <c r="J796" i="1"/>
  <c r="BM71" i="1"/>
  <c r="AX71" i="1"/>
  <c r="H213" i="9" s="1"/>
  <c r="E53" i="9"/>
  <c r="BN71" i="1"/>
  <c r="C619" i="1" s="1"/>
  <c r="C566" i="1"/>
  <c r="J71" i="1"/>
  <c r="BO71" i="1"/>
  <c r="C627" i="1" s="1"/>
  <c r="T71" i="1"/>
  <c r="F85" i="9" s="1"/>
  <c r="E213" i="9"/>
  <c r="AB71" i="1"/>
  <c r="C521" i="1" s="1"/>
  <c r="G521" i="1" s="1"/>
  <c r="BR71" i="1"/>
  <c r="G309" i="9" s="1"/>
  <c r="C505" i="1"/>
  <c r="G505" i="1" s="1"/>
  <c r="C504" i="1"/>
  <c r="G504" i="1" s="1"/>
  <c r="G71" i="1"/>
  <c r="C500" i="1" s="1"/>
  <c r="G500" i="1" s="1"/>
  <c r="M71" i="1"/>
  <c r="F71" i="1"/>
  <c r="F540" i="1"/>
  <c r="F501" i="1"/>
  <c r="C679" i="1"/>
  <c r="H181" i="9"/>
  <c r="C643" i="1"/>
  <c r="C507" i="1"/>
  <c r="G507" i="1" s="1"/>
  <c r="C536" i="1"/>
  <c r="G536" i="1" s="1"/>
  <c r="E341" i="9"/>
  <c r="C691" i="1"/>
  <c r="E117" i="9"/>
  <c r="I213" i="9"/>
  <c r="C525" i="1"/>
  <c r="G525" i="1" s="1"/>
  <c r="I364" i="9"/>
  <c r="C561" i="1"/>
  <c r="C621" i="1"/>
  <c r="E309" i="9"/>
  <c r="C428" i="1"/>
  <c r="C511" i="1"/>
  <c r="D85" i="9"/>
  <c r="C683" i="1"/>
  <c r="I117" i="9"/>
  <c r="C537" i="1"/>
  <c r="G537" i="1" s="1"/>
  <c r="C709" i="1"/>
  <c r="C695" i="1"/>
  <c r="E816" i="1"/>
  <c r="I181" i="9"/>
  <c r="C710" i="1"/>
  <c r="C213" i="9"/>
  <c r="C538" i="1"/>
  <c r="G538" i="1" s="1"/>
  <c r="C639" i="1"/>
  <c r="H309" i="9"/>
  <c r="C564" i="1"/>
  <c r="C554" i="1"/>
  <c r="C634" i="1"/>
  <c r="C277" i="9"/>
  <c r="C618" i="1"/>
  <c r="C552" i="1"/>
  <c r="C640" i="1"/>
  <c r="C565" i="1"/>
  <c r="I309" i="9"/>
  <c r="G85" i="9"/>
  <c r="C514" i="1"/>
  <c r="G514" i="1" s="1"/>
  <c r="C686" i="1"/>
  <c r="C702" i="1"/>
  <c r="C636" i="1"/>
  <c r="D277" i="9"/>
  <c r="C553" i="1"/>
  <c r="E815" i="1"/>
  <c r="J751" i="1"/>
  <c r="J805" i="1"/>
  <c r="J768" i="1"/>
  <c r="C369" i="9"/>
  <c r="J782" i="1"/>
  <c r="J808" i="1"/>
  <c r="H209" i="9"/>
  <c r="J744" i="1"/>
  <c r="G305" i="9"/>
  <c r="C305" i="9"/>
  <c r="H17" i="9"/>
  <c r="D177" i="9"/>
  <c r="G17" i="9"/>
  <c r="F337" i="9"/>
  <c r="F17" i="9"/>
  <c r="J789" i="1"/>
  <c r="G241" i="9"/>
  <c r="I273" i="9"/>
  <c r="F113" i="9"/>
  <c r="H241" i="9"/>
  <c r="C522" i="1"/>
  <c r="G522" i="1" s="1"/>
  <c r="J741" i="1"/>
  <c r="I49" i="9"/>
  <c r="E145" i="9"/>
  <c r="J767" i="1"/>
  <c r="C373" i="9"/>
  <c r="C622" i="1"/>
  <c r="H81" i="9"/>
  <c r="J759" i="1"/>
  <c r="E177" i="9"/>
  <c r="G209" i="9"/>
  <c r="J765" i="1"/>
  <c r="D305" i="9"/>
  <c r="F305" i="9"/>
  <c r="H117" i="9"/>
  <c r="D145" i="9"/>
  <c r="J799" i="1"/>
  <c r="E305" i="9"/>
  <c r="C668" i="10"/>
  <c r="C496" i="10"/>
  <c r="B496" i="1"/>
  <c r="F496" i="1" s="1"/>
  <c r="M733" i="10"/>
  <c r="M814" i="10" s="1"/>
  <c r="G511" i="10"/>
  <c r="H511" i="10"/>
  <c r="G531" i="10"/>
  <c r="H531" i="10"/>
  <c r="G528" i="10"/>
  <c r="H528" i="10" s="1"/>
  <c r="G514" i="10"/>
  <c r="H514" i="10"/>
  <c r="G499" i="10"/>
  <c r="H499" i="10"/>
  <c r="G535" i="10"/>
  <c r="H535" i="10" s="1"/>
  <c r="G503" i="10"/>
  <c r="H503" i="10"/>
  <c r="G518" i="10"/>
  <c r="H518" i="10" s="1"/>
  <c r="G529" i="10"/>
  <c r="H529" i="10"/>
  <c r="G519" i="10"/>
  <c r="H519" i="10" s="1"/>
  <c r="G510" i="10"/>
  <c r="H510" i="10"/>
  <c r="G550" i="10"/>
  <c r="H550" i="10" s="1"/>
  <c r="G546" i="10"/>
  <c r="H546" i="10"/>
  <c r="G537" i="10"/>
  <c r="H537" i="10"/>
  <c r="G512" i="10"/>
  <c r="H512" i="10"/>
  <c r="G517" i="10"/>
  <c r="H517" i="10" s="1"/>
  <c r="G526" i="10"/>
  <c r="H526" i="10"/>
  <c r="G498" i="10"/>
  <c r="H498" i="10"/>
  <c r="G522" i="10"/>
  <c r="H522" i="10" s="1"/>
  <c r="G521" i="10"/>
  <c r="H521" i="10"/>
  <c r="G516" i="10"/>
  <c r="H516" i="10"/>
  <c r="G524" i="10"/>
  <c r="H524" i="10"/>
  <c r="G520" i="10"/>
  <c r="H520" i="10" s="1"/>
  <c r="G515" i="10"/>
  <c r="H515" i="10"/>
  <c r="G544" i="10"/>
  <c r="H544" i="10" s="1"/>
  <c r="G513" i="10"/>
  <c r="H513" i="10"/>
  <c r="G509" i="10"/>
  <c r="H509" i="10" s="1"/>
  <c r="C428" i="10"/>
  <c r="C441" i="10" s="1"/>
  <c r="CE71" i="10"/>
  <c r="H497" i="10"/>
  <c r="G497" i="10"/>
  <c r="C715" i="10"/>
  <c r="C648" i="10"/>
  <c r="M716" i="10" s="1"/>
  <c r="D615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21" i="9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F515" i="1"/>
  <c r="F522" i="1"/>
  <c r="F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530" i="1" l="1"/>
  <c r="G530" i="1" s="1"/>
  <c r="C550" i="1"/>
  <c r="H21" i="9"/>
  <c r="C544" i="1"/>
  <c r="G544" i="1" s="1"/>
  <c r="G245" i="9"/>
  <c r="C624" i="1"/>
  <c r="H245" i="9"/>
  <c r="C697" i="1"/>
  <c r="C526" i="1"/>
  <c r="G526" i="1" s="1"/>
  <c r="C692" i="1"/>
  <c r="H516" i="1"/>
  <c r="F117" i="9"/>
  <c r="C562" i="1"/>
  <c r="H528" i="1"/>
  <c r="H498" i="1"/>
  <c r="C693" i="1"/>
  <c r="C559" i="1"/>
  <c r="C626" i="1"/>
  <c r="C309" i="9"/>
  <c r="C685" i="1"/>
  <c r="H520" i="1"/>
  <c r="C542" i="1"/>
  <c r="G213" i="9"/>
  <c r="C616" i="1"/>
  <c r="C543" i="1"/>
  <c r="C513" i="1"/>
  <c r="G513" i="1" s="1"/>
  <c r="H518" i="1"/>
  <c r="C515" i="1"/>
  <c r="C687" i="1"/>
  <c r="H85" i="9"/>
  <c r="C569" i="1"/>
  <c r="C644" i="1"/>
  <c r="F341" i="9"/>
  <c r="G117" i="9"/>
  <c r="C705" i="1"/>
  <c r="C497" i="1"/>
  <c r="D309" i="9"/>
  <c r="C560" i="1"/>
  <c r="C638" i="1"/>
  <c r="C558" i="1"/>
  <c r="I277" i="9"/>
  <c r="F149" i="9"/>
  <c r="C527" i="1"/>
  <c r="G527" i="1" s="1"/>
  <c r="C699" i="1"/>
  <c r="D341" i="9"/>
  <c r="C567" i="1"/>
  <c r="C642" i="1"/>
  <c r="C570" i="1"/>
  <c r="G341" i="9"/>
  <c r="C645" i="1"/>
  <c r="C675" i="1"/>
  <c r="C503" i="1"/>
  <c r="C53" i="9"/>
  <c r="D21" i="9"/>
  <c r="C668" i="1"/>
  <c r="F21" i="9"/>
  <c r="C671" i="1"/>
  <c r="C499" i="1"/>
  <c r="C623" i="1"/>
  <c r="C496" i="1"/>
  <c r="G496" i="1" s="1"/>
  <c r="E181" i="9"/>
  <c r="C506" i="1"/>
  <c r="G506" i="1" s="1"/>
  <c r="F53" i="9"/>
  <c r="C678" i="1"/>
  <c r="I245" i="9"/>
  <c r="C629" i="1"/>
  <c r="C551" i="1"/>
  <c r="C529" i="1"/>
  <c r="G529" i="1" s="1"/>
  <c r="H149" i="9"/>
  <c r="C701" i="1"/>
  <c r="H546" i="1"/>
  <c r="H510" i="1"/>
  <c r="H517" i="1"/>
  <c r="C563" i="1"/>
  <c r="C672" i="1"/>
  <c r="G21" i="9"/>
  <c r="G524" i="1"/>
  <c r="H524" i="1"/>
  <c r="H514" i="1"/>
  <c r="G511" i="1"/>
  <c r="H511" i="1"/>
  <c r="G550" i="1"/>
  <c r="H550" i="1" s="1"/>
  <c r="D615" i="1"/>
  <c r="H522" i="1"/>
  <c r="H509" i="1"/>
  <c r="H512" i="1"/>
  <c r="C716" i="10"/>
  <c r="M815" i="10"/>
  <c r="G496" i="10"/>
  <c r="H496" i="10"/>
  <c r="D710" i="10"/>
  <c r="D706" i="10"/>
  <c r="D702" i="10"/>
  <c r="D698" i="10"/>
  <c r="D694" i="10"/>
  <c r="D716" i="10"/>
  <c r="D711" i="10"/>
  <c r="D707" i="10"/>
  <c r="D703" i="10"/>
  <c r="D699" i="10"/>
  <c r="D695" i="10"/>
  <c r="D691" i="10"/>
  <c r="D712" i="10"/>
  <c r="D708" i="10"/>
  <c r="D704" i="10"/>
  <c r="D700" i="10"/>
  <c r="D696" i="10"/>
  <c r="D692" i="10"/>
  <c r="D688" i="10"/>
  <c r="D701" i="10"/>
  <c r="D690" i="10"/>
  <c r="D683" i="10"/>
  <c r="D679" i="10"/>
  <c r="D675" i="10"/>
  <c r="D671" i="10"/>
  <c r="D644" i="10"/>
  <c r="D643" i="10"/>
  <c r="D705" i="10"/>
  <c r="D689" i="10"/>
  <c r="D684" i="10"/>
  <c r="D680" i="10"/>
  <c r="D676" i="10"/>
  <c r="D672" i="10"/>
  <c r="D668" i="10"/>
  <c r="D709" i="10"/>
  <c r="D693" i="10"/>
  <c r="D687" i="10"/>
  <c r="D686" i="10"/>
  <c r="D685" i="10"/>
  <c r="D681" i="10"/>
  <c r="D677" i="10"/>
  <c r="D673" i="10"/>
  <c r="D669" i="10"/>
  <c r="D697" i="10"/>
  <c r="D674" i="10"/>
  <c r="D642" i="10"/>
  <c r="D640" i="10"/>
  <c r="D638" i="10"/>
  <c r="D628" i="10"/>
  <c r="D622" i="10"/>
  <c r="D620" i="10"/>
  <c r="D618" i="10"/>
  <c r="D616" i="10"/>
  <c r="D713" i="10"/>
  <c r="D678" i="10"/>
  <c r="D646" i="10"/>
  <c r="D627" i="10"/>
  <c r="D682" i="10"/>
  <c r="D641" i="10"/>
  <c r="D639" i="10"/>
  <c r="D629" i="10"/>
  <c r="D626" i="10"/>
  <c r="D623" i="10"/>
  <c r="D621" i="10"/>
  <c r="D619" i="10"/>
  <c r="D617" i="10"/>
  <c r="D670" i="10"/>
  <c r="D637" i="10"/>
  <c r="D635" i="10"/>
  <c r="D633" i="10"/>
  <c r="D631" i="10"/>
  <c r="D647" i="10"/>
  <c r="D625" i="10"/>
  <c r="D645" i="10"/>
  <c r="D634" i="10"/>
  <c r="D624" i="10"/>
  <c r="D632" i="10"/>
  <c r="D636" i="10"/>
  <c r="D630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H544" i="1" l="1"/>
  <c r="C648" i="1"/>
  <c r="M716" i="1" s="1"/>
  <c r="Y816" i="1" s="1"/>
  <c r="H526" i="1"/>
  <c r="H513" i="1"/>
  <c r="H529" i="1"/>
  <c r="H496" i="1"/>
  <c r="C715" i="1"/>
  <c r="G499" i="1"/>
  <c r="H499" i="1" s="1"/>
  <c r="C716" i="1"/>
  <c r="I373" i="9"/>
  <c r="G503" i="1"/>
  <c r="H503" i="1" s="1"/>
  <c r="G497" i="1"/>
  <c r="H497" i="1"/>
  <c r="G515" i="1"/>
  <c r="H515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704" i="1"/>
  <c r="D642" i="1"/>
  <c r="D709" i="1"/>
  <c r="D683" i="1"/>
  <c r="D647" i="1"/>
  <c r="D672" i="1"/>
  <c r="D632" i="1"/>
  <c r="D668" i="1"/>
  <c r="D674" i="1"/>
  <c r="D633" i="1"/>
  <c r="D685" i="1"/>
  <c r="D619" i="1"/>
  <c r="D636" i="1"/>
  <c r="D688" i="1"/>
  <c r="D637" i="1"/>
  <c r="D624" i="1"/>
  <c r="D698" i="1"/>
  <c r="D618" i="1"/>
  <c r="D635" i="1"/>
  <c r="D634" i="1"/>
  <c r="D670" i="1"/>
  <c r="D640" i="1"/>
  <c r="D706" i="1"/>
  <c r="D710" i="1"/>
  <c r="D641" i="1"/>
  <c r="D643" i="1"/>
  <c r="D707" i="1"/>
  <c r="D693" i="1"/>
  <c r="D687" i="1"/>
  <c r="D671" i="1"/>
  <c r="D645" i="1"/>
  <c r="D669" i="1"/>
  <c r="D700" i="1"/>
  <c r="D703" i="1"/>
  <c r="D628" i="1"/>
  <c r="D677" i="1"/>
  <c r="D699" i="1"/>
  <c r="D621" i="1"/>
  <c r="D631" i="1"/>
  <c r="D701" i="1"/>
  <c r="D682" i="1"/>
  <c r="D692" i="1"/>
  <c r="D623" i="1"/>
  <c r="D675" i="1"/>
  <c r="D696" i="1"/>
  <c r="D697" i="1"/>
  <c r="D708" i="1"/>
  <c r="D713" i="1"/>
  <c r="D681" i="1"/>
  <c r="D684" i="1"/>
  <c r="D626" i="1"/>
  <c r="D617" i="1"/>
  <c r="D680" i="1"/>
  <c r="D716" i="1"/>
  <c r="D646" i="1"/>
  <c r="D690" i="1"/>
  <c r="D695" i="1"/>
  <c r="D702" i="1"/>
  <c r="D679" i="1"/>
  <c r="D694" i="1"/>
  <c r="D625" i="1"/>
  <c r="D616" i="1"/>
  <c r="D629" i="1"/>
  <c r="D691" i="1"/>
  <c r="D705" i="1"/>
  <c r="D712" i="1"/>
  <c r="E612" i="10"/>
  <c r="D715" i="10"/>
  <c r="E623" i="10"/>
  <c r="C433" i="1"/>
  <c r="C441" i="1" s="1"/>
  <c r="J816" i="1"/>
  <c r="I369" i="9"/>
  <c r="J815" i="10"/>
  <c r="E612" i="1" l="1"/>
  <c r="D715" i="1"/>
  <c r="E623" i="1"/>
  <c r="E716" i="10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4" i="10"/>
  <c r="E680" i="10"/>
  <c r="E676" i="10"/>
  <c r="E672" i="10"/>
  <c r="E668" i="10"/>
  <c r="E702" i="10"/>
  <c r="E687" i="10"/>
  <c r="E686" i="10"/>
  <c r="E681" i="10"/>
  <c r="E677" i="10"/>
  <c r="E673" i="10"/>
  <c r="E669" i="10"/>
  <c r="E706" i="10"/>
  <c r="E682" i="10"/>
  <c r="E678" i="10"/>
  <c r="E674" i="10"/>
  <c r="E670" i="10"/>
  <c r="E647" i="10"/>
  <c r="E646" i="10"/>
  <c r="E645" i="10"/>
  <c r="E671" i="10"/>
  <c r="E627" i="10"/>
  <c r="E690" i="10"/>
  <c r="E675" i="10"/>
  <c r="E644" i="10"/>
  <c r="E641" i="10"/>
  <c r="E639" i="10"/>
  <c r="E629" i="10"/>
  <c r="E626" i="10"/>
  <c r="E694" i="10"/>
  <c r="E679" i="10"/>
  <c r="E637" i="10"/>
  <c r="E636" i="10"/>
  <c r="E635" i="10"/>
  <c r="E634" i="10"/>
  <c r="E633" i="10"/>
  <c r="E632" i="10"/>
  <c r="E631" i="10"/>
  <c r="E630" i="10"/>
  <c r="E625" i="10"/>
  <c r="E624" i="10"/>
  <c r="E710" i="10"/>
  <c r="E643" i="10"/>
  <c r="E640" i="10"/>
  <c r="E642" i="10"/>
  <c r="E628" i="10"/>
  <c r="E683" i="10"/>
  <c r="E638" i="10"/>
  <c r="E716" i="1" l="1"/>
  <c r="E626" i="1"/>
  <c r="E643" i="1"/>
  <c r="E706" i="1"/>
  <c r="E625" i="1"/>
  <c r="E647" i="1"/>
  <c r="E627" i="1"/>
  <c r="E701" i="1"/>
  <c r="E698" i="1"/>
  <c r="E712" i="1"/>
  <c r="E676" i="1"/>
  <c r="E634" i="1"/>
  <c r="E629" i="1"/>
  <c r="E640" i="1"/>
  <c r="E631" i="1"/>
  <c r="E681" i="1"/>
  <c r="E668" i="1"/>
  <c r="E697" i="1"/>
  <c r="E672" i="1"/>
  <c r="E638" i="1"/>
  <c r="E624" i="1"/>
  <c r="E696" i="1"/>
  <c r="E678" i="1"/>
  <c r="E683" i="1"/>
  <c r="E636" i="1"/>
  <c r="E711" i="1"/>
  <c r="E710" i="1"/>
  <c r="E694" i="1"/>
  <c r="E695" i="1"/>
  <c r="E642" i="1"/>
  <c r="E687" i="1"/>
  <c r="E679" i="1"/>
  <c r="E628" i="1"/>
  <c r="E635" i="1"/>
  <c r="E691" i="1"/>
  <c r="E705" i="1"/>
  <c r="E690" i="1"/>
  <c r="E684" i="1"/>
  <c r="E713" i="1"/>
  <c r="E693" i="1"/>
  <c r="E708" i="1"/>
  <c r="E699" i="1"/>
  <c r="E673" i="1"/>
  <c r="E630" i="1"/>
  <c r="E703" i="1"/>
  <c r="E671" i="1"/>
  <c r="E685" i="1"/>
  <c r="E707" i="1"/>
  <c r="E709" i="1"/>
  <c r="E670" i="1"/>
  <c r="E639" i="1"/>
  <c r="E645" i="1"/>
  <c r="E682" i="1"/>
  <c r="E633" i="1"/>
  <c r="E702" i="1"/>
  <c r="E686" i="1"/>
  <c r="E677" i="1"/>
  <c r="E646" i="1"/>
  <c r="E674" i="1"/>
  <c r="E689" i="1"/>
  <c r="E675" i="1"/>
  <c r="E641" i="1"/>
  <c r="E692" i="1"/>
  <c r="E644" i="1"/>
  <c r="E637" i="1"/>
  <c r="E632" i="1"/>
  <c r="E669" i="1"/>
  <c r="E704" i="1"/>
  <c r="E700" i="1"/>
  <c r="E680" i="1"/>
  <c r="E688" i="1"/>
  <c r="E715" i="10"/>
  <c r="F624" i="10"/>
  <c r="E715" i="1" l="1"/>
  <c r="F624" i="1"/>
  <c r="F712" i="10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7" i="10"/>
  <c r="F681" i="10"/>
  <c r="F677" i="10"/>
  <c r="F673" i="10"/>
  <c r="F669" i="10"/>
  <c r="F716" i="10"/>
  <c r="F699" i="10"/>
  <c r="F685" i="10"/>
  <c r="F682" i="10"/>
  <c r="F678" i="10"/>
  <c r="F674" i="10"/>
  <c r="F670" i="10"/>
  <c r="F647" i="10"/>
  <c r="F646" i="10"/>
  <c r="F645" i="10"/>
  <c r="F703" i="10"/>
  <c r="F688" i="10"/>
  <c r="F683" i="10"/>
  <c r="F679" i="10"/>
  <c r="F675" i="10"/>
  <c r="F671" i="10"/>
  <c r="F644" i="10"/>
  <c r="F643" i="10"/>
  <c r="F642" i="10"/>
  <c r="F641" i="10"/>
  <c r="F640" i="10"/>
  <c r="F639" i="10"/>
  <c r="F638" i="10"/>
  <c r="F691" i="10"/>
  <c r="F684" i="10"/>
  <c r="F668" i="10"/>
  <c r="F629" i="10"/>
  <c r="F626" i="10"/>
  <c r="F707" i="10"/>
  <c r="F672" i="10"/>
  <c r="F637" i="10"/>
  <c r="F636" i="10"/>
  <c r="F635" i="10"/>
  <c r="F634" i="10"/>
  <c r="F633" i="10"/>
  <c r="F632" i="10"/>
  <c r="F631" i="10"/>
  <c r="F630" i="10"/>
  <c r="F625" i="10"/>
  <c r="F676" i="10"/>
  <c r="F628" i="10"/>
  <c r="F680" i="10"/>
  <c r="F627" i="10"/>
  <c r="F632" i="1" l="1"/>
  <c r="F687" i="1"/>
  <c r="F629" i="1"/>
  <c r="F646" i="1"/>
  <c r="F672" i="1"/>
  <c r="F706" i="1"/>
  <c r="F678" i="1"/>
  <c r="F638" i="1"/>
  <c r="F639" i="1"/>
  <c r="F684" i="1"/>
  <c r="F705" i="1"/>
  <c r="F628" i="1"/>
  <c r="F689" i="1"/>
  <c r="F634" i="1"/>
  <c r="F682" i="1"/>
  <c r="F627" i="1"/>
  <c r="F712" i="1"/>
  <c r="F713" i="1"/>
  <c r="F686" i="1"/>
  <c r="F625" i="1"/>
  <c r="F647" i="1"/>
  <c r="F680" i="1"/>
  <c r="F699" i="1"/>
  <c r="F675" i="1"/>
  <c r="F700" i="1"/>
  <c r="F709" i="1"/>
  <c r="F643" i="1"/>
  <c r="F703" i="1"/>
  <c r="F688" i="1"/>
  <c r="F631" i="1"/>
  <c r="F693" i="1"/>
  <c r="F640" i="1"/>
  <c r="F626" i="1"/>
  <c r="F695" i="1"/>
  <c r="F644" i="1"/>
  <c r="F636" i="1"/>
  <c r="F677" i="1"/>
  <c r="F670" i="1"/>
  <c r="F673" i="1"/>
  <c r="F668" i="1"/>
  <c r="F716" i="1"/>
  <c r="F645" i="1"/>
  <c r="F697" i="1"/>
  <c r="F630" i="1"/>
  <c r="F708" i="1"/>
  <c r="F671" i="1"/>
  <c r="F711" i="1"/>
  <c r="F679" i="1"/>
  <c r="F704" i="1"/>
  <c r="F692" i="1"/>
  <c r="F674" i="1"/>
  <c r="F633" i="1"/>
  <c r="F683" i="1"/>
  <c r="F698" i="1"/>
  <c r="F681" i="1"/>
  <c r="F669" i="1"/>
  <c r="F641" i="1"/>
  <c r="F696" i="1"/>
  <c r="F642" i="1"/>
  <c r="F637" i="1"/>
  <c r="F691" i="1"/>
  <c r="F694" i="1"/>
  <c r="F710" i="1"/>
  <c r="F635" i="1"/>
  <c r="F685" i="1"/>
  <c r="F707" i="1"/>
  <c r="F676" i="1"/>
  <c r="F701" i="1"/>
  <c r="F690" i="1"/>
  <c r="F702" i="1"/>
  <c r="F715" i="10"/>
  <c r="G625" i="10"/>
  <c r="F715" i="1" l="1"/>
  <c r="G625" i="1"/>
  <c r="G713" i="10"/>
  <c r="G709" i="10"/>
  <c r="G705" i="10"/>
  <c r="G701" i="10"/>
  <c r="G697" i="10"/>
  <c r="G693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9" i="10"/>
  <c r="G686" i="10"/>
  <c r="G685" i="10"/>
  <c r="G682" i="10"/>
  <c r="G678" i="10"/>
  <c r="G674" i="10"/>
  <c r="G670" i="10"/>
  <c r="G647" i="10"/>
  <c r="G646" i="10"/>
  <c r="G645" i="10"/>
  <c r="G712" i="10"/>
  <c r="G696" i="10"/>
  <c r="G688" i="10"/>
  <c r="G683" i="10"/>
  <c r="G679" i="10"/>
  <c r="G675" i="10"/>
  <c r="G671" i="10"/>
  <c r="G644" i="10"/>
  <c r="G643" i="10"/>
  <c r="G700" i="10"/>
  <c r="G684" i="10"/>
  <c r="G680" i="10"/>
  <c r="G676" i="10"/>
  <c r="G672" i="10"/>
  <c r="G668" i="10"/>
  <c r="G681" i="10"/>
  <c r="G641" i="10"/>
  <c r="G639" i="10"/>
  <c r="G637" i="10"/>
  <c r="G636" i="10"/>
  <c r="G635" i="10"/>
  <c r="G634" i="10"/>
  <c r="G633" i="10"/>
  <c r="G632" i="10"/>
  <c r="G631" i="10"/>
  <c r="G630" i="10"/>
  <c r="G669" i="10"/>
  <c r="G628" i="10"/>
  <c r="G673" i="10"/>
  <c r="G642" i="10"/>
  <c r="G640" i="10"/>
  <c r="G638" i="10"/>
  <c r="G627" i="10"/>
  <c r="G629" i="10"/>
  <c r="G626" i="10"/>
  <c r="G704" i="10"/>
  <c r="G677" i="10"/>
  <c r="G647" i="1" l="1"/>
  <c r="G674" i="1"/>
  <c r="G675" i="1"/>
  <c r="G709" i="1"/>
  <c r="G678" i="1"/>
  <c r="G705" i="1"/>
  <c r="G713" i="1"/>
  <c r="G700" i="1"/>
  <c r="G633" i="1"/>
  <c r="G629" i="1"/>
  <c r="G708" i="1"/>
  <c r="G672" i="1"/>
  <c r="G642" i="1"/>
  <c r="G638" i="1"/>
  <c r="G695" i="1"/>
  <c r="G645" i="1"/>
  <c r="G703" i="1"/>
  <c r="G677" i="1"/>
  <c r="G689" i="1"/>
  <c r="G639" i="1"/>
  <c r="G681" i="1"/>
  <c r="G688" i="1"/>
  <c r="G670" i="1"/>
  <c r="G691" i="1"/>
  <c r="G636" i="1"/>
  <c r="G707" i="1"/>
  <c r="G704" i="1"/>
  <c r="G643" i="1"/>
  <c r="G679" i="1"/>
  <c r="G711" i="1"/>
  <c r="G693" i="1"/>
  <c r="G702" i="1"/>
  <c r="G698" i="1"/>
  <c r="G710" i="1"/>
  <c r="G673" i="1"/>
  <c r="G640" i="1"/>
  <c r="G701" i="1"/>
  <c r="G634" i="1"/>
  <c r="G683" i="1"/>
  <c r="G668" i="1"/>
  <c r="G637" i="1"/>
  <c r="G635" i="1"/>
  <c r="G687" i="1"/>
  <c r="G671" i="1"/>
  <c r="G694" i="1"/>
  <c r="G699" i="1"/>
  <c r="G712" i="1"/>
  <c r="G680" i="1"/>
  <c r="G630" i="1"/>
  <c r="G631" i="1"/>
  <c r="G692" i="1"/>
  <c r="G627" i="1"/>
  <c r="G684" i="1"/>
  <c r="G686" i="1"/>
  <c r="G697" i="1"/>
  <c r="G628" i="1"/>
  <c r="G676" i="1"/>
  <c r="G632" i="1"/>
  <c r="G716" i="1"/>
  <c r="G641" i="1"/>
  <c r="G644" i="1"/>
  <c r="G690" i="1"/>
  <c r="G669" i="1"/>
  <c r="G646" i="1"/>
  <c r="G626" i="1"/>
  <c r="G706" i="1"/>
  <c r="G696" i="1"/>
  <c r="G685" i="1"/>
  <c r="G682" i="1"/>
  <c r="H628" i="10"/>
  <c r="G715" i="10"/>
  <c r="H628" i="1" l="1"/>
  <c r="H644" i="1" s="1"/>
  <c r="G715" i="1"/>
  <c r="H710" i="10"/>
  <c r="H706" i="10"/>
  <c r="H702" i="10"/>
  <c r="H698" i="10"/>
  <c r="H694" i="10"/>
  <c r="H716" i="10"/>
  <c r="H711" i="10"/>
  <c r="H707" i="10"/>
  <c r="H703" i="10"/>
  <c r="H699" i="10"/>
  <c r="H695" i="10"/>
  <c r="H691" i="10"/>
  <c r="H712" i="10"/>
  <c r="H708" i="10"/>
  <c r="H704" i="10"/>
  <c r="H700" i="10"/>
  <c r="H696" i="10"/>
  <c r="H692" i="10"/>
  <c r="H688" i="10"/>
  <c r="H705" i="10"/>
  <c r="H683" i="10"/>
  <c r="H679" i="10"/>
  <c r="H675" i="10"/>
  <c r="H671" i="10"/>
  <c r="H644" i="10"/>
  <c r="H643" i="10"/>
  <c r="H709" i="10"/>
  <c r="H693" i="10"/>
  <c r="H684" i="10"/>
  <c r="H680" i="10"/>
  <c r="H676" i="10"/>
  <c r="H672" i="10"/>
  <c r="H668" i="10"/>
  <c r="H713" i="10"/>
  <c r="H697" i="10"/>
  <c r="H690" i="10"/>
  <c r="H681" i="10"/>
  <c r="H677" i="10"/>
  <c r="H673" i="10"/>
  <c r="H669" i="10"/>
  <c r="H678" i="10"/>
  <c r="H646" i="10"/>
  <c r="H701" i="10"/>
  <c r="H687" i="10"/>
  <c r="H685" i="10"/>
  <c r="H682" i="10"/>
  <c r="H642" i="10"/>
  <c r="H640" i="10"/>
  <c r="H638" i="10"/>
  <c r="H689" i="10"/>
  <c r="H670" i="10"/>
  <c r="H647" i="10"/>
  <c r="H645" i="10"/>
  <c r="H629" i="10"/>
  <c r="H637" i="10"/>
  <c r="H635" i="10"/>
  <c r="H633" i="10"/>
  <c r="H631" i="10"/>
  <c r="H686" i="10"/>
  <c r="H674" i="10"/>
  <c r="H639" i="10"/>
  <c r="H641" i="10"/>
  <c r="H636" i="10"/>
  <c r="H634" i="10"/>
  <c r="H632" i="10"/>
  <c r="H630" i="10"/>
  <c r="H680" i="1" l="1"/>
  <c r="H691" i="1"/>
  <c r="H693" i="1"/>
  <c r="H641" i="1"/>
  <c r="H647" i="1"/>
  <c r="H695" i="1"/>
  <c r="H677" i="1"/>
  <c r="H701" i="1"/>
  <c r="H669" i="1"/>
  <c r="H681" i="1"/>
  <c r="H668" i="1"/>
  <c r="H634" i="1"/>
  <c r="H678" i="1"/>
  <c r="H639" i="1"/>
  <c r="H686" i="1"/>
  <c r="H684" i="1"/>
  <c r="H694" i="1"/>
  <c r="H700" i="1"/>
  <c r="H629" i="1"/>
  <c r="H637" i="1"/>
  <c r="H711" i="1"/>
  <c r="H705" i="1"/>
  <c r="H699" i="1"/>
  <c r="H697" i="1"/>
  <c r="H674" i="1"/>
  <c r="H707" i="1"/>
  <c r="H631" i="1"/>
  <c r="H633" i="1"/>
  <c r="H672" i="1"/>
  <c r="H673" i="1"/>
  <c r="H635" i="1"/>
  <c r="H630" i="1"/>
  <c r="H642" i="1"/>
  <c r="H688" i="1"/>
  <c r="H709" i="1"/>
  <c r="H685" i="1"/>
  <c r="H692" i="1"/>
  <c r="H671" i="1"/>
  <c r="H702" i="1"/>
  <c r="H638" i="1"/>
  <c r="H687" i="1"/>
  <c r="H683" i="1"/>
  <c r="H675" i="1"/>
  <c r="H706" i="1"/>
  <c r="H689" i="1"/>
  <c r="H708" i="1"/>
  <c r="H712" i="1"/>
  <c r="H670" i="1"/>
  <c r="H713" i="1"/>
  <c r="H698" i="1"/>
  <c r="H682" i="1"/>
  <c r="H716" i="1"/>
  <c r="H676" i="1"/>
  <c r="H632" i="1"/>
  <c r="H696" i="1"/>
  <c r="H640" i="1"/>
  <c r="H704" i="1"/>
  <c r="H679" i="1"/>
  <c r="H703" i="1"/>
  <c r="H710" i="1"/>
  <c r="H690" i="1"/>
  <c r="H636" i="1"/>
  <c r="H643" i="1"/>
  <c r="H646" i="1"/>
  <c r="H645" i="1"/>
  <c r="H715" i="10"/>
  <c r="I629" i="10"/>
  <c r="H715" i="1" l="1"/>
  <c r="I629" i="1"/>
  <c r="I669" i="1" s="1"/>
  <c r="I716" i="10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4" i="10"/>
  <c r="I680" i="10"/>
  <c r="I676" i="10"/>
  <c r="I672" i="10"/>
  <c r="I668" i="10"/>
  <c r="I706" i="10"/>
  <c r="I690" i="10"/>
  <c r="I681" i="10"/>
  <c r="I677" i="10"/>
  <c r="I673" i="10"/>
  <c r="I669" i="10"/>
  <c r="I710" i="10"/>
  <c r="I694" i="10"/>
  <c r="I687" i="10"/>
  <c r="I686" i="10"/>
  <c r="I682" i="10"/>
  <c r="I678" i="10"/>
  <c r="I674" i="10"/>
  <c r="I670" i="10"/>
  <c r="I647" i="10"/>
  <c r="I646" i="10"/>
  <c r="I645" i="10"/>
  <c r="I675" i="10"/>
  <c r="I644" i="10"/>
  <c r="I642" i="10"/>
  <c r="I640" i="10"/>
  <c r="I638" i="10"/>
  <c r="I679" i="10"/>
  <c r="I683" i="10"/>
  <c r="I643" i="10"/>
  <c r="I641" i="10"/>
  <c r="I639" i="10"/>
  <c r="I637" i="10"/>
  <c r="I636" i="10"/>
  <c r="I635" i="10"/>
  <c r="I634" i="10"/>
  <c r="I633" i="10"/>
  <c r="I632" i="10"/>
  <c r="I631" i="10"/>
  <c r="I630" i="10"/>
  <c r="I698" i="10"/>
  <c r="I671" i="10"/>
  <c r="I699" i="1" l="1"/>
  <c r="I673" i="1"/>
  <c r="I685" i="1"/>
  <c r="I680" i="1"/>
  <c r="I703" i="1"/>
  <c r="I636" i="1"/>
  <c r="I638" i="1"/>
  <c r="I701" i="1"/>
  <c r="I700" i="1"/>
  <c r="I698" i="1"/>
  <c r="I647" i="1"/>
  <c r="I696" i="1"/>
  <c r="I710" i="1"/>
  <c r="I695" i="1"/>
  <c r="I708" i="1"/>
  <c r="I676" i="1"/>
  <c r="I707" i="1"/>
  <c r="I692" i="1"/>
  <c r="I640" i="1"/>
  <c r="I672" i="1"/>
  <c r="I670" i="1"/>
  <c r="I694" i="1"/>
  <c r="I635" i="1"/>
  <c r="I687" i="1"/>
  <c r="I641" i="1"/>
  <c r="I642" i="1"/>
  <c r="I678" i="1"/>
  <c r="I689" i="1"/>
  <c r="I637" i="1"/>
  <c r="I683" i="1"/>
  <c r="I677" i="1"/>
  <c r="I671" i="1"/>
  <c r="I639" i="1"/>
  <c r="I705" i="1"/>
  <c r="I633" i="1"/>
  <c r="I713" i="1"/>
  <c r="I697" i="1"/>
  <c r="I686" i="1"/>
  <c r="I716" i="1"/>
  <c r="I632" i="1"/>
  <c r="I679" i="1"/>
  <c r="I690" i="1"/>
  <c r="I675" i="1"/>
  <c r="I674" i="1"/>
  <c r="I644" i="1"/>
  <c r="I702" i="1"/>
  <c r="I634" i="1"/>
  <c r="I693" i="1"/>
  <c r="I706" i="1"/>
  <c r="I684" i="1"/>
  <c r="I688" i="1"/>
  <c r="I691" i="1"/>
  <c r="I630" i="1"/>
  <c r="I704" i="1"/>
  <c r="I712" i="1"/>
  <c r="I646" i="1"/>
  <c r="I668" i="1"/>
  <c r="I682" i="1"/>
  <c r="I709" i="1"/>
  <c r="I631" i="1"/>
  <c r="I681" i="1"/>
  <c r="I711" i="1"/>
  <c r="I643" i="1"/>
  <c r="I645" i="1"/>
  <c r="I715" i="10"/>
  <c r="J630" i="10"/>
  <c r="I715" i="1" l="1"/>
  <c r="J630" i="1"/>
  <c r="J697" i="1" s="1"/>
  <c r="J712" i="10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8" i="10"/>
  <c r="J681" i="10"/>
  <c r="J677" i="10"/>
  <c r="J673" i="10"/>
  <c r="J669" i="10"/>
  <c r="J703" i="10"/>
  <c r="J687" i="10"/>
  <c r="J682" i="10"/>
  <c r="J678" i="10"/>
  <c r="J674" i="10"/>
  <c r="J670" i="10"/>
  <c r="J647" i="10"/>
  <c r="J646" i="10"/>
  <c r="J645" i="10"/>
  <c r="J707" i="10"/>
  <c r="J691" i="10"/>
  <c r="J685" i="10"/>
  <c r="J683" i="10"/>
  <c r="J679" i="10"/>
  <c r="J675" i="10"/>
  <c r="J671" i="10"/>
  <c r="J644" i="10"/>
  <c r="J643" i="10"/>
  <c r="J642" i="10"/>
  <c r="J641" i="10"/>
  <c r="J640" i="10"/>
  <c r="J639" i="10"/>
  <c r="J638" i="10"/>
  <c r="J637" i="10"/>
  <c r="J672" i="10"/>
  <c r="J695" i="10"/>
  <c r="J676" i="10"/>
  <c r="J636" i="10"/>
  <c r="J635" i="10"/>
  <c r="J634" i="10"/>
  <c r="J633" i="10"/>
  <c r="J632" i="10"/>
  <c r="J631" i="10"/>
  <c r="J711" i="10"/>
  <c r="J680" i="10"/>
  <c r="J668" i="10"/>
  <c r="J684" i="10"/>
  <c r="L647" i="10" l="1"/>
  <c r="J715" i="10"/>
  <c r="J681" i="1"/>
  <c r="J637" i="1"/>
  <c r="J673" i="1"/>
  <c r="J679" i="1"/>
  <c r="J713" i="1"/>
  <c r="J638" i="1"/>
  <c r="J692" i="1"/>
  <c r="J696" i="1"/>
  <c r="J641" i="1"/>
  <c r="J631" i="1"/>
  <c r="J645" i="1"/>
  <c r="J708" i="1"/>
  <c r="J682" i="1"/>
  <c r="J709" i="1"/>
  <c r="J701" i="1"/>
  <c r="J693" i="1"/>
  <c r="J668" i="1"/>
  <c r="J676" i="1"/>
  <c r="J640" i="1"/>
  <c r="J712" i="1"/>
  <c r="J711" i="1"/>
  <c r="J642" i="1"/>
  <c r="J670" i="1"/>
  <c r="J698" i="1"/>
  <c r="J706" i="1"/>
  <c r="J636" i="1"/>
  <c r="J703" i="1"/>
  <c r="J685" i="1"/>
  <c r="J677" i="1"/>
  <c r="J675" i="1"/>
  <c r="J643" i="1"/>
  <c r="J669" i="1"/>
  <c r="J644" i="1"/>
  <c r="J695" i="1"/>
  <c r="J689" i="1"/>
  <c r="J707" i="1"/>
  <c r="J680" i="1"/>
  <c r="J639" i="1"/>
  <c r="J687" i="1"/>
  <c r="J633" i="1"/>
  <c r="J684" i="1"/>
  <c r="J694" i="1"/>
  <c r="J704" i="1"/>
  <c r="J632" i="1"/>
  <c r="J635" i="1"/>
  <c r="J678" i="1"/>
  <c r="J672" i="1"/>
  <c r="J716" i="1"/>
  <c r="J646" i="1"/>
  <c r="J686" i="1"/>
  <c r="J700" i="1"/>
  <c r="J699" i="1"/>
  <c r="J691" i="1"/>
  <c r="J710" i="1"/>
  <c r="J683" i="1"/>
  <c r="J634" i="1"/>
  <c r="J671" i="1"/>
  <c r="J674" i="1"/>
  <c r="J705" i="1"/>
  <c r="J690" i="1"/>
  <c r="J647" i="1"/>
  <c r="J702" i="1"/>
  <c r="J688" i="1"/>
  <c r="K644" i="10"/>
  <c r="L710" i="10"/>
  <c r="L706" i="10"/>
  <c r="L702" i="10"/>
  <c r="L698" i="10"/>
  <c r="L694" i="10"/>
  <c r="L690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6" i="10"/>
  <c r="L685" i="10"/>
  <c r="L683" i="10"/>
  <c r="L679" i="10"/>
  <c r="L675" i="10"/>
  <c r="L671" i="10"/>
  <c r="L713" i="10"/>
  <c r="L697" i="10"/>
  <c r="L689" i="10"/>
  <c r="L684" i="10"/>
  <c r="L680" i="10"/>
  <c r="L676" i="10"/>
  <c r="L672" i="10"/>
  <c r="L668" i="10"/>
  <c r="L701" i="10"/>
  <c r="L681" i="10"/>
  <c r="L677" i="10"/>
  <c r="L673" i="10"/>
  <c r="L669" i="10"/>
  <c r="L682" i="10"/>
  <c r="L670" i="10"/>
  <c r="L705" i="10"/>
  <c r="L674" i="10"/>
  <c r="L678" i="10"/>
  <c r="L647" i="1" l="1"/>
  <c r="J715" i="1"/>
  <c r="K644" i="1"/>
  <c r="K700" i="1" s="1"/>
  <c r="L682" i="1"/>
  <c r="K685" i="1"/>
  <c r="L685" i="1"/>
  <c r="L709" i="1"/>
  <c r="L668" i="1"/>
  <c r="L696" i="1"/>
  <c r="L716" i="1"/>
  <c r="L694" i="1"/>
  <c r="L700" i="1"/>
  <c r="L703" i="1"/>
  <c r="L689" i="1"/>
  <c r="L680" i="1"/>
  <c r="L698" i="1"/>
  <c r="L672" i="1"/>
  <c r="L704" i="1"/>
  <c r="L699" i="1"/>
  <c r="L713" i="1"/>
  <c r="L710" i="1"/>
  <c r="L706" i="1"/>
  <c r="L707" i="1"/>
  <c r="L673" i="1"/>
  <c r="L693" i="1"/>
  <c r="L690" i="1"/>
  <c r="L675" i="1"/>
  <c r="L705" i="1"/>
  <c r="L691" i="1"/>
  <c r="L695" i="1"/>
  <c r="L702" i="1"/>
  <c r="L687" i="1"/>
  <c r="L674" i="1"/>
  <c r="L692" i="1"/>
  <c r="L697" i="1"/>
  <c r="L679" i="1"/>
  <c r="L711" i="1"/>
  <c r="L676" i="1"/>
  <c r="L671" i="1"/>
  <c r="L688" i="1"/>
  <c r="L686" i="1"/>
  <c r="L684" i="1"/>
  <c r="L681" i="1"/>
  <c r="L708" i="1"/>
  <c r="L683" i="1"/>
  <c r="L669" i="1"/>
  <c r="L701" i="1"/>
  <c r="L678" i="1"/>
  <c r="L715" i="10"/>
  <c r="M677" i="10"/>
  <c r="Z743" i="10" s="1"/>
  <c r="M711" i="10"/>
  <c r="Z777" i="10" s="1"/>
  <c r="K713" i="10"/>
  <c r="M713" i="10" s="1"/>
  <c r="K709" i="10"/>
  <c r="M709" i="10" s="1"/>
  <c r="Z775" i="10" s="1"/>
  <c r="K705" i="10"/>
  <c r="M705" i="10" s="1"/>
  <c r="Z771" i="10" s="1"/>
  <c r="K701" i="10"/>
  <c r="M701" i="10" s="1"/>
  <c r="Z767" i="10" s="1"/>
  <c r="K697" i="10"/>
  <c r="M697" i="10" s="1"/>
  <c r="Z763" i="10" s="1"/>
  <c r="K693" i="10"/>
  <c r="M693" i="10" s="1"/>
  <c r="Z759" i="10" s="1"/>
  <c r="K710" i="10"/>
  <c r="M710" i="10" s="1"/>
  <c r="Z776" i="10" s="1"/>
  <c r="K706" i="10"/>
  <c r="M706" i="10" s="1"/>
  <c r="Z772" i="10" s="1"/>
  <c r="K702" i="10"/>
  <c r="M702" i="10" s="1"/>
  <c r="Z768" i="10" s="1"/>
  <c r="K698" i="10"/>
  <c r="M698" i="10" s="1"/>
  <c r="Z764" i="10" s="1"/>
  <c r="K694" i="10"/>
  <c r="M694" i="10" s="1"/>
  <c r="Z760" i="10" s="1"/>
  <c r="K690" i="10"/>
  <c r="M690" i="10" s="1"/>
  <c r="Z756" i="10" s="1"/>
  <c r="K716" i="10"/>
  <c r="K711" i="10"/>
  <c r="K707" i="10"/>
  <c r="M707" i="10" s="1"/>
  <c r="Z773" i="10" s="1"/>
  <c r="K703" i="10"/>
  <c r="M703" i="10" s="1"/>
  <c r="Z769" i="10" s="1"/>
  <c r="K699" i="10"/>
  <c r="M699" i="10" s="1"/>
  <c r="Z765" i="10" s="1"/>
  <c r="K695" i="10"/>
  <c r="M695" i="10" s="1"/>
  <c r="Z761" i="10" s="1"/>
  <c r="K691" i="10"/>
  <c r="M691" i="10" s="1"/>
  <c r="Z757" i="10" s="1"/>
  <c r="K687" i="10"/>
  <c r="M687" i="10" s="1"/>
  <c r="Z753" i="10" s="1"/>
  <c r="K712" i="10"/>
  <c r="M712" i="10" s="1"/>
  <c r="Z778" i="10" s="1"/>
  <c r="K696" i="10"/>
  <c r="M696" i="10" s="1"/>
  <c r="Z762" i="10" s="1"/>
  <c r="K682" i="10"/>
  <c r="M682" i="10" s="1"/>
  <c r="Z748" i="10" s="1"/>
  <c r="K678" i="10"/>
  <c r="M678" i="10" s="1"/>
  <c r="Z744" i="10" s="1"/>
  <c r="K674" i="10"/>
  <c r="M674" i="10" s="1"/>
  <c r="Z740" i="10" s="1"/>
  <c r="K670" i="10"/>
  <c r="M670" i="10" s="1"/>
  <c r="Z736" i="10" s="1"/>
  <c r="K700" i="10"/>
  <c r="M700" i="10" s="1"/>
  <c r="Z766" i="10" s="1"/>
  <c r="K686" i="10"/>
  <c r="M686" i="10" s="1"/>
  <c r="Z752" i="10" s="1"/>
  <c r="K685" i="10"/>
  <c r="M685" i="10" s="1"/>
  <c r="Z751" i="10" s="1"/>
  <c r="K683" i="10"/>
  <c r="M683" i="10" s="1"/>
  <c r="Z749" i="10" s="1"/>
  <c r="K679" i="10"/>
  <c r="M679" i="10" s="1"/>
  <c r="Z745" i="10" s="1"/>
  <c r="K675" i="10"/>
  <c r="M675" i="10" s="1"/>
  <c r="Z741" i="10" s="1"/>
  <c r="K671" i="10"/>
  <c r="M671" i="10" s="1"/>
  <c r="Z737" i="10" s="1"/>
  <c r="K704" i="10"/>
  <c r="M704" i="10" s="1"/>
  <c r="Z770" i="10" s="1"/>
  <c r="K689" i="10"/>
  <c r="M689" i="10" s="1"/>
  <c r="Z755" i="10" s="1"/>
  <c r="K684" i="10"/>
  <c r="M684" i="10" s="1"/>
  <c r="Z750" i="10" s="1"/>
  <c r="K680" i="10"/>
  <c r="M680" i="10" s="1"/>
  <c r="Z746" i="10" s="1"/>
  <c r="K676" i="10"/>
  <c r="M676" i="10" s="1"/>
  <c r="Z742" i="10" s="1"/>
  <c r="K672" i="10"/>
  <c r="M672" i="10" s="1"/>
  <c r="Z738" i="10" s="1"/>
  <c r="K668" i="10"/>
  <c r="K708" i="10"/>
  <c r="M708" i="10" s="1"/>
  <c r="Z774" i="10" s="1"/>
  <c r="K669" i="10"/>
  <c r="M669" i="10" s="1"/>
  <c r="Z735" i="10" s="1"/>
  <c r="K673" i="10"/>
  <c r="M673" i="10" s="1"/>
  <c r="Z739" i="10" s="1"/>
  <c r="K677" i="10"/>
  <c r="K688" i="10"/>
  <c r="M688" i="10" s="1"/>
  <c r="Z754" i="10" s="1"/>
  <c r="K681" i="10"/>
  <c r="M681" i="10" s="1"/>
  <c r="Z747" i="10" s="1"/>
  <c r="K692" i="10"/>
  <c r="M692" i="10" s="1"/>
  <c r="Z758" i="10" s="1"/>
  <c r="K673" i="1" l="1"/>
  <c r="M673" i="1" s="1"/>
  <c r="K675" i="1"/>
  <c r="M675" i="1" s="1"/>
  <c r="K701" i="1"/>
  <c r="M701" i="1" s="1"/>
  <c r="M700" i="1"/>
  <c r="Y766" i="1" s="1"/>
  <c r="M685" i="1"/>
  <c r="F87" i="9" s="1"/>
  <c r="K698" i="1"/>
  <c r="M698" i="1" s="1"/>
  <c r="E151" i="9" s="1"/>
  <c r="L677" i="1"/>
  <c r="L670" i="1"/>
  <c r="L712" i="1"/>
  <c r="K699" i="1"/>
  <c r="M699" i="1" s="1"/>
  <c r="K677" i="1"/>
  <c r="K691" i="1"/>
  <c r="M691" i="1" s="1"/>
  <c r="K679" i="1"/>
  <c r="M679" i="1" s="1"/>
  <c r="Y745" i="1" s="1"/>
  <c r="K693" i="1"/>
  <c r="M693" i="1" s="1"/>
  <c r="K678" i="1"/>
  <c r="M678" i="1" s="1"/>
  <c r="F55" i="9" s="1"/>
  <c r="K672" i="1"/>
  <c r="M672" i="1" s="1"/>
  <c r="K688" i="1"/>
  <c r="M688" i="1" s="1"/>
  <c r="K684" i="1"/>
  <c r="M684" i="1" s="1"/>
  <c r="E87" i="9" s="1"/>
  <c r="K692" i="1"/>
  <c r="M692" i="1" s="1"/>
  <c r="K704" i="1"/>
  <c r="M704" i="1" s="1"/>
  <c r="K690" i="1"/>
  <c r="M690" i="1" s="1"/>
  <c r="K695" i="1"/>
  <c r="M695" i="1" s="1"/>
  <c r="K706" i="1"/>
  <c r="M706" i="1" s="1"/>
  <c r="K697" i="1"/>
  <c r="M697" i="1" s="1"/>
  <c r="K668" i="1"/>
  <c r="K708" i="1"/>
  <c r="M708" i="1" s="1"/>
  <c r="K709" i="1"/>
  <c r="M709" i="1" s="1"/>
  <c r="K676" i="1"/>
  <c r="M676" i="1" s="1"/>
  <c r="K713" i="1"/>
  <c r="M713" i="1" s="1"/>
  <c r="K670" i="1"/>
  <c r="K696" i="1"/>
  <c r="M696" i="1" s="1"/>
  <c r="K681" i="1"/>
  <c r="M681" i="1" s="1"/>
  <c r="Y747" i="1" s="1"/>
  <c r="K680" i="1"/>
  <c r="M680" i="1" s="1"/>
  <c r="K711" i="1"/>
  <c r="M711" i="1" s="1"/>
  <c r="K689" i="1"/>
  <c r="M689" i="1" s="1"/>
  <c r="K702" i="1"/>
  <c r="M702" i="1" s="1"/>
  <c r="K682" i="1"/>
  <c r="M682" i="1" s="1"/>
  <c r="K671" i="1"/>
  <c r="M671" i="1" s="1"/>
  <c r="K687" i="1"/>
  <c r="M687" i="1" s="1"/>
  <c r="K669" i="1"/>
  <c r="M669" i="1" s="1"/>
  <c r="K712" i="1"/>
  <c r="K674" i="1"/>
  <c r="M674" i="1" s="1"/>
  <c r="K703" i="1"/>
  <c r="M703" i="1" s="1"/>
  <c r="K707" i="1"/>
  <c r="M707" i="1" s="1"/>
  <c r="G183" i="9" s="1"/>
  <c r="K716" i="1"/>
  <c r="K705" i="1"/>
  <c r="M705" i="1" s="1"/>
  <c r="K686" i="1"/>
  <c r="M686" i="1" s="1"/>
  <c r="K683" i="1"/>
  <c r="M683" i="1" s="1"/>
  <c r="Y749" i="1" s="1"/>
  <c r="K710" i="1"/>
  <c r="M710" i="1" s="1"/>
  <c r="K694" i="1"/>
  <c r="M694" i="1" s="1"/>
  <c r="Y760" i="1" s="1"/>
  <c r="K715" i="10"/>
  <c r="M668" i="10"/>
  <c r="H23" i="9" l="1"/>
  <c r="Y739" i="1"/>
  <c r="M670" i="1"/>
  <c r="E23" i="9" s="1"/>
  <c r="Y744" i="1"/>
  <c r="G151" i="9"/>
  <c r="M677" i="1"/>
  <c r="Y743" i="1" s="1"/>
  <c r="L715" i="1"/>
  <c r="H151" i="9"/>
  <c r="Y767" i="1"/>
  <c r="Y741" i="1"/>
  <c r="C55" i="9"/>
  <c r="Y751" i="1"/>
  <c r="Y740" i="1"/>
  <c r="I23" i="9"/>
  <c r="D151" i="9"/>
  <c r="Y763" i="1"/>
  <c r="Y753" i="1"/>
  <c r="H87" i="9"/>
  <c r="I151" i="9"/>
  <c r="Y768" i="1"/>
  <c r="Y757" i="1"/>
  <c r="E119" i="9"/>
  <c r="Y764" i="1"/>
  <c r="M712" i="1"/>
  <c r="Y778" i="1" s="1"/>
  <c r="Y773" i="1"/>
  <c r="Y750" i="1"/>
  <c r="Y755" i="1"/>
  <c r="C119" i="9"/>
  <c r="Y779" i="1"/>
  <c r="F215" i="9"/>
  <c r="Y754" i="1"/>
  <c r="I87" i="9"/>
  <c r="Y735" i="1"/>
  <c r="D23" i="9"/>
  <c r="D55" i="9"/>
  <c r="Y742" i="1"/>
  <c r="F151" i="9"/>
  <c r="Y765" i="1"/>
  <c r="C215" i="9"/>
  <c r="Y776" i="1"/>
  <c r="Y769" i="1"/>
  <c r="C183" i="9"/>
  <c r="Y748" i="1"/>
  <c r="C87" i="9"/>
  <c r="Y762" i="1"/>
  <c r="C151" i="9"/>
  <c r="Y758" i="1"/>
  <c r="F119" i="9"/>
  <c r="Y752" i="1"/>
  <c r="G87" i="9"/>
  <c r="Y772" i="1"/>
  <c r="F183" i="9"/>
  <c r="Y771" i="1"/>
  <c r="E183" i="9"/>
  <c r="D215" i="9"/>
  <c r="Y777" i="1"/>
  <c r="Y761" i="1"/>
  <c r="I119" i="9"/>
  <c r="Y738" i="1"/>
  <c r="G23" i="9"/>
  <c r="Y746" i="1"/>
  <c r="H55" i="9"/>
  <c r="Y775" i="1"/>
  <c r="I183" i="9"/>
  <c r="Y756" i="1"/>
  <c r="D119" i="9"/>
  <c r="Y737" i="1"/>
  <c r="F23" i="9"/>
  <c r="H183" i="9"/>
  <c r="Y774" i="1"/>
  <c r="D183" i="9"/>
  <c r="Y770" i="1"/>
  <c r="Y759" i="1"/>
  <c r="G119" i="9"/>
  <c r="D87" i="9"/>
  <c r="G55" i="9"/>
  <c r="I55" i="9"/>
  <c r="H119" i="9"/>
  <c r="K715" i="1"/>
  <c r="M668" i="1"/>
  <c r="Y736" i="1"/>
  <c r="M715" i="10"/>
  <c r="Z815" i="10" s="1"/>
  <c r="Z734" i="10"/>
  <c r="Z814" i="10" s="1"/>
  <c r="E55" i="9" l="1"/>
  <c r="E215" i="9"/>
  <c r="M715" i="1"/>
  <c r="C23" i="9"/>
  <c r="Y734" i="1"/>
  <c r="Y8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Hui, Lena</author>
  </authors>
  <commentList>
    <comment ref="G22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Hui, Lena:</t>
        </r>
        <r>
          <rPr>
            <sz val="9"/>
            <color indexed="81"/>
            <rFont val="Tahoma"/>
            <family val="2"/>
          </rPr>
          <t xml:space="preserve">
from tm D py contractuals</t>
        </r>
      </text>
    </comment>
    <comment ref="H22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Hui, Lena:</t>
        </r>
        <r>
          <rPr>
            <sz val="9"/>
            <color indexed="81"/>
            <rFont val="Tahoma"/>
            <family val="2"/>
          </rPr>
          <t xml:space="preserve">
from tm E 
HMO discounts</t>
        </r>
      </text>
    </comment>
    <comment ref="H22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Hui, Lena:</t>
        </r>
        <r>
          <rPr>
            <sz val="9"/>
            <color indexed="81"/>
            <rFont val="Tahoma"/>
            <family val="2"/>
          </rPr>
          <t xml:space="preserve">
from HMO discounts
tm E</t>
        </r>
      </text>
    </comment>
  </commentList>
</comments>
</file>

<file path=xl/sharedStrings.xml><?xml version="1.0" encoding="utf-8"?>
<sst xmlns="http://schemas.openxmlformats.org/spreadsheetml/2006/main" count="4946" uniqueCount="1285">
  <si>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</si>
  <si>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</si>
  <si>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</si>
  <si>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</si>
  <si>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</si>
  <si>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</si>
  <si>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</si>
  <si>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</si>
  <si>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</si>
  <si>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</si>
  <si>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</si>
  <si>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</si>
  <si>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</si>
  <si>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</si>
  <si>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</si>
  <si>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</si>
  <si>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</si>
  <si>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</si>
  <si>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</si>
  <si>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</si>
  <si>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</si>
  <si>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</si>
  <si>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</si>
  <si>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</si>
  <si>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</si>
  <si>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</si>
  <si>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</si>
  <si>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</si>
  <si>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</si>
  <si>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</si>
  <si>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</si>
  <si>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</si>
  <si>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</si>
  <si>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</si>
  <si>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</si>
  <si>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</si>
  <si>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</si>
  <si>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</si>
  <si>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</si>
  <si>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</si>
  <si>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</si>
  <si>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</si>
  <si>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</si>
  <si>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</si>
  <si>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</si>
  <si>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</si>
  <si>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</si>
  <si>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</si>
  <si>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</si>
  <si>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</si>
  <si>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</si>
  <si>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</si>
  <si>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</si>
  <si>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</si>
  <si>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</si>
  <si>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</si>
  <si>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</si>
  <si>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</si>
  <si>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</si>
  <si>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</si>
  <si>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</si>
  <si>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</si>
  <si>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</si>
  <si>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</si>
  <si>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</si>
  <si>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</si>
  <si>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</si>
  <si>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</si>
  <si>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</si>
  <si>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</si>
  <si>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</si>
  <si>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</si>
  <si>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</si>
  <si>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</si>
  <si>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</si>
  <si>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</si>
  <si>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</si>
  <si>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</si>
  <si>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</si>
  <si>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</si>
  <si>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</si>
  <si>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</si>
  <si>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</si>
  <si>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</si>
  <si>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</si>
  <si>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</si>
  <si>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</si>
  <si>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</si>
  <si>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</si>
  <si>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</si>
  <si>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</si>
  <si>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</si>
  <si>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</si>
  <si>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</si>
  <si>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</si>
  <si>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</si>
  <si>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</si>
  <si>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</si>
  <si>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</si>
  <si>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</si>
  <si>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</si>
  <si>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</si>
  <si>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</si>
  <si>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</si>
  <si>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</si>
  <si>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</si>
  <si>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</si>
  <si>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</si>
  <si>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</si>
  <si>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</si>
  <si>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</si>
  <si>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</si>
  <si>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</si>
  <si>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</si>
  <si>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</si>
  <si>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</si>
  <si>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</si>
  <si>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</si>
  <si>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</si>
  <si>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</si>
  <si>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</si>
  <si>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</si>
  <si>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</si>
  <si>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</si>
  <si>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</si>
  <si>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</si>
  <si>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</si>
  <si>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</si>
  <si>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</si>
  <si>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</si>
  <si>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</si>
  <si>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</si>
  <si>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</si>
  <si>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</si>
  <si>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</si>
  <si>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</si>
  <si>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</si>
  <si>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</si>
  <si>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</si>
  <si>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</si>
  <si>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</si>
  <si>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</si>
  <si>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</si>
  <si>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</si>
  <si>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</si>
  <si>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</si>
  <si>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</si>
  <si>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</si>
  <si>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</si>
  <si>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</si>
  <si>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</si>
  <si>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</si>
  <si>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</si>
  <si>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</si>
  <si>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</si>
  <si>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</si>
  <si>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</si>
  <si>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</si>
  <si>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</si>
  <si>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</si>
  <si>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</si>
  <si>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</si>
  <si>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</si>
  <si>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</si>
  <si>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</si>
  <si>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</si>
  <si>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</si>
  <si>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</si>
  <si>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</si>
  <si>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</si>
  <si>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</si>
  <si>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</si>
  <si>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</si>
  <si>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</si>
  <si>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</si>
  <si>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</si>
  <si>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</si>
  <si>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</si>
  <si>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</si>
  <si>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</si>
  <si>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</si>
  <si>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</si>
  <si>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</si>
  <si>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</si>
  <si>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</si>
  <si>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</si>
  <si>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</si>
  <si>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</si>
  <si>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</si>
  <si>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</si>
  <si>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</si>
  <si>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</si>
  <si>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</si>
  <si>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</si>
  <si>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</si>
  <si>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</si>
  <si>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</si>
  <si>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</si>
  <si>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</si>
  <si>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</si>
  <si>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</si>
  <si>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</si>
  <si>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</si>
  <si>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</si>
  <si>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</si>
  <si>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</si>
  <si>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</si>
  <si>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</si>
  <si>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</si>
  <si>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</si>
  <si>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</si>
  <si>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</si>
  <si>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</si>
  <si>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</si>
  <si>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</si>
  <si>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</si>
  <si>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</si>
  <si>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</si>
  <si>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</si>
  <si>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</si>
  <si>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</si>
  <si>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</si>
  <si>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</si>
  <si>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</si>
  <si>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</si>
  <si>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</si>
  <si>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</si>
  <si>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</si>
  <si>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</si>
  <si>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</si>
  <si>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</si>
  <si>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</si>
  <si>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</si>
  <si>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</si>
  <si>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</si>
  <si>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</si>
  <si>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</si>
  <si>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</si>
  <si>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</si>
  <si>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</si>
  <si>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</si>
  <si>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</si>
  <si>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</si>
  <si>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</si>
  <si>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</si>
  <si>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</si>
  <si>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</si>
  <si>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</si>
  <si>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</si>
  <si>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</si>
  <si>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</si>
  <si>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</si>
  <si>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</si>
  <si>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</si>
  <si>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</si>
  <si>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</si>
  <si>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</si>
  <si>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</si>
  <si>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</si>
  <si>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</si>
  <si>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</si>
  <si>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</si>
  <si>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</si>
  <si>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</si>
  <si>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</si>
  <si>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</si>
  <si>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</si>
  <si>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</si>
  <si>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</si>
  <si>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</si>
  <si>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</si>
  <si>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</si>
  <si>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</si>
  <si>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</si>
  <si>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</si>
  <si>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</si>
  <si>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</si>
  <si>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</si>
  <si>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</si>
  <si>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</si>
  <si>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</si>
  <si>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</si>
  <si>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</si>
  <si>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</si>
  <si>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</si>
  <si>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</si>
  <si>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</si>
  <si>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</si>
  <si>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</si>
  <si>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</si>
  <si>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</si>
  <si>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</si>
  <si>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</si>
  <si>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</si>
  <si>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</si>
  <si>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</si>
  <si>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</si>
  <si>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</si>
  <si>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</si>
  <si>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</si>
  <si>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</si>
  <si>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</si>
  <si>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</si>
  <si>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</si>
  <si>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</si>
  <si>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</si>
  <si>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</si>
  <si>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</si>
  <si>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</si>
  <si>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</si>
  <si>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</si>
  <si>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</si>
  <si>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</si>
  <si>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</si>
  <si>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</si>
  <si>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</si>
  <si>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</si>
  <si>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</si>
  <si>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</si>
  <si>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</si>
  <si>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</si>
  <si>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</si>
  <si>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</si>
  <si>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</si>
  <si>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</si>
  <si>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</si>
  <si>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</si>
  <si>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</si>
  <si>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</si>
  <si>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</si>
  <si>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</si>
  <si>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</si>
  <si>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</si>
  <si>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</si>
  <si>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</si>
  <si>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</si>
  <si>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</si>
  <si>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</si>
  <si>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</si>
  <si>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</si>
  <si>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</si>
  <si>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</si>
  <si>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</si>
  <si>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</si>
  <si>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</si>
  <si>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</si>
  <si>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</si>
  <si>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</si>
  <si>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</si>
  <si>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</si>
  <si>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</si>
  <si>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</si>
  <si>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</si>
  <si>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</si>
  <si>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</si>
  <si>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</si>
  <si>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</si>
  <si>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</si>
  <si>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</si>
  <si>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</si>
  <si>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</si>
  <si>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</si>
  <si>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</si>
  <si>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</si>
  <si>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</si>
  <si>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</si>
  <si>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</si>
  <si>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</si>
  <si>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</si>
  <si>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</si>
  <si>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</si>
  <si>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</si>
  <si>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</si>
  <si>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</si>
  <si>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</si>
  <si>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</si>
  <si>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</si>
  <si>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</si>
  <si>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</si>
  <si>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</si>
  <si>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</si>
  <si>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</si>
  <si>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</si>
  <si>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</si>
  <si>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</si>
  <si>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</si>
  <si>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</si>
  <si>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</si>
  <si>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</si>
  <si>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</si>
  <si>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</si>
  <si>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</si>
  <si>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</si>
  <si>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</si>
  <si>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</si>
  <si>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</si>
  <si>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</si>
  <si>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</si>
  <si>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</si>
  <si>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</si>
  <si>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</si>
  <si>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</si>
  <si>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</si>
  <si>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</si>
  <si>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</si>
  <si>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</si>
  <si>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</si>
  <si>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</si>
  <si>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</si>
  <si>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</si>
  <si>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</si>
  <si>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</si>
  <si>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</si>
  <si>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</si>
  <si>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</si>
  <si>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</si>
  <si>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</si>
  <si>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</si>
  <si>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</si>
  <si>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</si>
  <si>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</si>
  <si>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</si>
  <si>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</si>
  <si>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</si>
  <si>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</si>
  <si>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</si>
  <si>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</si>
  <si>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</si>
  <si>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</si>
  <si>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</si>
  <si>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</si>
  <si>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</si>
  <si>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</si>
  <si>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</si>
  <si>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</si>
  <si>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</si>
  <si>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</si>
  <si>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</si>
  <si>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</si>
  <si>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</si>
  <si>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</si>
  <si>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</si>
  <si>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</si>
  <si>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</si>
  <si>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</si>
  <si>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</si>
  <si>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</si>
  <si>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</si>
  <si>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</si>
  <si>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</si>
  <si>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</si>
  <si>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</si>
  <si>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</si>
  <si>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</si>
  <si>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</si>
  <si>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</si>
  <si>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</si>
  <si>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</si>
  <si>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</si>
  <si>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</si>
  <si>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</si>
  <si>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</si>
  <si>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</si>
  <si>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</si>
  <si>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</si>
  <si>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</si>
  <si>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</si>
  <si>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</si>
  <si>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</si>
  <si>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</si>
  <si>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</si>
  <si>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</si>
  <si>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</si>
  <si>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</si>
  <si>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</si>
  <si>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</si>
  <si>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</si>
  <si>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</si>
  <si>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</si>
  <si>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</si>
  <si>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</si>
  <si>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</si>
  <si>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</si>
  <si>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</si>
  <si>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</si>
  <si>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</si>
  <si>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</si>
  <si>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</si>
  <si>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</si>
  <si>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</si>
  <si>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</si>
  <si>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</si>
  <si>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</si>
  <si>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</si>
  <si>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</si>
  <si>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</si>
  <si>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</si>
  <si>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</si>
  <si>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</si>
  <si>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</si>
  <si>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</si>
  <si>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</si>
  <si>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</si>
  <si>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</si>
  <si>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</si>
  <si>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</si>
  <si>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</si>
  <si>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</si>
  <si>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</si>
  <si>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</si>
  <si>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</si>
  <si>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</si>
  <si>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</si>
  <si>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</si>
  <si>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</si>
  <si>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</si>
  <si>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</si>
  <si>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</si>
  <si>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</si>
  <si>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</si>
  <si>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</si>
  <si>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</si>
  <si>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</si>
  <si>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</si>
  <si>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</si>
  <si>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</si>
  <si>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</si>
  <si>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</si>
  <si>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</si>
  <si>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</si>
  <si>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</si>
  <si>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</si>
  <si>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</si>
  <si>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</si>
  <si>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</si>
  <si>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</si>
  <si>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</si>
  <si>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</si>
  <si>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</si>
  <si>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</si>
  <si>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</si>
  <si>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</si>
  <si>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</si>
  <si>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</si>
  <si>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</si>
  <si>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</si>
  <si>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</si>
  <si>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</si>
  <si>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</si>
  <si>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</si>
  <si>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</si>
  <si>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</si>
  <si>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</si>
  <si>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</si>
  <si>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</si>
  <si>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</si>
  <si>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</si>
  <si>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</si>
  <si>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</si>
  <si>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</si>
  <si>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</si>
  <si>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</si>
  <si>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</si>
  <si>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</si>
  <si>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</si>
  <si>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</si>
  <si>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</si>
  <si>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</si>
  <si>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</si>
  <si>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</si>
  <si>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</si>
  <si>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</si>
  <si>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</si>
  <si>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</si>
  <si>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</si>
  <si>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</si>
  <si>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</si>
  <si>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</si>
  <si>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</si>
  <si>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</si>
  <si>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</si>
  <si>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</si>
  <si>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</si>
  <si>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</si>
  <si>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</si>
  <si>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</si>
  <si>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</si>
  <si>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</si>
  <si>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</si>
  <si>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</si>
  <si>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</si>
  <si>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</si>
  <si>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</si>
  <si>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</si>
  <si>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</si>
  <si>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</si>
  <si>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</si>
  <si>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</si>
  <si>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</si>
  <si>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</si>
  <si>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</si>
  <si>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</si>
  <si>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</si>
  <si>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</si>
  <si>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</si>
  <si>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</si>
  <si>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</si>
  <si>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</si>
  <si>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</si>
  <si>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</si>
  <si>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</si>
  <si>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</si>
  <si>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</si>
  <si>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</si>
  <si>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</si>
  <si>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</si>
  <si>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</si>
  <si>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</si>
  <si>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</si>
  <si>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</si>
  <si>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</si>
  <si>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</si>
  <si>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</si>
  <si>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</si>
  <si>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</si>
  <si>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</si>
  <si>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</si>
  <si>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</si>
  <si>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</si>
  <si>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</si>
  <si>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</si>
  <si>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</si>
  <si>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</si>
  <si>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</si>
  <si>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</si>
  <si>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</si>
  <si>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</si>
  <si>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</si>
  <si>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</si>
  <si>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</si>
  <si>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</si>
  <si>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</si>
  <si>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</si>
  <si>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</si>
  <si>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</si>
  <si>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</si>
  <si>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</si>
  <si>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</si>
  <si>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</si>
  <si>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</si>
  <si>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</si>
  <si>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</si>
  <si>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</si>
  <si>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</si>
  <si>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</si>
  <si>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</si>
  <si>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</si>
  <si>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</si>
  <si>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</si>
  <si>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</si>
  <si>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</si>
  <si>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</si>
  <si>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</si>
  <si>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</si>
  <si>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</si>
  <si>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</si>
  <si>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</si>
  <si>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</si>
  <si>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</si>
  <si>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</si>
  <si>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</si>
  <si>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</si>
  <si>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</si>
  <si>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</si>
  <si>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</si>
  <si>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</si>
  <si>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</si>
  <si>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</si>
  <si>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</si>
  <si>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</si>
  <si>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</si>
  <si>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</si>
  <si>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</si>
  <si>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</si>
  <si>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</si>
  <si>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</si>
  <si>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</si>
  <si>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</si>
  <si>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</si>
  <si>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</si>
  <si>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</si>
  <si>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</si>
  <si>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</si>
  <si>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</si>
  <si>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</si>
  <si>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</si>
  <si>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</si>
  <si>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</si>
  <si>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</si>
  <si>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</si>
  <si>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</si>
  <si>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</si>
  <si>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</si>
  <si>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</si>
  <si>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</si>
  <si>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</si>
  <si>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</si>
  <si>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</si>
  <si>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</si>
  <si>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</si>
  <si>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</si>
  <si>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</si>
  <si>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</si>
  <si>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</si>
  <si>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</si>
  <si>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</si>
  <si>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</si>
  <si>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</si>
  <si>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</si>
  <si>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</si>
  <si>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</si>
  <si>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</si>
  <si>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</si>
  <si>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</si>
  <si>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</si>
  <si>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</si>
  <si>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</si>
  <si>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</si>
  <si>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</si>
  <si>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</si>
  <si>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</si>
  <si>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</si>
  <si>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</si>
  <si>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</si>
  <si>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</si>
  <si>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</si>
  <si>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</si>
  <si>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</si>
  <si>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</si>
  <si>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</si>
  <si>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</si>
  <si>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</si>
  <si>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</si>
  <si>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</si>
  <si>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</si>
  <si>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</si>
  <si>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</si>
  <si>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</si>
  <si>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</si>
  <si>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</si>
  <si>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</si>
  <si>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</si>
  <si>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</si>
  <si>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</si>
  <si>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</si>
  <si>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</si>
  <si>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</si>
  <si>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</si>
  <si>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</si>
  <si>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</si>
  <si>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</si>
  <si>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</si>
  <si>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</si>
  <si>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</si>
  <si>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</si>
  <si>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</si>
  <si>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</si>
  <si>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</si>
  <si>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</si>
  <si>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</si>
  <si>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</si>
  <si>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</si>
  <si>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</si>
  <si>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</si>
  <si>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</si>
  <si>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</si>
  <si>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</si>
  <si>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</si>
  <si>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</si>
  <si>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</si>
  <si>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</si>
  <si>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</si>
  <si>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</si>
  <si>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</si>
  <si>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</si>
  <si>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</si>
  <si>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</si>
  <si>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</si>
  <si>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</si>
  <si>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</si>
  <si>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</si>
  <si>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</si>
  <si>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</si>
  <si>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</si>
  <si>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</si>
  <si>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</si>
  <si>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</si>
  <si>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</si>
  <si>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</si>
  <si>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</si>
  <si>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</si>
  <si>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</si>
  <si>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</si>
  <si>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</si>
  <si>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</si>
  <si>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</si>
  <si>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</si>
  <si>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</si>
  <si>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</si>
  <si>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</si>
  <si>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</si>
  <si>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</si>
  <si>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</si>
  <si>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</si>
  <si>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</si>
  <si>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</si>
  <si>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</si>
  <si>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</si>
  <si>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</si>
  <si>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</si>
  <si>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</si>
  <si>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</si>
  <si>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</si>
  <si>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</si>
  <si>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</si>
  <si>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</si>
  <si>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</si>
  <si>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</si>
  <si>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</si>
  <si>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</si>
  <si>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</si>
  <si>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</si>
  <si>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</si>
  <si>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</si>
  <si>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</si>
  <si>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</si>
  <si>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</si>
  <si>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</si>
  <si>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</si>
  <si>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</si>
  <si>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</si>
  <si>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</si>
  <si>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</si>
  <si>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</si>
  <si>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</si>
  <si>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</si>
  <si>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</si>
  <si>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</si>
  <si>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</si>
  <si>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</si>
  <si>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</si>
  <si>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</si>
  <si>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</si>
  <si>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</si>
  <si>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</si>
  <si>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</si>
  <si>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</si>
  <si>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</si>
  <si>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</si>
  <si>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</si>
  <si>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</si>
  <si>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</si>
  <si>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</si>
  <si>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</si>
  <si>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</si>
  <si>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</si>
  <si>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</si>
  <si>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</si>
  <si>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</si>
  <si>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</si>
  <si>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</si>
  <si>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</si>
  <si>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</si>
  <si>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</si>
  <si>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</si>
  <si>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</si>
  <si>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</si>
  <si>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</si>
  <si>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</si>
  <si>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</si>
  <si>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</si>
  <si>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</si>
  <si>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</si>
  <si>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</si>
  <si>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</si>
  <si>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</si>
  <si>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</si>
  <si>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</si>
  <si>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</si>
  <si>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</si>
  <si>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</si>
  <si>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</si>
  <si>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</si>
  <si>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</si>
  <si>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</si>
  <si>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</si>
  <si>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</si>
  <si>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</si>
  <si>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</si>
  <si>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</si>
  <si>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</si>
  <si>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</si>
  <si>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</si>
  <si>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</si>
  <si>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</si>
  <si>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</si>
  <si>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</si>
  <si>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</si>
  <si>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</si>
  <si>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</si>
  <si>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</si>
  <si>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</si>
  <si>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</si>
  <si>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</si>
  <si>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</si>
  <si>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</si>
  <si>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</si>
  <si>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</si>
  <si>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</si>
  <si>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</si>
  <si>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</si>
  <si>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</si>
  <si>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</si>
  <si>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</si>
  <si>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</si>
  <si>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</si>
  <si>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</si>
  <si>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</si>
  <si>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</si>
  <si>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</si>
  <si>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</si>
  <si>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</si>
  <si>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</si>
  <si>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</si>
  <si>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</si>
  <si>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</si>
  <si>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</si>
  <si>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</si>
  <si>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</si>
  <si>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</si>
  <si>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</si>
  <si>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</si>
  <si>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</si>
  <si>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</si>
  <si>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</si>
  <si>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</si>
  <si>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</si>
  <si>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</si>
  <si>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</si>
  <si>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</si>
  <si>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</si>
  <si>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</si>
  <si>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</si>
  <si>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</si>
  <si>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</si>
  <si>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</si>
  <si>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</si>
  <si>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</si>
  <si>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</si>
  <si>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</si>
  <si>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</si>
  <si>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</si>
  <si>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</si>
  <si>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</si>
  <si>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</si>
  <si>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</si>
  <si>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</si>
  <si>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</si>
  <si>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</si>
  <si>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</si>
  <si>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</si>
  <si>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</si>
  <si>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</si>
  <si>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</si>
  <si>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</si>
  <si>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</si>
  <si>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</si>
  <si>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</si>
  <si>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</si>
  <si>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</si>
  <si>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</si>
  <si>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</si>
  <si>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</si>
  <si>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</si>
  <si>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</si>
  <si>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</si>
  <si>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</si>
  <si>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</si>
  <si>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</si>
  <si>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</si>
  <si>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</si>
  <si>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</si>
  <si>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</si>
  <si>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</si>
  <si>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</si>
  <si>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</si>
  <si>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</si>
  <si>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</si>
  <si>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</si>
  <si>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</si>
  <si>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</si>
  <si>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</si>
  <si>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</si>
  <si>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</si>
  <si>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</si>
  <si>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</si>
  <si>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</si>
  <si>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</si>
  <si>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</si>
  <si>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</si>
  <si>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</si>
  <si>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</si>
  <si>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</si>
  <si>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</si>
  <si>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</si>
  <si>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</si>
  <si>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</si>
  <si>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</si>
  <si>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</si>
  <si>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</si>
  <si>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</si>
  <si>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</si>
  <si>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</si>
  <si>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</si>
  <si>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</si>
  <si>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</si>
  <si>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</si>
  <si>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</si>
  <si>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</si>
  <si>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</si>
  <si>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</si>
  <si>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</si>
  <si>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</si>
  <si>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</si>
  <si>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</si>
  <si>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</si>
  <si>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</si>
  <si>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</si>
  <si>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</si>
  <si>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</si>
  <si>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</si>
  <si>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</si>
  <si>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</si>
  <si>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</si>
  <si>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</si>
  <si>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</si>
  <si>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</si>
  <si>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</si>
  <si>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</si>
  <si>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</si>
  <si>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</si>
  <si>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</si>
  <si>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</si>
  <si>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</si>
  <si>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</si>
  <si>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</si>
  <si>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</si>
  <si>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</si>
  <si>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</si>
  <si>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</si>
  <si>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</si>
  <si>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</si>
  <si>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</si>
  <si>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</si>
  <si>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</si>
  <si>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</si>
  <si>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</si>
  <si>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</si>
  <si>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</si>
  <si>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</si>
  <si>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</si>
  <si>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</si>
  <si>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</si>
  <si>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</si>
  <si>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</si>
  <si>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</si>
  <si>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</si>
  <si>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</si>
  <si>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</si>
  <si>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</si>
  <si>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</si>
  <si>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</si>
  <si>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</si>
  <si>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</si>
  <si>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</si>
  <si>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</si>
  <si>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</si>
  <si>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</si>
  <si>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</si>
  <si>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</si>
  <si>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</si>
  <si>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</si>
  <si>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</si>
  <si>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</si>
  <si>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</si>
  <si>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</si>
  <si>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</si>
  <si>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</si>
  <si>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</si>
  <si>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</si>
  <si>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</si>
  <si>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</si>
  <si>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</si>
  <si>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</si>
  <si>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</si>
  <si>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</si>
  <si>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</si>
  <si>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</si>
  <si>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</si>
  <si>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</si>
  <si>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</si>
  <si>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</si>
  <si>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</si>
  <si>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</si>
  <si>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</si>
  <si>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</si>
  <si>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</si>
  <si>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</si>
  <si>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</si>
  <si>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</si>
  <si>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</si>
  <si>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</si>
  <si>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</si>
  <si>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</si>
  <si>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</si>
  <si>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</si>
  <si>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</si>
  <si>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</si>
  <si>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</si>
  <si>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</si>
  <si>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</si>
  <si>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</si>
  <si>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</si>
  <si>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</si>
  <si>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</si>
  <si>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</si>
  <si>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</si>
  <si>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</si>
  <si>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</si>
  <si>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</si>
  <si>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</si>
  <si>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</si>
  <si>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</si>
  <si>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</si>
  <si>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</si>
  <si>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</si>
  <si>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</si>
  <si>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</si>
  <si>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</si>
  <si>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</si>
  <si>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</si>
  <si>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</si>
  <si>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</si>
  <si>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</si>
  <si>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</si>
  <si>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</si>
  <si>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</si>
  <si>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</si>
  <si>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</si>
  <si>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</si>
  <si>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</si>
  <si>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</si>
  <si>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</si>
  <si>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</si>
  <si>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</si>
  <si>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</si>
  <si>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</si>
  <si>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</si>
  <si>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</si>
  <si>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</si>
  <si>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</si>
  <si>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</si>
  <si>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</si>
  <si>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</si>
  <si>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</si>
  <si>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</si>
  <si>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</si>
  <si>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</si>
  <si>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</si>
  <si>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</si>
  <si>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</si>
  <si>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</si>
  <si>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</si>
  <si>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</si>
  <si>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</si>
  <si>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</si>
  <si>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</si>
  <si>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</si>
  <si>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</si>
  <si>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</si>
  <si>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</si>
  <si>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</si>
  <si>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</si>
  <si>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</si>
  <si>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</si>
  <si>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</si>
  <si>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</si>
  <si>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</si>
  <si>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</si>
  <si>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</si>
  <si>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</si>
  <si>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</si>
  <si>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</si>
  <si>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</si>
  <si>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</si>
  <si>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</si>
  <si>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</si>
  <si>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</si>
  <si>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</si>
  <si>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</si>
  <si>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</si>
  <si>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</si>
  <si>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</si>
  <si>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</si>
  <si>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</si>
  <si>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</si>
  <si>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</si>
  <si>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</si>
  <si>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</si>
  <si>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</si>
  <si>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</si>
  <si>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</si>
  <si>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</si>
  <si>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</si>
  <si>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</si>
  <si>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</si>
  <si>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</si>
  <si>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</si>
  <si>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</si>
  <si>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</si>
  <si>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</si>
  <si>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</si>
  <si>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</si>
  <si>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</si>
  <si>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</si>
  <si>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</si>
  <si>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</si>
  <si>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</si>
  <si>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</si>
  <si>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</si>
  <si>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</si>
  <si>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</si>
  <si>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</si>
  <si>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</si>
  <si>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</si>
  <si>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</si>
  <si>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</si>
  <si>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</si>
  <si>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</si>
  <si>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</si>
  <si>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</si>
  <si>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</si>
  <si>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</si>
  <si>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</si>
  <si>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</si>
  <si>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</si>
  <si>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</si>
  <si>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</si>
  <si>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</si>
  <si>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</si>
  <si>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</si>
  <si>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</si>
  <si>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</si>
  <si>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</si>
  <si>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</si>
  <si>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</si>
  <si>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</si>
  <si>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</si>
  <si>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039</t>
  </si>
  <si>
    <t>RCCH Trios Health LLC</t>
  </si>
  <si>
    <t>3730 Plaza Way</t>
  </si>
  <si>
    <t>Kennewick , WA 99338</t>
  </si>
  <si>
    <t>Benton</t>
  </si>
  <si>
    <t>John Solheim</t>
  </si>
  <si>
    <t>Charlie Pearce</t>
  </si>
  <si>
    <t>509-221-7000</t>
  </si>
  <si>
    <t>509-221-5892</t>
  </si>
  <si>
    <t>formula</t>
  </si>
  <si>
    <t>(A)</t>
  </si>
  <si>
    <t>(B)</t>
  </si>
  <si>
    <t>( C)</t>
  </si>
  <si>
    <t>( D)</t>
  </si>
  <si>
    <t>12/31/2021</t>
  </si>
  <si>
    <t>Jerry Dooley</t>
  </si>
  <si>
    <t>Dr. Randall Fong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</si>
</sst>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0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2"/>
      <name val="Courie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16" fillId="0" borderId="0"/>
  </cellStyleXfs>
  <cellXfs count="249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11" fillId="0" borderId="0" xfId="2" applyNumberFormat="1" applyAlignment="1" applyProtection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>
      <alignment horizontal="left"/>
    </xf>
    <xf numFmtId="37" fontId="3" fillId="8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37" fontId="3" fillId="2" borderId="0" xfId="0" quotePrefix="1" applyFont="1" applyFill="1" applyAlignment="1">
      <alignment horizontal="center"/>
    </xf>
    <xf numFmtId="37" fontId="3" fillId="2" borderId="0" xfId="0" quotePrefix="1" applyFont="1" applyFill="1"/>
    <xf numFmtId="4" fontId="3" fillId="2" borderId="0" xfId="0" applyNumberFormat="1" applyFont="1" applyFill="1"/>
    <xf numFmtId="39" fontId="3" fillId="2" borderId="0" xfId="0" applyNumberFormat="1" applyFont="1" applyFill="1"/>
    <xf numFmtId="37" fontId="12" fillId="0" borderId="0" xfId="2" applyNumberFormat="1" applyFont="1" applyAlignment="1" applyProtection="1"/>
    <xf numFmtId="38" fontId="3" fillId="8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9" fontId="9" fillId="0" borderId="1" xfId="3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49" fontId="9" fillId="0" borderId="1" xfId="0" quotePrefix="1" applyNumberFormat="1" applyFont="1" applyBorder="1" applyProtection="1">
      <protection locked="0"/>
    </xf>
    <xf numFmtId="38" fontId="9" fillId="0" borderId="1" xfId="0" quotePrefix="1" applyNumberFormat="1" applyFont="1" applyBorder="1" applyProtection="1">
      <protection locked="0"/>
    </xf>
    <xf numFmtId="38" fontId="9" fillId="0" borderId="14" xfId="0" applyNumberFormat="1" applyFont="1" applyBorder="1" applyProtection="1">
      <protection locked="0"/>
    </xf>
    <xf numFmtId="38" fontId="9" fillId="0" borderId="14" xfId="0" quotePrefix="1" applyNumberFormat="1" applyFont="1" applyBorder="1" applyProtection="1">
      <protection locked="0"/>
    </xf>
    <xf numFmtId="38" fontId="9" fillId="0" borderId="1" xfId="0" quotePrefix="1" applyNumberFormat="1" applyFont="1" applyBorder="1" applyAlignment="1" applyProtection="1">
      <alignment horizontal="left"/>
      <protection locked="0"/>
    </xf>
    <xf numFmtId="49" fontId="9" fillId="0" borderId="1" xfId="0" quotePrefix="1" applyNumberFormat="1" applyFont="1" applyBorder="1" applyAlignment="1" applyProtection="1">
      <alignment horizontal="left"/>
      <protection locked="0"/>
    </xf>
    <xf numFmtId="38" fontId="9" fillId="0" borderId="1" xfId="0" applyNumberFormat="1" applyFont="1" applyBorder="1" applyProtection="1">
      <protection locked="0"/>
    </xf>
    <xf numFmtId="37" fontId="16" fillId="0" borderId="0" xfId="4"/>
    <xf numFmtId="38" fontId="9" fillId="4" borderId="1" xfId="0" applyNumberFormat="1" applyFont="1" applyFill="1" applyBorder="1" applyAlignment="1" applyProtection="1">
      <alignment horizontal="right"/>
      <protection locked="0"/>
    </xf>
    <xf numFmtId="37" fontId="17" fillId="0" borderId="0" xfId="0" quotePrefix="1" applyFont="1" applyProtection="1">
      <protection locked="0"/>
    </xf>
    <xf numFmtId="37" fontId="17" fillId="0" borderId="0" xfId="0" applyFont="1" applyProtection="1">
      <protection locked="0"/>
    </xf>
    <xf numFmtId="37" fontId="17" fillId="0" borderId="0" xfId="0" applyFont="1"/>
    <xf numFmtId="37" fontId="9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557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3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020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Explanation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9">
          <cell r="C59">
            <v>3657</v>
          </cell>
          <cell r="E59">
            <v>11263</v>
          </cell>
          <cell r="F59">
            <v>3033</v>
          </cell>
          <cell r="J59">
            <v>3325</v>
          </cell>
          <cell r="P59">
            <v>276955</v>
          </cell>
          <cell r="Q59">
            <v>125819</v>
          </cell>
          <cell r="U59">
            <v>336256</v>
          </cell>
          <cell r="V59">
            <v>29</v>
          </cell>
          <cell r="W59">
            <v>2430</v>
          </cell>
          <cell r="X59">
            <v>11430</v>
          </cell>
          <cell r="Y59">
            <v>50223</v>
          </cell>
          <cell r="Z59">
            <v>631681</v>
          </cell>
          <cell r="AA59">
            <v>1455</v>
          </cell>
          <cell r="AC59">
            <v>77896</v>
          </cell>
          <cell r="AE59">
            <v>14705</v>
          </cell>
          <cell r="AG59">
            <v>26844</v>
          </cell>
          <cell r="AI59">
            <v>30777</v>
          </cell>
          <cell r="AJ59">
            <v>6554</v>
          </cell>
          <cell r="AL59">
            <v>2206</v>
          </cell>
          <cell r="AP59">
            <v>215110</v>
          </cell>
          <cell r="AY59">
            <v>343945</v>
          </cell>
          <cell r="BE59">
            <v>522556</v>
          </cell>
        </row>
        <row r="71">
          <cell r="C71">
            <v>4419878.6799999988</v>
          </cell>
          <cell r="D71">
            <v>25</v>
          </cell>
          <cell r="E71">
            <v>7236791.0999999996</v>
          </cell>
          <cell r="F71">
            <v>6418280.9100000001</v>
          </cell>
          <cell r="G71">
            <v>0</v>
          </cell>
          <cell r="H71">
            <v>0</v>
          </cell>
          <cell r="I71">
            <v>0</v>
          </cell>
          <cell r="J71">
            <v>1808497.3499999999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10213825.130000001</v>
          </cell>
          <cell r="Q71">
            <v>795118.45000000007</v>
          </cell>
          <cell r="R71">
            <v>358428.98</v>
          </cell>
          <cell r="S71">
            <v>1477069.24</v>
          </cell>
          <cell r="T71">
            <v>787036.12</v>
          </cell>
          <cell r="U71">
            <v>5852435.6100000003</v>
          </cell>
          <cell r="V71">
            <v>87084.800000000003</v>
          </cell>
          <cell r="W71">
            <v>752910.19000000006</v>
          </cell>
          <cell r="X71">
            <v>1103952.57</v>
          </cell>
          <cell r="Y71">
            <v>7775665.7899999991</v>
          </cell>
          <cell r="Z71">
            <v>8457579.7699999996</v>
          </cell>
          <cell r="AA71">
            <v>688169.64</v>
          </cell>
          <cell r="AB71">
            <v>6616194.9800000004</v>
          </cell>
          <cell r="AC71">
            <v>1850996.1500000001</v>
          </cell>
          <cell r="AD71">
            <v>0</v>
          </cell>
          <cell r="AE71">
            <v>704654.27</v>
          </cell>
          <cell r="AF71">
            <v>0</v>
          </cell>
          <cell r="AG71">
            <v>9486322.4400000032</v>
          </cell>
          <cell r="AH71">
            <v>0</v>
          </cell>
          <cell r="AI71">
            <v>3120044.6099999994</v>
          </cell>
          <cell r="AJ71">
            <v>1004081.7</v>
          </cell>
          <cell r="AK71">
            <v>0</v>
          </cell>
          <cell r="AL71">
            <v>134477.01</v>
          </cell>
          <cell r="AM71">
            <v>0</v>
          </cell>
          <cell r="AN71">
            <v>0</v>
          </cell>
          <cell r="AO71">
            <v>0</v>
          </cell>
          <cell r="AP71">
            <v>35887869.309999995</v>
          </cell>
          <cell r="AQ71">
            <v>0</v>
          </cell>
          <cell r="AR71">
            <v>7395.5199999999995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2548968</v>
          </cell>
          <cell r="AX71">
            <v>0</v>
          </cell>
          <cell r="AY71">
            <v>1276642.3999999999</v>
          </cell>
          <cell r="AZ71">
            <v>0</v>
          </cell>
          <cell r="BA71">
            <v>347607.54</v>
          </cell>
          <cell r="BB71">
            <v>0</v>
          </cell>
          <cell r="BC71">
            <v>0</v>
          </cell>
          <cell r="BD71">
            <v>500090.81000000006</v>
          </cell>
          <cell r="BE71">
            <v>3961284.2499999995</v>
          </cell>
          <cell r="BF71">
            <v>2209557.37</v>
          </cell>
          <cell r="BG71">
            <v>483897.76</v>
          </cell>
          <cell r="BH71">
            <v>3290005.0100000002</v>
          </cell>
          <cell r="BI71">
            <v>0</v>
          </cell>
          <cell r="BJ71">
            <v>677145.56</v>
          </cell>
          <cell r="BK71">
            <v>1373367.68</v>
          </cell>
          <cell r="BL71">
            <v>1121844.9199999997</v>
          </cell>
          <cell r="BM71">
            <v>0</v>
          </cell>
          <cell r="BN71">
            <v>3482117.2299999995</v>
          </cell>
          <cell r="BO71">
            <v>330743.63999999996</v>
          </cell>
          <cell r="BP71">
            <v>71157.03</v>
          </cell>
          <cell r="BQ71">
            <v>0</v>
          </cell>
          <cell r="BR71">
            <v>932080.13000000012</v>
          </cell>
          <cell r="BS71">
            <v>75618.460000000006</v>
          </cell>
          <cell r="BT71">
            <v>85050.23</v>
          </cell>
          <cell r="BU71">
            <v>0</v>
          </cell>
          <cell r="BV71">
            <v>1044309.8700000001</v>
          </cell>
          <cell r="BW71">
            <v>477289.05000000005</v>
          </cell>
          <cell r="BX71">
            <v>1487410.78</v>
          </cell>
          <cell r="BY71">
            <v>1101613.3999999999</v>
          </cell>
          <cell r="BZ71">
            <v>0</v>
          </cell>
          <cell r="CA71">
            <v>375941.46</v>
          </cell>
          <cell r="CB71">
            <v>201768.03999999998</v>
          </cell>
          <cell r="CC71">
            <v>2004811.23</v>
          </cell>
          <cell r="CD71">
            <v>16527321.839999998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4" transitionEvaluation="1" transitionEntry="1" codeName="Sheet1">
    <pageSetUpPr autoPageBreaks="0" fitToPage="1"/>
  </sheetPr>
  <dimension ref="A1:CF817"/>
  <sheetViews>
    <sheetView showGridLines="0" tabSelected="1" topLeftCell="A24" zoomScale="70" zoomScaleNormal="70" workbookViewId="0">
      <selection activeCell="A722" sqref="A722:XFD722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1231</v>
      </c>
    </row>
    <row r="2" spans="1:6" ht="12.75" customHeight="1" x14ac:dyDescent="0.3">
      <c r="A2" s="1" t="s">
        <v>1232</v>
      </c>
      <c r="C2" s="180"/>
    </row>
    <row r="3" spans="1:6" ht="12.75" customHeight="1" x14ac:dyDescent="0.3">
      <c r="A3" s="150"/>
      <c r="C3" s="180"/>
    </row>
    <row r="4" spans="1:6" ht="12.75" customHeight="1" x14ac:dyDescent="0.3">
      <c r="C4" s="180"/>
    </row>
    <row r="5" spans="1:6" ht="12.75" customHeight="1" x14ac:dyDescent="0.3">
      <c r="A5" s="150" t="s">
        <v>1257</v>
      </c>
      <c r="C5" s="180"/>
    </row>
    <row r="6" spans="1:6" ht="12.75" customHeight="1" x14ac:dyDescent="0.3">
      <c r="A6" s="150" t="s">
        <v>0</v>
      </c>
      <c r="C6" s="180"/>
    </row>
    <row r="7" spans="1:6" ht="12.75" customHeight="1" x14ac:dyDescent="0.3">
      <c r="A7" s="150" t="s">
        <v>1</v>
      </c>
      <c r="C7" s="180"/>
    </row>
    <row r="8" spans="1:6" ht="12.75" customHeight="1" x14ac:dyDescent="0.3">
      <c r="C8" s="180"/>
    </row>
    <row r="9" spans="1:6" ht="12.75" customHeight="1" x14ac:dyDescent="0.3">
      <c r="C9" s="180"/>
    </row>
    <row r="10" spans="1:6" ht="12.75" customHeight="1" x14ac:dyDescent="0.3">
      <c r="A10" s="149" t="s">
        <v>1228</v>
      </c>
      <c r="C10" s="180"/>
    </row>
    <row r="11" spans="1:6" ht="12.75" customHeight="1" x14ac:dyDescent="0.3">
      <c r="A11" s="149" t="s">
        <v>1230</v>
      </c>
      <c r="C11" s="180"/>
    </row>
    <row r="12" spans="1:6" ht="12.75" customHeight="1" x14ac:dyDescent="0.3">
      <c r="C12" s="180"/>
    </row>
    <row r="13" spans="1:6" ht="12.75" customHeight="1" x14ac:dyDescent="0.3">
      <c r="C13" s="180"/>
    </row>
    <row r="14" spans="1:6" ht="12.75" customHeight="1" x14ac:dyDescent="0.3">
      <c r="A14" s="150" t="s">
        <v>2</v>
      </c>
      <c r="C14" s="180"/>
    </row>
    <row r="15" spans="1:6" ht="12.75" customHeight="1" x14ac:dyDescent="0.3">
      <c r="A15" s="230"/>
      <c r="C15" s="180"/>
    </row>
    <row r="16" spans="1:6" ht="12.75" customHeight="1" x14ac:dyDescent="0.3">
      <c r="A16" s="231" t="s">
        <v>1266</v>
      </c>
      <c r="C16" s="180"/>
      <c r="F16" s="224"/>
    </row>
    <row r="17" spans="1:6" ht="12.75" customHeight="1" x14ac:dyDescent="0.3">
      <c r="A17" s="231" t="s">
        <v>1264</v>
      </c>
      <c r="C17" s="224"/>
    </row>
    <row r="18" spans="1:6" ht="12.75" customHeight="1" x14ac:dyDescent="0.3">
      <c r="A18" s="175"/>
      <c r="C18" s="180"/>
    </row>
    <row r="19" spans="1:6" ht="12.75" customHeight="1" x14ac:dyDescent="0.3">
      <c r="C19" s="180"/>
    </row>
    <row r="20" spans="1:6" ht="12.75" customHeight="1" x14ac:dyDescent="0.3">
      <c r="A20" s="211" t="s">
        <v>1233</v>
      </c>
      <c r="B20" s="211"/>
      <c r="C20" s="225"/>
      <c r="D20" s="211"/>
      <c r="E20" s="211"/>
      <c r="F20" s="211"/>
    </row>
    <row r="21" spans="1:6" ht="22.5" customHeight="1" x14ac:dyDescent="0.3">
      <c r="A21" s="150"/>
      <c r="C21" s="180"/>
    </row>
    <row r="22" spans="1:6" ht="12.65" customHeight="1" x14ac:dyDescent="0.3">
      <c r="A22" s="182" t="s">
        <v>1253</v>
      </c>
      <c r="B22" s="183"/>
      <c r="C22" s="184"/>
      <c r="D22" s="182"/>
      <c r="E22" s="182"/>
    </row>
    <row r="23" spans="1:6" ht="12.65" customHeight="1" x14ac:dyDescent="0.3">
      <c r="B23" s="150"/>
      <c r="C23" s="180"/>
    </row>
    <row r="24" spans="1:6" ht="12.65" customHeight="1" x14ac:dyDescent="0.3">
      <c r="A24" s="185" t="s">
        <v>3</v>
      </c>
      <c r="C24" s="180"/>
    </row>
    <row r="25" spans="1:6" ht="12.65" customHeight="1" x14ac:dyDescent="0.3">
      <c r="A25" s="149" t="s">
        <v>1234</v>
      </c>
      <c r="C25" s="180"/>
    </row>
    <row r="26" spans="1:6" ht="12.65" customHeight="1" x14ac:dyDescent="0.3">
      <c r="A26" s="150" t="s">
        <v>4</v>
      </c>
      <c r="C26" s="180"/>
    </row>
    <row r="27" spans="1:6" ht="12.65" customHeight="1" x14ac:dyDescent="0.3">
      <c r="A27" s="149" t="s">
        <v>1235</v>
      </c>
      <c r="C27" s="180"/>
    </row>
    <row r="28" spans="1:6" ht="12.65" customHeight="1" x14ac:dyDescent="0.3">
      <c r="A28" s="150" t="s">
        <v>5</v>
      </c>
      <c r="C28" s="180"/>
    </row>
    <row r="29" spans="1:6" ht="12.65" customHeight="1" x14ac:dyDescent="0.3">
      <c r="A29" s="149"/>
      <c r="C29" s="180"/>
    </row>
    <row r="30" spans="1:6" ht="12.65" customHeight="1" x14ac:dyDescent="0.3">
      <c r="A30" s="1" t="s">
        <v>6</v>
      </c>
      <c r="C30" s="180"/>
    </row>
    <row r="31" spans="1:6" ht="12.65" customHeight="1" x14ac:dyDescent="0.3">
      <c r="A31" s="150" t="s">
        <v>7</v>
      </c>
      <c r="C31" s="180"/>
    </row>
    <row r="32" spans="1:6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>
        <v>13971563.189999999</v>
      </c>
      <c r="C48" s="132">
        <f>ROUND(((B48/CE61)*C61),0)</f>
        <v>604697</v>
      </c>
      <c r="D48" s="132">
        <f>ROUND(((B48/CE61)*D61),0)</f>
        <v>0</v>
      </c>
      <c r="E48" s="129">
        <f>ROUND(((B48/CE61)*E61),0)</f>
        <v>1039697</v>
      </c>
      <c r="F48" s="129">
        <f>ROUND(((B48/CE61)*F61),0)</f>
        <v>903977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202854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305459</v>
      </c>
      <c r="Q48" s="129">
        <f>ROUND(((B48/CE61)*Q61),0)</f>
        <v>137998</v>
      </c>
      <c r="R48" s="129">
        <f>ROUND(((B48/CE61)*R61),0)</f>
        <v>32666</v>
      </c>
      <c r="S48" s="129">
        <f>ROUND(((B48/CE61)*S61),0)</f>
        <v>81506</v>
      </c>
      <c r="T48" s="129">
        <f>ROUND(((B48/CE61)*T61),0)</f>
        <v>0</v>
      </c>
      <c r="U48" s="129">
        <f>ROUND(((B48/CE61)*U61),0)</f>
        <v>310345</v>
      </c>
      <c r="V48" s="129">
        <f>ROUND(((B48/CE61)*V61),0)</f>
        <v>8427</v>
      </c>
      <c r="W48" s="129">
        <f>ROUND(((B48/CE61)*W61),0)</f>
        <v>42838</v>
      </c>
      <c r="X48" s="129">
        <f>ROUND(((B48/CE61)*X61),0)</f>
        <v>82344</v>
      </c>
      <c r="Y48" s="129">
        <f>ROUND(((B48/CE61)*Y61),0)</f>
        <v>572343</v>
      </c>
      <c r="Z48" s="129">
        <f>ROUND(((B48/CE61)*Z61),0)</f>
        <v>0</v>
      </c>
      <c r="AA48" s="129">
        <f>ROUND(((B48/CE61)*AA61),0)</f>
        <v>40300</v>
      </c>
      <c r="AB48" s="129">
        <f>ROUND(((B48/CE61)*AB61),0)</f>
        <v>306985</v>
      </c>
      <c r="AC48" s="129">
        <f>ROUND(((B48/CE61)*AC61),0)</f>
        <v>265769</v>
      </c>
      <c r="AD48" s="129">
        <f>ROUND(((B48/CE61)*AD61),0)</f>
        <v>0</v>
      </c>
      <c r="AE48" s="129">
        <f>ROUND(((B48/CE61)*AE61),0)</f>
        <v>193594</v>
      </c>
      <c r="AF48" s="129">
        <f>ROUND(((B48/CE61)*AF61),0)</f>
        <v>0</v>
      </c>
      <c r="AG48" s="129">
        <f>ROUND(((B48/CE61)*AG61),0)</f>
        <v>448633</v>
      </c>
      <c r="AH48" s="129">
        <f>ROUND(((B48/CE61)*AH61),0)</f>
        <v>0</v>
      </c>
      <c r="AI48" s="129">
        <f>ROUND(((B48/CE61)*AI61),0)</f>
        <v>447482</v>
      </c>
      <c r="AJ48" s="129">
        <f>ROUND(((B48/CE61)*AJ61),0)</f>
        <v>189603</v>
      </c>
      <c r="AK48" s="129">
        <f>ROUND(((B48/CE61)*AK61),0)</f>
        <v>0</v>
      </c>
      <c r="AL48" s="129">
        <f>ROUND(((B48/CE61)*AL61),0)</f>
        <v>30964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5348670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420298</v>
      </c>
      <c r="AX48" s="129">
        <f>ROUND(((B48/CE61)*AX61),0)</f>
        <v>0</v>
      </c>
      <c r="AY48" s="129">
        <f>ROUND(((B48/CE61)*AY61),0)</f>
        <v>176696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74460</v>
      </c>
      <c r="BE48" s="129">
        <f>ROUND(((B48/CE61)*BE61),0)</f>
        <v>104317</v>
      </c>
      <c r="BF48" s="129">
        <f>ROUND(((B48/CE61)*BF61),0)</f>
        <v>284071</v>
      </c>
      <c r="BG48" s="129">
        <f>ROUND(((B48/CE61)*BG61),0)</f>
        <v>0</v>
      </c>
      <c r="BH48" s="129">
        <f>ROUND(((B48/CE61)*BH61),0)</f>
        <v>244496</v>
      </c>
      <c r="BI48" s="129">
        <f>ROUND(((B48/CE61)*BI61),0)</f>
        <v>0</v>
      </c>
      <c r="BJ48" s="129">
        <f>ROUND(((B48/CE61)*BJ61),0)</f>
        <v>102607</v>
      </c>
      <c r="BK48" s="129">
        <f>ROUND(((B48/CE61)*BK61),0)</f>
        <v>44610</v>
      </c>
      <c r="BL48" s="129">
        <f>ROUND(((B48/CE61)*BL61),0)</f>
        <v>41638</v>
      </c>
      <c r="BM48" s="129">
        <f>ROUND(((B48/CE61)*BM61),0)</f>
        <v>0</v>
      </c>
      <c r="BN48" s="129">
        <f>ROUND(((B48/CE61)*BN61),0)</f>
        <v>170619</v>
      </c>
      <c r="BO48" s="129">
        <f>ROUND(((B48/CE61)*BO61),0)</f>
        <v>20330</v>
      </c>
      <c r="BP48" s="129">
        <f>ROUND(((B48/CE61)*BP61),0)</f>
        <v>20677</v>
      </c>
      <c r="BQ48" s="129">
        <f>ROUND(((B48/CE61)*BQ61),0)</f>
        <v>0</v>
      </c>
      <c r="BR48" s="129">
        <f>ROUND(((B48/CE61)*BR61),0)</f>
        <v>69373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69846</v>
      </c>
      <c r="BW48" s="129">
        <f>ROUND(((B48/CE61)*BW61),0)</f>
        <v>22922</v>
      </c>
      <c r="BX48" s="129">
        <f>ROUND(((B48/CE61)*BX61),0)</f>
        <v>202276</v>
      </c>
      <c r="BY48" s="129">
        <f>ROUND(((B48/CE61)*BY61),0)</f>
        <v>156341</v>
      </c>
      <c r="BZ48" s="129">
        <f>ROUND(((B48/CE61)*BZ61),0)</f>
        <v>0</v>
      </c>
      <c r="CA48" s="129">
        <f>ROUND(((B48/CE61)*CA61),0)</f>
        <v>39242</v>
      </c>
      <c r="CB48" s="129">
        <f>ROUND(((B48/CE61)*CB61),0)</f>
        <v>0</v>
      </c>
      <c r="CC48" s="129">
        <f>ROUND(((B48/CE61)*CC61),0)</f>
        <v>109593</v>
      </c>
      <c r="CD48" s="129"/>
      <c r="CE48" s="129">
        <f>SUM(C48:CD48)</f>
        <v>13971563</v>
      </c>
    </row>
    <row r="49" spans="1:83" ht="12.65" customHeight="1" x14ac:dyDescent="0.3">
      <c r="A49" s="129" t="s">
        <v>206</v>
      </c>
      <c r="B49" s="129">
        <f>B47+B48</f>
        <v>13971563.189999999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5756291</v>
      </c>
      <c r="C52" s="129">
        <f>ROUND((B52/(CE76+CF76)*C76),0)</f>
        <v>95978</v>
      </c>
      <c r="D52" s="129">
        <f>ROUND((B52/(CE76+CF76)*D76),0)</f>
        <v>0</v>
      </c>
      <c r="E52" s="129">
        <f>ROUND((B52/(CE76+CF76)*E76),0)</f>
        <v>324498</v>
      </c>
      <c r="F52" s="129">
        <f>ROUND((B52/(CE76+CF76)*F76),0)</f>
        <v>153925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39478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253844</v>
      </c>
      <c r="Q52" s="129">
        <f>ROUND((B52/(CE76+CF76)*Q76),0)</f>
        <v>39175</v>
      </c>
      <c r="R52" s="129">
        <f>ROUND((B52/(CE76+CF76)*R76),0)</f>
        <v>6436</v>
      </c>
      <c r="S52" s="129">
        <f>ROUND((B52/(CE76+CF76)*S76),0)</f>
        <v>56722</v>
      </c>
      <c r="T52" s="129">
        <f>ROUND((B52/(CE76+CF76)*T76),0)</f>
        <v>0</v>
      </c>
      <c r="U52" s="129">
        <f>ROUND((B52/(CE76+CF76)*U76),0)</f>
        <v>153540</v>
      </c>
      <c r="V52" s="129">
        <f>ROUND((B52/(CE76+CF76)*V76),0)</f>
        <v>1749</v>
      </c>
      <c r="W52" s="129">
        <f>ROUND((B52/(CE76+CF76)*W76),0)</f>
        <v>64825</v>
      </c>
      <c r="X52" s="129">
        <f>ROUND((B52/(CE76+CF76)*X76),0)</f>
        <v>36960</v>
      </c>
      <c r="Y52" s="129">
        <f>ROUND((B52/(CE76+CF76)*Y76),0)</f>
        <v>221525</v>
      </c>
      <c r="Z52" s="129">
        <f>ROUND((B52/(CE76+CF76)*Z76),0)</f>
        <v>0</v>
      </c>
      <c r="AA52" s="129">
        <f>ROUND((B52/(CE76+CF76)*AA76),0)</f>
        <v>49517</v>
      </c>
      <c r="AB52" s="129">
        <f>ROUND((B52/(CE76+CF76)*AB76),0)</f>
        <v>65210</v>
      </c>
      <c r="AC52" s="129">
        <f>ROUND((B52/(CE76+CF76)*AC76),0)</f>
        <v>47301</v>
      </c>
      <c r="AD52" s="129">
        <f>ROUND((B52/(CE76+CF76)*AD76),0)</f>
        <v>0</v>
      </c>
      <c r="AE52" s="129">
        <f>ROUND((B52/(CE76+CF76)*AE76),0)</f>
        <v>95057</v>
      </c>
      <c r="AF52" s="129">
        <f>ROUND((B52/(CE76+CF76)*AF76),0)</f>
        <v>0</v>
      </c>
      <c r="AG52" s="129">
        <f>ROUND((B52/(CE76+CF76)*AG76),0)</f>
        <v>145880</v>
      </c>
      <c r="AH52" s="129">
        <f>ROUND((B52/(CE76+CF76)*AH76),0)</f>
        <v>0</v>
      </c>
      <c r="AI52" s="129">
        <f>ROUND((B52/(CE76+CF76)*AI76),0)</f>
        <v>295071</v>
      </c>
      <c r="AJ52" s="129">
        <f>ROUND((B52/(CE76+CF76)*AJ76),0)</f>
        <v>95489</v>
      </c>
      <c r="AK52" s="129">
        <f>ROUND((B52/(CE76+CF76)*AK76),0)</f>
        <v>0</v>
      </c>
      <c r="AL52" s="129">
        <f>ROUND((B52/(CE76+CF76)*AL76),0)</f>
        <v>2332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1197771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16265</v>
      </c>
      <c r="AX52" s="129">
        <f>ROUND((B52/(CE76+CF76)*AX76),0)</f>
        <v>0</v>
      </c>
      <c r="AY52" s="129">
        <f>ROUND((B52/(CE76+CF76)*AY76),0)</f>
        <v>121244</v>
      </c>
      <c r="AZ52" s="129">
        <f>ROUND((B52/(CE76+CF76)*AZ76),0)</f>
        <v>0</v>
      </c>
      <c r="BA52" s="129">
        <f>ROUND((B52/(CE76+CF76)*BA76),0)</f>
        <v>19937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119891</v>
      </c>
      <c r="BE52" s="129">
        <f>ROUND((B52/(CE76+CF76)*BE76),0)</f>
        <v>338035</v>
      </c>
      <c r="BF52" s="129">
        <f>ROUND((B52/(CE76+CF76)*BF76),0)</f>
        <v>34441</v>
      </c>
      <c r="BG52" s="129">
        <f>ROUND((B52/(CE76+CF76)*BG76),0)</f>
        <v>16719</v>
      </c>
      <c r="BH52" s="129">
        <f>ROUND((B52/(CE76+CF76)*BH76),0)</f>
        <v>66994</v>
      </c>
      <c r="BI52" s="129">
        <f>ROUND((B52/(CE76+CF76)*BI76),0)</f>
        <v>0</v>
      </c>
      <c r="BJ52" s="129">
        <f>ROUND((B52/(CE76+CF76)*BJ76),0)</f>
        <v>7485</v>
      </c>
      <c r="BK52" s="129">
        <f>ROUND((B52/(CE76+CF76)*BK76),0)</f>
        <v>47943</v>
      </c>
      <c r="BL52" s="129">
        <f>ROUND((B52/(CE76+CF76)*BL76),0)</f>
        <v>68276</v>
      </c>
      <c r="BM52" s="129">
        <f>ROUND((B52/(CE76+CF76)*BM76),0)</f>
        <v>0</v>
      </c>
      <c r="BN52" s="129">
        <f>ROUND((B52/(CE76+CF76)*BN76),0)</f>
        <v>19949</v>
      </c>
      <c r="BO52" s="129">
        <f>ROUND((B52/(CE76+CF76)*BO76),0)</f>
        <v>2880</v>
      </c>
      <c r="BP52" s="129">
        <f>ROUND((B52/(CE76+CF76)*BP76),0)</f>
        <v>3031</v>
      </c>
      <c r="BQ52" s="129">
        <f>ROUND((B52/(CE76+CF76)*BQ76),0)</f>
        <v>0</v>
      </c>
      <c r="BR52" s="129">
        <f>ROUND((B52/(CE76+CF76)*BR76),0)</f>
        <v>21919</v>
      </c>
      <c r="BS52" s="129">
        <f>ROUND((B52/(CE76+CF76)*BS76),0)</f>
        <v>6762</v>
      </c>
      <c r="BT52" s="129">
        <f>ROUND((B52/(CE76+CF76)*BT76),0)</f>
        <v>10062</v>
      </c>
      <c r="BU52" s="129">
        <f>ROUND((B52/(CE76+CF76)*BU76),0)</f>
        <v>0</v>
      </c>
      <c r="BV52" s="129">
        <f>ROUND((B52/(CE76+CF76)*BV76),0)</f>
        <v>8255</v>
      </c>
      <c r="BW52" s="129">
        <f>ROUND((B52/(CE76+CF76)*BW76),0)</f>
        <v>95804</v>
      </c>
      <c r="BX52" s="129">
        <f>ROUND((B52/(CE76+CF76)*BX76),0)</f>
        <v>6203</v>
      </c>
      <c r="BY52" s="129">
        <f>ROUND((B52/(CE76+CF76)*BY76),0)</f>
        <v>10295</v>
      </c>
      <c r="BZ52" s="129">
        <f>ROUND((B52/(CE76+CF76)*BZ76),0)</f>
        <v>0</v>
      </c>
      <c r="CA52" s="129">
        <f>ROUND((B52/(CE76+CF76)*CA76),0)</f>
        <v>2938</v>
      </c>
      <c r="CB52" s="129">
        <f>ROUND((B52/(CE76+CF76)*CB76),0)</f>
        <v>3603</v>
      </c>
      <c r="CC52" s="129">
        <f>ROUND((B52/(CE76+CF76)*CC76),0)</f>
        <v>1265080</v>
      </c>
      <c r="CD52" s="129"/>
      <c r="CE52" s="129">
        <f>SUM(C52:CD52)</f>
        <v>5756294</v>
      </c>
    </row>
    <row r="53" spans="1:83" ht="12.65" customHeight="1" x14ac:dyDescent="0.3">
      <c r="A53" s="129" t="s">
        <v>206</v>
      </c>
      <c r="B53" s="129">
        <f>B51+B52</f>
        <v>5756291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4427</v>
      </c>
      <c r="D59" s="137"/>
      <c r="E59" s="137">
        <f>9992+3898+327</f>
        <v>14217</v>
      </c>
      <c r="F59" s="137">
        <v>2789</v>
      </c>
      <c r="G59" s="137"/>
      <c r="H59" s="137"/>
      <c r="I59" s="137"/>
      <c r="J59" s="137">
        <v>2032</v>
      </c>
      <c r="K59" s="137"/>
      <c r="L59" s="137"/>
      <c r="M59" s="137"/>
      <c r="N59" s="137"/>
      <c r="O59" s="137"/>
      <c r="P59" s="138">
        <v>269125</v>
      </c>
      <c r="Q59" s="138">
        <v>116970</v>
      </c>
      <c r="R59" s="138"/>
      <c r="S59" s="192"/>
      <c r="T59" s="192"/>
      <c r="U59" s="172">
        <f>31578+12467+321531</f>
        <v>365576</v>
      </c>
      <c r="V59" s="138">
        <v>326</v>
      </c>
      <c r="W59" s="138">
        <f>1082+1453</f>
        <v>2535</v>
      </c>
      <c r="X59" s="138">
        <f>9528+2905</f>
        <v>12433</v>
      </c>
      <c r="Y59" s="138">
        <f>10304+250+17868+8331+4099+7296+273</f>
        <v>48421</v>
      </c>
      <c r="Z59" s="138">
        <v>840779</v>
      </c>
      <c r="AA59" s="138">
        <v>909</v>
      </c>
      <c r="AB59" s="192"/>
      <c r="AC59" s="138">
        <v>47701</v>
      </c>
      <c r="AD59" s="138"/>
      <c r="AE59" s="138">
        <f>2370+28817</f>
        <v>31187</v>
      </c>
      <c r="AF59" s="138"/>
      <c r="AG59" s="138">
        <v>22406</v>
      </c>
      <c r="AH59" s="138"/>
      <c r="AI59" s="138">
        <f>140983+16373</f>
        <v>157356</v>
      </c>
      <c r="AJ59" s="138">
        <f>2336+5383</f>
        <v>7719</v>
      </c>
      <c r="AK59" s="138"/>
      <c r="AL59" s="138">
        <v>4420</v>
      </c>
      <c r="AM59" s="138"/>
      <c r="AN59" s="138"/>
      <c r="AO59" s="138"/>
      <c r="AP59" s="138">
        <f>285+5067+1314</f>
        <v>6666</v>
      </c>
      <c r="AQ59" s="138"/>
      <c r="AR59" s="138"/>
      <c r="AS59" s="138"/>
      <c r="AT59" s="138"/>
      <c r="AU59" s="138"/>
      <c r="AV59" s="192"/>
      <c r="AW59" s="192"/>
      <c r="AX59" s="192"/>
      <c r="AY59" s="138">
        <v>278733</v>
      </c>
      <c r="AZ59" s="138"/>
      <c r="BA59" s="192"/>
      <c r="BB59" s="192"/>
      <c r="BC59" s="192"/>
      <c r="BD59" s="192"/>
      <c r="BE59" s="138">
        <v>493713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>
        <f>31.36+4.86+0.27</f>
        <v>36.49</v>
      </c>
      <c r="D60" s="140"/>
      <c r="E60" s="140">
        <f>42.39+22.89</f>
        <v>65.28</v>
      </c>
      <c r="F60" s="171">
        <v>48.95</v>
      </c>
      <c r="G60" s="140"/>
      <c r="H60" s="140"/>
      <c r="I60" s="140"/>
      <c r="J60" s="171">
        <v>10.01</v>
      </c>
      <c r="K60" s="140"/>
      <c r="L60" s="140"/>
      <c r="M60" s="140"/>
      <c r="N60" s="140"/>
      <c r="O60" s="140"/>
      <c r="P60" s="169">
        <v>19.29</v>
      </c>
      <c r="Q60" s="169">
        <v>4.8600000000000003</v>
      </c>
      <c r="R60" s="169">
        <v>2.4500000000000002</v>
      </c>
      <c r="S60" s="169">
        <v>9.74</v>
      </c>
      <c r="T60" s="169"/>
      <c r="U60" s="169">
        <f>21.27+3.82+2.53</f>
        <v>27.62</v>
      </c>
      <c r="V60" s="169">
        <v>0.67</v>
      </c>
      <c r="W60" s="169">
        <f>1.9+1.14</f>
        <v>3.04</v>
      </c>
      <c r="X60" s="169">
        <f>4.58+1.08</f>
        <v>5.66</v>
      </c>
      <c r="Y60" s="169">
        <f>12.47-0.01+7.18+5.17+2.1+2.04+3.43</f>
        <v>32.380000000000003</v>
      </c>
      <c r="Z60" s="169"/>
      <c r="AA60" s="169">
        <v>1.81</v>
      </c>
      <c r="AB60" s="169">
        <v>14.13</v>
      </c>
      <c r="AC60" s="169">
        <v>16.559999999999999</v>
      </c>
      <c r="AD60" s="169"/>
      <c r="AE60" s="169">
        <f>1.4+9.18</f>
        <v>10.58</v>
      </c>
      <c r="AF60" s="169"/>
      <c r="AG60" s="169">
        <f>22.1+2.51+1+1.07</f>
        <v>26.68</v>
      </c>
      <c r="AH60" s="169"/>
      <c r="AI60" s="169">
        <f>19.64+6.51</f>
        <v>26.15</v>
      </c>
      <c r="AJ60" s="169">
        <f>5.47+2.97+2.2</f>
        <v>10.64</v>
      </c>
      <c r="AK60" s="169"/>
      <c r="AL60" s="169">
        <v>1.82</v>
      </c>
      <c r="AM60" s="169"/>
      <c r="AN60" s="169"/>
      <c r="AO60" s="169"/>
      <c r="AP60" s="169">
        <f>1.5+8.37+22.25+13.11+16.41+35.42+27.45+11.1+10.2+6.06+28.28+5.58+4.09</f>
        <v>189.82000000000002</v>
      </c>
      <c r="AQ60" s="169"/>
      <c r="AR60" s="169"/>
      <c r="AS60" s="169"/>
      <c r="AT60" s="169"/>
      <c r="AU60" s="169"/>
      <c r="AV60" s="169"/>
      <c r="AW60" s="169">
        <v>30.14</v>
      </c>
      <c r="AX60" s="169"/>
      <c r="AY60" s="169">
        <v>23.31</v>
      </c>
      <c r="AZ60" s="169"/>
      <c r="BA60" s="169"/>
      <c r="BB60" s="169"/>
      <c r="BC60" s="169"/>
      <c r="BD60" s="169">
        <v>7.99</v>
      </c>
      <c r="BE60" s="169">
        <f>8.17</f>
        <v>8.17</v>
      </c>
      <c r="BF60" s="169">
        <v>37.67</v>
      </c>
      <c r="BG60" s="169"/>
      <c r="BH60" s="169">
        <v>15.3</v>
      </c>
      <c r="BI60" s="169"/>
      <c r="BJ60" s="169">
        <v>6.61</v>
      </c>
      <c r="BK60" s="169">
        <f>4.4+0.62</f>
        <v>5.0200000000000005</v>
      </c>
      <c r="BL60" s="169">
        <v>19.62</v>
      </c>
      <c r="BM60" s="169"/>
      <c r="BN60" s="169">
        <v>5.99</v>
      </c>
      <c r="BO60" s="169">
        <v>1.07</v>
      </c>
      <c r="BP60" s="169">
        <v>1.5</v>
      </c>
      <c r="BQ60" s="169"/>
      <c r="BR60" s="169">
        <f>5.23+0.78</f>
        <v>6.0100000000000007</v>
      </c>
      <c r="BS60" s="169"/>
      <c r="BT60" s="169"/>
      <c r="BU60" s="169"/>
      <c r="BV60" s="169">
        <v>5.21</v>
      </c>
      <c r="BW60" s="169">
        <v>2.12</v>
      </c>
      <c r="BX60" s="169">
        <f>0.06+3.81+0.01+7.24+1.24</f>
        <v>12.360000000000001</v>
      </c>
      <c r="BY60" s="169">
        <v>6.75</v>
      </c>
      <c r="BZ60" s="169"/>
      <c r="CA60" s="169">
        <v>2.44</v>
      </c>
      <c r="CB60" s="169"/>
      <c r="CC60" s="169">
        <v>4.16</v>
      </c>
      <c r="CD60" s="191" t="s">
        <v>221</v>
      </c>
      <c r="CE60" s="194">
        <f t="shared" ref="CE60:CE70" si="0">SUM(C60:CD60)</f>
        <v>766.06999999999994</v>
      </c>
    </row>
    <row r="61" spans="1:83" ht="12.65" customHeight="1" x14ac:dyDescent="0.3">
      <c r="A61" s="127" t="s">
        <v>235</v>
      </c>
      <c r="B61" s="129"/>
      <c r="C61" s="137">
        <f>2929182+245670+86</f>
        <v>3174938</v>
      </c>
      <c r="D61" s="137"/>
      <c r="E61" s="137">
        <f>3317465+2141428</f>
        <v>5458893</v>
      </c>
      <c r="F61" s="138">
        <v>4746297</v>
      </c>
      <c r="G61" s="137"/>
      <c r="H61" s="137"/>
      <c r="I61" s="138"/>
      <c r="J61" s="138">
        <v>1065079</v>
      </c>
      <c r="K61" s="138"/>
      <c r="L61" s="138"/>
      <c r="M61" s="137"/>
      <c r="N61" s="137"/>
      <c r="O61" s="137"/>
      <c r="P61" s="138">
        <f>1603330+469</f>
        <v>1603799</v>
      </c>
      <c r="Q61" s="138">
        <v>724556</v>
      </c>
      <c r="R61" s="138">
        <v>171510</v>
      </c>
      <c r="S61" s="138">
        <v>427946</v>
      </c>
      <c r="T61" s="138"/>
      <c r="U61" s="138">
        <f>1344947+284506</f>
        <v>1629453</v>
      </c>
      <c r="V61" s="138">
        <v>44246</v>
      </c>
      <c r="W61" s="138">
        <v>224918</v>
      </c>
      <c r="X61" s="138">
        <v>432343</v>
      </c>
      <c r="Y61" s="138">
        <f>337995+720220+571834+608846+112348+86609+167929+207015+191797+473</f>
        <v>3005066</v>
      </c>
      <c r="Z61" s="138"/>
      <c r="AA61" s="138">
        <v>211593</v>
      </c>
      <c r="AB61" s="138">
        <v>1611814</v>
      </c>
      <c r="AC61" s="138">
        <v>1395413</v>
      </c>
      <c r="AD61" s="138"/>
      <c r="AE61" s="138">
        <f>143499+872960</f>
        <v>1016459</v>
      </c>
      <c r="AF61" s="138"/>
      <c r="AG61" s="138">
        <f>2231342+19650+104135+403</f>
        <v>2355530</v>
      </c>
      <c r="AH61" s="138"/>
      <c r="AI61" s="138">
        <f>1815679+10000+523811</f>
        <v>2349490</v>
      </c>
      <c r="AJ61" s="138">
        <f>598332+206552+190619</f>
        <v>995503</v>
      </c>
      <c r="AK61" s="138"/>
      <c r="AL61" s="138">
        <v>162574</v>
      </c>
      <c r="AM61" s="138"/>
      <c r="AN61" s="138"/>
      <c r="AO61" s="138"/>
      <c r="AP61" s="138">
        <f>113928+472305.63-9722+241599+321107+26943780.62</f>
        <v>28082998.25</v>
      </c>
      <c r="AQ61" s="138"/>
      <c r="AR61" s="138"/>
      <c r="AS61" s="138"/>
      <c r="AT61" s="138"/>
      <c r="AU61" s="138"/>
      <c r="AV61" s="138"/>
      <c r="AW61" s="138">
        <v>2206760</v>
      </c>
      <c r="AX61" s="138"/>
      <c r="AY61" s="138">
        <v>927738</v>
      </c>
      <c r="AZ61" s="138"/>
      <c r="BA61" s="138"/>
      <c r="BB61" s="138"/>
      <c r="BC61" s="138"/>
      <c r="BD61" s="138">
        <v>390952</v>
      </c>
      <c r="BE61" s="138">
        <v>547715</v>
      </c>
      <c r="BF61" s="138">
        <v>1491506</v>
      </c>
      <c r="BG61" s="138"/>
      <c r="BH61" s="138">
        <v>1283718</v>
      </c>
      <c r="BI61" s="138"/>
      <c r="BJ61" s="138">
        <v>538733</v>
      </c>
      <c r="BK61" s="138">
        <v>234223</v>
      </c>
      <c r="BL61" s="138">
        <v>218620</v>
      </c>
      <c r="BM61" s="138"/>
      <c r="BN61" s="138">
        <v>895831</v>
      </c>
      <c r="BO61" s="138">
        <v>106742</v>
      </c>
      <c r="BP61" s="138">
        <v>108562</v>
      </c>
      <c r="BQ61" s="138"/>
      <c r="BR61" s="138">
        <v>364241</v>
      </c>
      <c r="BS61" s="138"/>
      <c r="BT61" s="138"/>
      <c r="BU61" s="138"/>
      <c r="BV61" s="138">
        <v>366726</v>
      </c>
      <c r="BW61" s="138">
        <v>120352</v>
      </c>
      <c r="BX61" s="138">
        <f>956+625744+5848+379252+50244</f>
        <v>1062044</v>
      </c>
      <c r="BY61" s="138">
        <f>820861</f>
        <v>820861</v>
      </c>
      <c r="BZ61" s="138"/>
      <c r="CA61" s="138">
        <v>206038</v>
      </c>
      <c r="CB61" s="138"/>
      <c r="CC61" s="138">
        <f>31250+544162</f>
        <v>575412</v>
      </c>
      <c r="CD61" s="191" t="s">
        <v>221</v>
      </c>
      <c r="CE61" s="129">
        <f t="shared" si="0"/>
        <v>73357192.25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604697</v>
      </c>
      <c r="D62" s="129">
        <f t="shared" si="1"/>
        <v>0</v>
      </c>
      <c r="E62" s="129">
        <f t="shared" si="1"/>
        <v>1039697</v>
      </c>
      <c r="F62" s="129">
        <f t="shared" si="1"/>
        <v>903977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202854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305459</v>
      </c>
      <c r="Q62" s="129">
        <f t="shared" si="1"/>
        <v>137998</v>
      </c>
      <c r="R62" s="129">
        <f t="shared" si="1"/>
        <v>32666</v>
      </c>
      <c r="S62" s="129">
        <f t="shared" si="1"/>
        <v>81506</v>
      </c>
      <c r="T62" s="129">
        <f t="shared" si="1"/>
        <v>0</v>
      </c>
      <c r="U62" s="129">
        <f t="shared" si="1"/>
        <v>310345</v>
      </c>
      <c r="V62" s="129">
        <f t="shared" si="1"/>
        <v>8427</v>
      </c>
      <c r="W62" s="129">
        <f t="shared" si="1"/>
        <v>42838</v>
      </c>
      <c r="X62" s="129">
        <f t="shared" si="1"/>
        <v>82344</v>
      </c>
      <c r="Y62" s="129">
        <f t="shared" si="1"/>
        <v>572343</v>
      </c>
      <c r="Z62" s="129">
        <f t="shared" si="1"/>
        <v>0</v>
      </c>
      <c r="AA62" s="129">
        <f t="shared" si="1"/>
        <v>40300</v>
      </c>
      <c r="AB62" s="129">
        <f t="shared" si="1"/>
        <v>306985</v>
      </c>
      <c r="AC62" s="129">
        <f t="shared" si="1"/>
        <v>265769</v>
      </c>
      <c r="AD62" s="129">
        <f t="shared" si="1"/>
        <v>0</v>
      </c>
      <c r="AE62" s="129">
        <f t="shared" si="1"/>
        <v>193594</v>
      </c>
      <c r="AF62" s="129">
        <f t="shared" si="1"/>
        <v>0</v>
      </c>
      <c r="AG62" s="129">
        <f t="shared" si="1"/>
        <v>448633</v>
      </c>
      <c r="AH62" s="129">
        <f t="shared" si="1"/>
        <v>0</v>
      </c>
      <c r="AI62" s="129">
        <f t="shared" si="1"/>
        <v>447482</v>
      </c>
      <c r="AJ62" s="129">
        <f t="shared" si="1"/>
        <v>189603</v>
      </c>
      <c r="AK62" s="129">
        <f t="shared" si="1"/>
        <v>0</v>
      </c>
      <c r="AL62" s="129">
        <f t="shared" si="1"/>
        <v>30964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5348670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420298</v>
      </c>
      <c r="AX62" s="129">
        <f t="shared" si="1"/>
        <v>0</v>
      </c>
      <c r="AY62" s="129">
        <f>ROUND(AY47+AY48,0)</f>
        <v>176696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74460</v>
      </c>
      <c r="BE62" s="129">
        <f t="shared" si="1"/>
        <v>104317</v>
      </c>
      <c r="BF62" s="129">
        <f t="shared" si="1"/>
        <v>284071</v>
      </c>
      <c r="BG62" s="129">
        <f t="shared" si="1"/>
        <v>0</v>
      </c>
      <c r="BH62" s="129">
        <f t="shared" si="1"/>
        <v>244496</v>
      </c>
      <c r="BI62" s="129">
        <f t="shared" si="1"/>
        <v>0</v>
      </c>
      <c r="BJ62" s="129">
        <f t="shared" si="1"/>
        <v>102607</v>
      </c>
      <c r="BK62" s="129">
        <f t="shared" si="1"/>
        <v>44610</v>
      </c>
      <c r="BL62" s="129">
        <f t="shared" si="1"/>
        <v>41638</v>
      </c>
      <c r="BM62" s="129">
        <f t="shared" si="1"/>
        <v>0</v>
      </c>
      <c r="BN62" s="129">
        <f t="shared" si="1"/>
        <v>170619</v>
      </c>
      <c r="BO62" s="129">
        <f t="shared" ref="BO62:CC62" si="2">ROUND(BO47+BO48,0)</f>
        <v>20330</v>
      </c>
      <c r="BP62" s="129">
        <f t="shared" si="2"/>
        <v>20677</v>
      </c>
      <c r="BQ62" s="129">
        <f t="shared" si="2"/>
        <v>0</v>
      </c>
      <c r="BR62" s="129">
        <f t="shared" si="2"/>
        <v>69373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69846</v>
      </c>
      <c r="BW62" s="129">
        <f t="shared" si="2"/>
        <v>22922</v>
      </c>
      <c r="BX62" s="129">
        <f t="shared" si="2"/>
        <v>202276</v>
      </c>
      <c r="BY62" s="129">
        <f t="shared" si="2"/>
        <v>156341</v>
      </c>
      <c r="BZ62" s="129">
        <f t="shared" si="2"/>
        <v>0</v>
      </c>
      <c r="CA62" s="129">
        <f t="shared" si="2"/>
        <v>39242</v>
      </c>
      <c r="CB62" s="129">
        <f t="shared" si="2"/>
        <v>0</v>
      </c>
      <c r="CC62" s="129">
        <f t="shared" si="2"/>
        <v>109593</v>
      </c>
      <c r="CD62" s="191" t="s">
        <v>221</v>
      </c>
      <c r="CE62" s="129">
        <f t="shared" si="0"/>
        <v>13971563</v>
      </c>
    </row>
    <row r="63" spans="1:83" ht="12.65" customHeight="1" x14ac:dyDescent="0.3">
      <c r="A63" s="127" t="s">
        <v>236</v>
      </c>
      <c r="B63" s="129"/>
      <c r="C63" s="137">
        <f>3043738+8770+18</f>
        <v>3052526</v>
      </c>
      <c r="D63" s="137"/>
      <c r="E63" s="137">
        <f>607471+94302</f>
        <v>701773</v>
      </c>
      <c r="F63" s="138">
        <v>215238</v>
      </c>
      <c r="G63" s="137"/>
      <c r="H63" s="137"/>
      <c r="I63" s="138"/>
      <c r="J63" s="138">
        <v>449473</v>
      </c>
      <c r="K63" s="138"/>
      <c r="L63" s="138"/>
      <c r="M63" s="137"/>
      <c r="N63" s="137"/>
      <c r="O63" s="137"/>
      <c r="P63" s="138">
        <v>221837</v>
      </c>
      <c r="Q63" s="138"/>
      <c r="R63" s="138">
        <v>337583</v>
      </c>
      <c r="S63" s="138"/>
      <c r="T63" s="138"/>
      <c r="U63" s="138">
        <f>91992+144237</f>
        <v>236229</v>
      </c>
      <c r="V63" s="138">
        <v>21722</v>
      </c>
      <c r="W63" s="138"/>
      <c r="X63" s="138"/>
      <c r="Y63" s="138">
        <v>988203</v>
      </c>
      <c r="Z63" s="138"/>
      <c r="AA63" s="138">
        <v>-365</v>
      </c>
      <c r="AB63" s="138">
        <v>1612</v>
      </c>
      <c r="AC63" s="138">
        <v>418111</v>
      </c>
      <c r="AD63" s="138"/>
      <c r="AE63" s="138">
        <f>5625+37993</f>
        <v>43618</v>
      </c>
      <c r="AF63" s="138"/>
      <c r="AG63" s="138">
        <f>2293706+41175+2579306</f>
        <v>4914187</v>
      </c>
      <c r="AH63" s="138"/>
      <c r="AI63" s="138"/>
      <c r="AJ63" s="138">
        <f>-3304+17041</f>
        <v>13737</v>
      </c>
      <c r="AK63" s="138"/>
      <c r="AL63" s="138">
        <v>81605</v>
      </c>
      <c r="AM63" s="138"/>
      <c r="AN63" s="138"/>
      <c r="AO63" s="138"/>
      <c r="AP63" s="138">
        <f>198667.31+16218+13003+3951+994+1932</f>
        <v>234765.31</v>
      </c>
      <c r="AQ63" s="138"/>
      <c r="AR63" s="138"/>
      <c r="AS63" s="138"/>
      <c r="AT63" s="138"/>
      <c r="AU63" s="138"/>
      <c r="AV63" s="138"/>
      <c r="AW63" s="138">
        <v>82745</v>
      </c>
      <c r="AX63" s="138"/>
      <c r="AY63" s="138">
        <v>57300</v>
      </c>
      <c r="AZ63" s="138"/>
      <c r="BA63" s="138"/>
      <c r="BB63" s="138"/>
      <c r="BC63" s="138"/>
      <c r="BD63" s="138"/>
      <c r="BE63" s="138"/>
      <c r="BF63" s="138">
        <v>91077</v>
      </c>
      <c r="BG63" s="138"/>
      <c r="BH63" s="138">
        <v>29608</v>
      </c>
      <c r="BI63" s="138"/>
      <c r="BJ63" s="138">
        <v>24648</v>
      </c>
      <c r="BK63" s="138"/>
      <c r="BL63" s="138">
        <v>97</v>
      </c>
      <c r="BM63" s="138"/>
      <c r="BN63" s="138">
        <f>3347-437</f>
        <v>2910</v>
      </c>
      <c r="BO63" s="138"/>
      <c r="BP63" s="138"/>
      <c r="BQ63" s="138"/>
      <c r="BR63" s="138">
        <v>13204</v>
      </c>
      <c r="BS63" s="138"/>
      <c r="BT63" s="138"/>
      <c r="BU63" s="138"/>
      <c r="BV63" s="138">
        <v>-640</v>
      </c>
      <c r="BW63" s="138"/>
      <c r="BX63" s="138"/>
      <c r="BY63" s="138">
        <v>18312</v>
      </c>
      <c r="BZ63" s="138"/>
      <c r="CA63" s="138"/>
      <c r="CB63" s="138"/>
      <c r="CC63" s="138">
        <f>7657+119000</f>
        <v>126657</v>
      </c>
      <c r="CD63" s="191" t="s">
        <v>221</v>
      </c>
      <c r="CE63" s="129">
        <f t="shared" si="0"/>
        <v>12377772.310000001</v>
      </c>
    </row>
    <row r="64" spans="1:83" ht="12.65" customHeight="1" x14ac:dyDescent="0.3">
      <c r="A64" s="127" t="s">
        <v>237</v>
      </c>
      <c r="B64" s="129"/>
      <c r="C64" s="137">
        <f>937152+3569-124</f>
        <v>940597</v>
      </c>
      <c r="D64" s="137"/>
      <c r="E64" s="138">
        <f>310125+533787+297</f>
        <v>844209</v>
      </c>
      <c r="F64" s="138">
        <v>562995</v>
      </c>
      <c r="G64" s="137"/>
      <c r="H64" s="137"/>
      <c r="I64" s="138"/>
      <c r="J64" s="138">
        <v>253043</v>
      </c>
      <c r="K64" s="138"/>
      <c r="L64" s="138"/>
      <c r="M64" s="137"/>
      <c r="N64" s="137"/>
      <c r="O64" s="137"/>
      <c r="P64" s="138">
        <f>1811276+4513221</f>
        <v>6324497</v>
      </c>
      <c r="Q64" s="138">
        <v>23615</v>
      </c>
      <c r="R64" s="138">
        <v>239741</v>
      </c>
      <c r="S64" s="138">
        <f>22916+309537</f>
        <v>332453</v>
      </c>
      <c r="T64" s="138">
        <v>117040</v>
      </c>
      <c r="U64" s="138">
        <f>-1953+1946573+32582+181145</f>
        <v>2158347</v>
      </c>
      <c r="V64" s="138"/>
      <c r="W64" s="138">
        <v>8125</v>
      </c>
      <c r="X64" s="138">
        <v>141335</v>
      </c>
      <c r="Y64" s="138">
        <f>5266+19207+18491-27342+180009+5790+5660+4883+310014+1522+5208632</f>
        <v>5732132</v>
      </c>
      <c r="Z64" s="138"/>
      <c r="AA64" s="138">
        <f>72961+157</f>
        <v>73118</v>
      </c>
      <c r="AB64" s="138">
        <v>10052652</v>
      </c>
      <c r="AC64" s="138">
        <v>256860</v>
      </c>
      <c r="AD64" s="138"/>
      <c r="AE64" s="138">
        <f>2013+10980-5317</f>
        <v>7676</v>
      </c>
      <c r="AF64" s="138"/>
      <c r="AG64" s="138">
        <f>1001528+8915</f>
        <v>1010443</v>
      </c>
      <c r="AH64" s="138"/>
      <c r="AI64" s="138">
        <f>1359+146120+332359+2696+169</f>
        <v>482703</v>
      </c>
      <c r="AJ64" s="138">
        <f>72+416677+29+123239+11315</f>
        <v>551332</v>
      </c>
      <c r="AK64" s="138"/>
      <c r="AL64" s="138">
        <v>578</v>
      </c>
      <c r="AM64" s="138"/>
      <c r="AN64" s="138"/>
      <c r="AO64" s="138"/>
      <c r="AP64" s="138">
        <f>34+4609+118762+20649+816+1330366</f>
        <v>1475236</v>
      </c>
      <c r="AQ64" s="138"/>
      <c r="AR64" s="138"/>
      <c r="AS64" s="138"/>
      <c r="AT64" s="138"/>
      <c r="AU64" s="138"/>
      <c r="AV64" s="138"/>
      <c r="AW64" s="138">
        <v>39316</v>
      </c>
      <c r="AX64" s="138"/>
      <c r="AY64" s="138">
        <v>391210</v>
      </c>
      <c r="AZ64" s="138"/>
      <c r="BA64" s="138">
        <v>74331</v>
      </c>
      <c r="BB64" s="138"/>
      <c r="BC64" s="138"/>
      <c r="BD64" s="138">
        <f>544805+64032+178014</f>
        <v>786851</v>
      </c>
      <c r="BE64" s="138">
        <f>74551+2064</f>
        <v>76615</v>
      </c>
      <c r="BF64" s="138">
        <v>136670</v>
      </c>
      <c r="BG64" s="138"/>
      <c r="BH64" s="138">
        <v>47558</v>
      </c>
      <c r="BI64" s="138"/>
      <c r="BJ64" s="138">
        <v>5926</v>
      </c>
      <c r="BK64" s="138">
        <v>7388</v>
      </c>
      <c r="BL64" s="138">
        <v>31055</v>
      </c>
      <c r="BM64" s="138"/>
      <c r="BN64" s="138">
        <v>136404</v>
      </c>
      <c r="BO64" s="138">
        <v>5925</v>
      </c>
      <c r="BP64" s="138">
        <v>5548</v>
      </c>
      <c r="BQ64" s="138"/>
      <c r="BR64" s="138">
        <v>24374</v>
      </c>
      <c r="BS64" s="138">
        <f>16481+749</f>
        <v>17230</v>
      </c>
      <c r="BT64" s="138">
        <v>1194</v>
      </c>
      <c r="BU64" s="138"/>
      <c r="BV64" s="138"/>
      <c r="BW64" s="138">
        <v>68443</v>
      </c>
      <c r="BX64" s="138">
        <f>2582+1640+20800</f>
        <v>25022</v>
      </c>
      <c r="BY64" s="138">
        <v>55707</v>
      </c>
      <c r="BZ64" s="138"/>
      <c r="CA64" s="138">
        <v>3222</v>
      </c>
      <c r="CB64" s="138"/>
      <c r="CC64" s="138">
        <f>1532+672582-2678</f>
        <v>671436</v>
      </c>
      <c r="CD64" s="191" t="s">
        <v>221</v>
      </c>
      <c r="CE64" s="129">
        <f t="shared" si="0"/>
        <v>34200152</v>
      </c>
    </row>
    <row r="65" spans="1:84" ht="12.65" customHeight="1" x14ac:dyDescent="0.3">
      <c r="A65" s="127" t="s">
        <v>238</v>
      </c>
      <c r="B65" s="129"/>
      <c r="C65" s="137"/>
      <c r="D65" s="137"/>
      <c r="E65" s="137"/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8">
        <v>1200</v>
      </c>
      <c r="Z65" s="138"/>
      <c r="AA65" s="138"/>
      <c r="AB65" s="138"/>
      <c r="AC65" s="138">
        <v>897</v>
      </c>
      <c r="AD65" s="138"/>
      <c r="AE65" s="138">
        <v>897</v>
      </c>
      <c r="AF65" s="138"/>
      <c r="AG65" s="138">
        <v>897</v>
      </c>
      <c r="AH65" s="138"/>
      <c r="AI65" s="138"/>
      <c r="AJ65" s="138"/>
      <c r="AK65" s="138"/>
      <c r="AL65" s="138"/>
      <c r="AM65" s="138"/>
      <c r="AN65" s="138"/>
      <c r="AO65" s="138"/>
      <c r="AP65" s="138">
        <f>16217+1260+26125+77227+154209+5092+10609+188065+12689-104+12900-55+5302-706+19</f>
        <v>508849</v>
      </c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>
        <f>5379+30219+3742</f>
        <v>39340</v>
      </c>
      <c r="BE65" s="138">
        <f>2396+4770</f>
        <v>7166</v>
      </c>
      <c r="BF65" s="138">
        <v>103592</v>
      </c>
      <c r="BG65" s="138"/>
      <c r="BH65" s="138">
        <f>333420+831+12163</f>
        <v>346414</v>
      </c>
      <c r="BI65" s="138"/>
      <c r="BJ65" s="138">
        <f>1656-293</f>
        <v>1363</v>
      </c>
      <c r="BK65" s="138"/>
      <c r="BL65" s="138">
        <v>4637</v>
      </c>
      <c r="BM65" s="138"/>
      <c r="BN65" s="138"/>
      <c r="BO65" s="138"/>
      <c r="BP65" s="138">
        <v>1282642</v>
      </c>
      <c r="BQ65" s="138"/>
      <c r="BR65" s="138">
        <f>1350+8659</f>
        <v>10009</v>
      </c>
      <c r="BS65" s="138"/>
      <c r="BT65" s="138"/>
      <c r="BU65" s="138"/>
      <c r="BV65" s="138"/>
      <c r="BW65" s="138"/>
      <c r="BX65" s="138"/>
      <c r="BY65" s="138">
        <v>966</v>
      </c>
      <c r="BZ65" s="138"/>
      <c r="CA65" s="138"/>
      <c r="CB65" s="138"/>
      <c r="CC65" s="138">
        <v>828</v>
      </c>
      <c r="CD65" s="191" t="s">
        <v>221</v>
      </c>
      <c r="CE65" s="129">
        <f t="shared" si="0"/>
        <v>2309697</v>
      </c>
    </row>
    <row r="66" spans="1:84" ht="12.65" customHeight="1" x14ac:dyDescent="0.3">
      <c r="A66" s="127" t="s">
        <v>239</v>
      </c>
      <c r="B66" s="129"/>
      <c r="C66" s="137">
        <f>1266+2406+19236+81</f>
        <v>22989</v>
      </c>
      <c r="D66" s="137"/>
      <c r="E66" s="137">
        <f>481310+545+2655+318+145</f>
        <v>484973</v>
      </c>
      <c r="F66" s="137">
        <v>43294</v>
      </c>
      <c r="G66" s="137"/>
      <c r="H66" s="137"/>
      <c r="I66" s="137"/>
      <c r="J66" s="137">
        <v>-1600</v>
      </c>
      <c r="K66" s="138"/>
      <c r="L66" s="138"/>
      <c r="M66" s="137"/>
      <c r="N66" s="137"/>
      <c r="O66" s="138"/>
      <c r="P66" s="138">
        <v>308413</v>
      </c>
      <c r="Q66" s="138">
        <v>284</v>
      </c>
      <c r="R66" s="138">
        <v>128</v>
      </c>
      <c r="S66" s="137">
        <v>37809</v>
      </c>
      <c r="T66" s="137"/>
      <c r="U66" s="138">
        <v>1782340</v>
      </c>
      <c r="V66" s="138"/>
      <c r="W66" s="138">
        <v>97643</v>
      </c>
      <c r="X66" s="138">
        <v>248936</v>
      </c>
      <c r="Y66" s="138">
        <v>1146653</v>
      </c>
      <c r="Z66" s="138"/>
      <c r="AA66" s="138">
        <v>207437</v>
      </c>
      <c r="AB66" s="138">
        <v>278656</v>
      </c>
      <c r="AC66" s="138">
        <v>7150</v>
      </c>
      <c r="AD66" s="138"/>
      <c r="AE66" s="138">
        <v>28590</v>
      </c>
      <c r="AF66" s="138"/>
      <c r="AG66" s="138">
        <v>99921</v>
      </c>
      <c r="AH66" s="138"/>
      <c r="AI66" s="138">
        <v>10507</v>
      </c>
      <c r="AJ66" s="138">
        <v>77799</v>
      </c>
      <c r="AK66" s="138"/>
      <c r="AL66" s="138"/>
      <c r="AM66" s="138"/>
      <c r="AN66" s="138"/>
      <c r="AO66" s="138"/>
      <c r="AP66" s="138">
        <f>144448+2358015+19385</f>
        <v>2521848</v>
      </c>
      <c r="AQ66" s="138"/>
      <c r="AR66" s="138"/>
      <c r="AS66" s="138"/>
      <c r="AT66" s="138"/>
      <c r="AU66" s="138"/>
      <c r="AV66" s="138"/>
      <c r="AW66" s="138">
        <v>1541</v>
      </c>
      <c r="AX66" s="138"/>
      <c r="AY66" s="138">
        <v>52147</v>
      </c>
      <c r="AZ66" s="138"/>
      <c r="BA66" s="138">
        <v>274333</v>
      </c>
      <c r="BB66" s="138"/>
      <c r="BC66" s="138"/>
      <c r="BD66" s="138">
        <f>125582+12416</f>
        <v>137998</v>
      </c>
      <c r="BE66" s="138">
        <f>1024821+164+58200+84+46+415+6303+3768</f>
        <v>1093801</v>
      </c>
      <c r="BF66" s="138">
        <v>43626</v>
      </c>
      <c r="BG66" s="138">
        <v>548327</v>
      </c>
      <c r="BH66" s="138">
        <v>1321639</v>
      </c>
      <c r="BI66" s="138"/>
      <c r="BJ66" s="138">
        <v>51237</v>
      </c>
      <c r="BK66" s="138">
        <f>371075+493</f>
        <v>371568</v>
      </c>
      <c r="BL66" s="138">
        <v>52509</v>
      </c>
      <c r="BM66" s="138"/>
      <c r="BN66" s="138">
        <v>648700</v>
      </c>
      <c r="BO66" s="138">
        <v>314327</v>
      </c>
      <c r="BP66" s="138">
        <v>-49224</v>
      </c>
      <c r="BQ66" s="138"/>
      <c r="BR66" s="138">
        <v>127512</v>
      </c>
      <c r="BS66" s="138"/>
      <c r="BT66" s="138">
        <v>64240</v>
      </c>
      <c r="BU66" s="138"/>
      <c r="BV66" s="138">
        <v>631897</v>
      </c>
      <c r="BW66" s="138">
        <v>125447</v>
      </c>
      <c r="BX66" s="138">
        <f>57016+297021</f>
        <v>354037</v>
      </c>
      <c r="BY66" s="138">
        <v>10802</v>
      </c>
      <c r="BZ66" s="138"/>
      <c r="CA66" s="138">
        <v>59021</v>
      </c>
      <c r="CB66" s="138">
        <v>146562</v>
      </c>
      <c r="CC66" s="138">
        <v>2466179</v>
      </c>
      <c r="CD66" s="191" t="s">
        <v>221</v>
      </c>
      <c r="CE66" s="129">
        <f t="shared" si="0"/>
        <v>16251996</v>
      </c>
    </row>
    <row r="67" spans="1:84" ht="12.65" customHeight="1" x14ac:dyDescent="0.3">
      <c r="A67" s="127" t="s">
        <v>6</v>
      </c>
      <c r="B67" s="129"/>
      <c r="C67" s="129">
        <f>ROUND(C51+C52,0)</f>
        <v>95978</v>
      </c>
      <c r="D67" s="129">
        <f>ROUND(D51+D52,0)</f>
        <v>0</v>
      </c>
      <c r="E67" s="129">
        <f t="shared" ref="E67:BP67" si="3">ROUND(E51+E52,0)</f>
        <v>324498</v>
      </c>
      <c r="F67" s="129">
        <f t="shared" si="3"/>
        <v>153925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39478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253844</v>
      </c>
      <c r="Q67" s="129">
        <f t="shared" si="3"/>
        <v>39175</v>
      </c>
      <c r="R67" s="129">
        <f t="shared" si="3"/>
        <v>6436</v>
      </c>
      <c r="S67" s="129">
        <f t="shared" si="3"/>
        <v>56722</v>
      </c>
      <c r="T67" s="129">
        <f t="shared" si="3"/>
        <v>0</v>
      </c>
      <c r="U67" s="129">
        <f t="shared" si="3"/>
        <v>153540</v>
      </c>
      <c r="V67" s="129">
        <f t="shared" si="3"/>
        <v>1749</v>
      </c>
      <c r="W67" s="129">
        <f t="shared" si="3"/>
        <v>64825</v>
      </c>
      <c r="X67" s="129">
        <f t="shared" si="3"/>
        <v>36960</v>
      </c>
      <c r="Y67" s="129">
        <f t="shared" si="3"/>
        <v>221525</v>
      </c>
      <c r="Z67" s="129">
        <f t="shared" si="3"/>
        <v>0</v>
      </c>
      <c r="AA67" s="129">
        <f t="shared" si="3"/>
        <v>49517</v>
      </c>
      <c r="AB67" s="129">
        <f t="shared" si="3"/>
        <v>65210</v>
      </c>
      <c r="AC67" s="129">
        <f t="shared" si="3"/>
        <v>47301</v>
      </c>
      <c r="AD67" s="129">
        <f t="shared" si="3"/>
        <v>0</v>
      </c>
      <c r="AE67" s="129">
        <f t="shared" si="3"/>
        <v>95057</v>
      </c>
      <c r="AF67" s="129">
        <f t="shared" si="3"/>
        <v>0</v>
      </c>
      <c r="AG67" s="129">
        <f t="shared" si="3"/>
        <v>145880</v>
      </c>
      <c r="AH67" s="129">
        <f t="shared" si="3"/>
        <v>0</v>
      </c>
      <c r="AI67" s="129">
        <f t="shared" si="3"/>
        <v>295071</v>
      </c>
      <c r="AJ67" s="129">
        <f t="shared" si="3"/>
        <v>95489</v>
      </c>
      <c r="AK67" s="129">
        <f t="shared" si="3"/>
        <v>0</v>
      </c>
      <c r="AL67" s="129">
        <f t="shared" si="3"/>
        <v>2332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1197771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16265</v>
      </c>
      <c r="AX67" s="129">
        <f t="shared" si="3"/>
        <v>0</v>
      </c>
      <c r="AY67" s="129">
        <f t="shared" si="3"/>
        <v>121244</v>
      </c>
      <c r="AZ67" s="129">
        <f>ROUND(AZ51+AZ52,0)</f>
        <v>0</v>
      </c>
      <c r="BA67" s="129">
        <f>ROUND(BA51+BA52,0)</f>
        <v>19937</v>
      </c>
      <c r="BB67" s="129">
        <f t="shared" si="3"/>
        <v>0</v>
      </c>
      <c r="BC67" s="129">
        <f t="shared" si="3"/>
        <v>0</v>
      </c>
      <c r="BD67" s="129">
        <f t="shared" si="3"/>
        <v>119891</v>
      </c>
      <c r="BE67" s="129">
        <f t="shared" si="3"/>
        <v>338035</v>
      </c>
      <c r="BF67" s="129">
        <f t="shared" si="3"/>
        <v>34441</v>
      </c>
      <c r="BG67" s="129">
        <f t="shared" si="3"/>
        <v>16719</v>
      </c>
      <c r="BH67" s="129">
        <f t="shared" si="3"/>
        <v>66994</v>
      </c>
      <c r="BI67" s="129">
        <f t="shared" si="3"/>
        <v>0</v>
      </c>
      <c r="BJ67" s="129">
        <f t="shared" si="3"/>
        <v>7485</v>
      </c>
      <c r="BK67" s="129">
        <f t="shared" si="3"/>
        <v>47943</v>
      </c>
      <c r="BL67" s="129">
        <f t="shared" si="3"/>
        <v>68276</v>
      </c>
      <c r="BM67" s="129">
        <f t="shared" si="3"/>
        <v>0</v>
      </c>
      <c r="BN67" s="129">
        <f t="shared" si="3"/>
        <v>19949</v>
      </c>
      <c r="BO67" s="129">
        <f t="shared" si="3"/>
        <v>2880</v>
      </c>
      <c r="BP67" s="129">
        <f t="shared" si="3"/>
        <v>3031</v>
      </c>
      <c r="BQ67" s="129">
        <f t="shared" ref="BQ67:CC67" si="4">ROUND(BQ51+BQ52,0)</f>
        <v>0</v>
      </c>
      <c r="BR67" s="129">
        <f t="shared" si="4"/>
        <v>21919</v>
      </c>
      <c r="BS67" s="129">
        <f t="shared" si="4"/>
        <v>6762</v>
      </c>
      <c r="BT67" s="129">
        <f t="shared" si="4"/>
        <v>10062</v>
      </c>
      <c r="BU67" s="129">
        <f t="shared" si="4"/>
        <v>0</v>
      </c>
      <c r="BV67" s="129">
        <f t="shared" si="4"/>
        <v>8255</v>
      </c>
      <c r="BW67" s="129">
        <f t="shared" si="4"/>
        <v>95804</v>
      </c>
      <c r="BX67" s="129">
        <f t="shared" si="4"/>
        <v>6203</v>
      </c>
      <c r="BY67" s="129">
        <f t="shared" si="4"/>
        <v>10295</v>
      </c>
      <c r="BZ67" s="129">
        <f t="shared" si="4"/>
        <v>0</v>
      </c>
      <c r="CA67" s="129">
        <f t="shared" si="4"/>
        <v>2938</v>
      </c>
      <c r="CB67" s="129">
        <f t="shared" si="4"/>
        <v>3603</v>
      </c>
      <c r="CC67" s="129">
        <f t="shared" si="4"/>
        <v>1265080</v>
      </c>
      <c r="CD67" s="191" t="s">
        <v>221</v>
      </c>
      <c r="CE67" s="129">
        <f t="shared" si="0"/>
        <v>5756294</v>
      </c>
    </row>
    <row r="68" spans="1:84" ht="12.65" customHeight="1" x14ac:dyDescent="0.3">
      <c r="A68" s="127" t="s">
        <v>240</v>
      </c>
      <c r="B68" s="129"/>
      <c r="C68" s="137">
        <v>16487</v>
      </c>
      <c r="D68" s="137"/>
      <c r="E68" s="137">
        <v>4347</v>
      </c>
      <c r="F68" s="137">
        <v>-100</v>
      </c>
      <c r="G68" s="137"/>
      <c r="H68" s="137"/>
      <c r="I68" s="137"/>
      <c r="J68" s="137"/>
      <c r="K68" s="138"/>
      <c r="L68" s="138"/>
      <c r="M68" s="137"/>
      <c r="N68" s="137"/>
      <c r="O68" s="137"/>
      <c r="P68" s="138">
        <v>8333</v>
      </c>
      <c r="Q68" s="138"/>
      <c r="R68" s="138"/>
      <c r="S68" s="138"/>
      <c r="T68" s="138"/>
      <c r="U68" s="138">
        <v>127145</v>
      </c>
      <c r="V68" s="138"/>
      <c r="W68" s="138"/>
      <c r="X68" s="138"/>
      <c r="Y68" s="138">
        <v>-155</v>
      </c>
      <c r="Z68" s="138"/>
      <c r="AA68" s="138"/>
      <c r="AB68" s="138">
        <v>47</v>
      </c>
      <c r="AC68" s="138">
        <v>-528</v>
      </c>
      <c r="AD68" s="138"/>
      <c r="AE68" s="138">
        <v>103</v>
      </c>
      <c r="AF68" s="138"/>
      <c r="AG68" s="138">
        <v>-130</v>
      </c>
      <c r="AH68" s="138"/>
      <c r="AI68" s="138">
        <v>-19</v>
      </c>
      <c r="AJ68" s="138">
        <v>-163</v>
      </c>
      <c r="AK68" s="138"/>
      <c r="AL68" s="138"/>
      <c r="AM68" s="138"/>
      <c r="AN68" s="138"/>
      <c r="AO68" s="138"/>
      <c r="AP68" s="138">
        <f>294273-4</f>
        <v>294269</v>
      </c>
      <c r="AQ68" s="138"/>
      <c r="AR68" s="138"/>
      <c r="AS68" s="138"/>
      <c r="AT68" s="138"/>
      <c r="AU68" s="138"/>
      <c r="AV68" s="138"/>
      <c r="AW68" s="138">
        <v>5</v>
      </c>
      <c r="AX68" s="138"/>
      <c r="AY68" s="138">
        <v>-37</v>
      </c>
      <c r="AZ68" s="138"/>
      <c r="BA68" s="138"/>
      <c r="BB68" s="138"/>
      <c r="BC68" s="138"/>
      <c r="BD68" s="138">
        <v>-26</v>
      </c>
      <c r="BE68" s="138">
        <v>-86</v>
      </c>
      <c r="BF68" s="138"/>
      <c r="BG68" s="138"/>
      <c r="BH68" s="138">
        <v>16</v>
      </c>
      <c r="BI68" s="138"/>
      <c r="BJ68" s="138"/>
      <c r="BK68" s="138">
        <v>-1349</v>
      </c>
      <c r="BL68" s="138"/>
      <c r="BM68" s="138"/>
      <c r="BN68" s="138">
        <v>-865144</v>
      </c>
      <c r="BO68" s="138">
        <v>-2</v>
      </c>
      <c r="BP68" s="138">
        <v>-149</v>
      </c>
      <c r="BQ68" s="138"/>
      <c r="BR68" s="138">
        <v>-93</v>
      </c>
      <c r="BS68" s="138"/>
      <c r="BT68" s="138"/>
      <c r="BU68" s="138"/>
      <c r="BV68" s="138">
        <v>-111</v>
      </c>
      <c r="BW68" s="138"/>
      <c r="BX68" s="138">
        <v>-230</v>
      </c>
      <c r="BY68" s="138">
        <v>157</v>
      </c>
      <c r="BZ68" s="138"/>
      <c r="CA68" s="138">
        <v>-19</v>
      </c>
      <c r="CB68" s="138"/>
      <c r="CC68" s="138"/>
      <c r="CD68" s="191" t="s">
        <v>221</v>
      </c>
      <c r="CE68" s="129">
        <f t="shared" si="0"/>
        <v>-417432</v>
      </c>
    </row>
    <row r="69" spans="1:84" ht="12.65" customHeight="1" x14ac:dyDescent="0.3">
      <c r="A69" s="127" t="s">
        <v>241</v>
      </c>
      <c r="B69" s="129"/>
      <c r="C69" s="137">
        <v>432</v>
      </c>
      <c r="D69" s="137"/>
      <c r="E69" s="138"/>
      <c r="F69" s="138">
        <v>8000</v>
      </c>
      <c r="G69" s="137"/>
      <c r="H69" s="137"/>
      <c r="I69" s="138"/>
      <c r="J69" s="138"/>
      <c r="K69" s="138"/>
      <c r="L69" s="138"/>
      <c r="M69" s="137"/>
      <c r="N69" s="137"/>
      <c r="O69" s="137"/>
      <c r="P69" s="138">
        <v>4410</v>
      </c>
      <c r="Q69" s="138"/>
      <c r="R69" s="172">
        <v>32</v>
      </c>
      <c r="S69" s="138">
        <f>86838+625</f>
        <v>87463</v>
      </c>
      <c r="T69" s="137"/>
      <c r="U69" s="138">
        <v>12909</v>
      </c>
      <c r="V69" s="138"/>
      <c r="W69" s="137"/>
      <c r="X69" s="138"/>
      <c r="Y69" s="138">
        <f>413+413+6592</f>
        <v>7418</v>
      </c>
      <c r="Z69" s="138"/>
      <c r="AA69" s="138"/>
      <c r="AB69" s="138">
        <v>1875</v>
      </c>
      <c r="AC69" s="138"/>
      <c r="AD69" s="138"/>
      <c r="AE69" s="138">
        <v>1406</v>
      </c>
      <c r="AF69" s="138"/>
      <c r="AG69" s="138">
        <v>134</v>
      </c>
      <c r="AH69" s="138"/>
      <c r="AI69" s="138">
        <v>295</v>
      </c>
      <c r="AJ69" s="138">
        <v>57</v>
      </c>
      <c r="AK69" s="138"/>
      <c r="AL69" s="138"/>
      <c r="AM69" s="138"/>
      <c r="AN69" s="138"/>
      <c r="AO69" s="137"/>
      <c r="AP69" s="138">
        <f>3834+241161+1403-2282.36+36</f>
        <v>244151.64</v>
      </c>
      <c r="AQ69" s="137"/>
      <c r="AR69" s="137"/>
      <c r="AS69" s="137"/>
      <c r="AT69" s="137"/>
      <c r="AU69" s="138"/>
      <c r="AV69" s="138"/>
      <c r="AW69" s="138">
        <v>57853</v>
      </c>
      <c r="AX69" s="138"/>
      <c r="AY69" s="138">
        <v>842</v>
      </c>
      <c r="AZ69" s="138"/>
      <c r="BA69" s="138"/>
      <c r="BB69" s="138"/>
      <c r="BC69" s="138"/>
      <c r="BD69" s="138">
        <v>147247</v>
      </c>
      <c r="BE69" s="138">
        <v>3837</v>
      </c>
      <c r="BF69" s="138">
        <v>1018</v>
      </c>
      <c r="BG69" s="138"/>
      <c r="BH69" s="172">
        <v>1323</v>
      </c>
      <c r="BI69" s="138"/>
      <c r="BJ69" s="138">
        <v>695</v>
      </c>
      <c r="BK69" s="138">
        <v>9537</v>
      </c>
      <c r="BL69" s="138">
        <v>151155</v>
      </c>
      <c r="BM69" s="138"/>
      <c r="BN69" s="138">
        <v>848679</v>
      </c>
      <c r="BO69" s="138">
        <v>200</v>
      </c>
      <c r="BP69" s="138">
        <v>187297</v>
      </c>
      <c r="BQ69" s="138"/>
      <c r="BR69" s="138"/>
      <c r="BS69" s="138"/>
      <c r="BT69" s="138"/>
      <c r="BU69" s="138"/>
      <c r="BV69" s="138"/>
      <c r="BW69" s="138"/>
      <c r="BX69" s="138">
        <f>-412+2317</f>
        <v>1905</v>
      </c>
      <c r="BY69" s="138"/>
      <c r="BZ69" s="138"/>
      <c r="CA69" s="138">
        <v>40703</v>
      </c>
      <c r="CB69" s="138">
        <v>662</v>
      </c>
      <c r="CC69" s="138">
        <f>207390-84-347231</f>
        <v>-139925</v>
      </c>
      <c r="CD69" s="141">
        <f>7070745+3355651+1450874+489911+33504+5</f>
        <v>12400690</v>
      </c>
      <c r="CE69" s="129">
        <f t="shared" si="0"/>
        <v>14082300.640000001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>
        <v>2312</v>
      </c>
      <c r="AC70" s="138"/>
      <c r="AD70" s="138"/>
      <c r="AE70" s="138"/>
      <c r="AF70" s="138"/>
      <c r="AG70" s="138">
        <v>592634</v>
      </c>
      <c r="AH70" s="138"/>
      <c r="AI70" s="138"/>
      <c r="AJ70" s="138"/>
      <c r="AK70" s="138"/>
      <c r="AL70" s="138"/>
      <c r="AM70" s="138"/>
      <c r="AN70" s="138"/>
      <c r="AO70" s="138"/>
      <c r="AP70" s="138">
        <f>127479+71266</f>
        <v>198745</v>
      </c>
      <c r="AQ70" s="138"/>
      <c r="AR70" s="138"/>
      <c r="AS70" s="138"/>
      <c r="AT70" s="138"/>
      <c r="AU70" s="138"/>
      <c r="AV70" s="138"/>
      <c r="AW70" s="138">
        <v>12250</v>
      </c>
      <c r="AX70" s="138"/>
      <c r="AY70" s="138">
        <f>330473+250</f>
        <v>330723</v>
      </c>
      <c r="AZ70" s="138"/>
      <c r="BA70" s="138"/>
      <c r="BB70" s="138"/>
      <c r="BC70" s="138"/>
      <c r="BD70" s="138">
        <f>64032+178014</f>
        <v>242046</v>
      </c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>
        <v>5289</v>
      </c>
      <c r="BQ70" s="138">
        <f>660</f>
        <v>660</v>
      </c>
      <c r="BR70" s="138"/>
      <c r="BS70" s="138"/>
      <c r="BT70" s="138"/>
      <c r="BU70" s="138"/>
      <c r="BV70" s="138"/>
      <c r="BW70" s="138">
        <v>17375</v>
      </c>
      <c r="BX70" s="138"/>
      <c r="BY70" s="138"/>
      <c r="BZ70" s="138"/>
      <c r="CA70" s="138">
        <v>3450</v>
      </c>
      <c r="CB70" s="138"/>
      <c r="CC70" s="138"/>
      <c r="CD70" s="141">
        <f>10820+271573+1210005-1208405+3</f>
        <v>283996</v>
      </c>
      <c r="CE70" s="129">
        <f t="shared" si="0"/>
        <v>1689480</v>
      </c>
    </row>
    <row r="71" spans="1:84" ht="12.65" customHeight="1" x14ac:dyDescent="0.3">
      <c r="A71" s="127" t="s">
        <v>243</v>
      </c>
      <c r="B71" s="129"/>
      <c r="C71" s="129">
        <f>SUM(C61:C68)+C69-C70</f>
        <v>7908644</v>
      </c>
      <c r="D71" s="129">
        <f t="shared" ref="D71:AI71" si="5">SUM(D61:D69)-D70</f>
        <v>0</v>
      </c>
      <c r="E71" s="129">
        <f t="shared" si="5"/>
        <v>8858390</v>
      </c>
      <c r="F71" s="129">
        <f t="shared" si="5"/>
        <v>6633626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2008327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9030592</v>
      </c>
      <c r="Q71" s="129">
        <f t="shared" si="5"/>
        <v>925628</v>
      </c>
      <c r="R71" s="129">
        <f t="shared" si="5"/>
        <v>788096</v>
      </c>
      <c r="S71" s="129">
        <f t="shared" si="5"/>
        <v>1023899</v>
      </c>
      <c r="T71" s="129">
        <f t="shared" si="5"/>
        <v>117040</v>
      </c>
      <c r="U71" s="129">
        <f t="shared" si="5"/>
        <v>6410308</v>
      </c>
      <c r="V71" s="129">
        <f t="shared" si="5"/>
        <v>76144</v>
      </c>
      <c r="W71" s="129">
        <f t="shared" si="5"/>
        <v>438349</v>
      </c>
      <c r="X71" s="129">
        <f t="shared" si="5"/>
        <v>941918</v>
      </c>
      <c r="Y71" s="129">
        <f t="shared" si="5"/>
        <v>11674385</v>
      </c>
      <c r="Z71" s="129">
        <f t="shared" si="5"/>
        <v>0</v>
      </c>
      <c r="AA71" s="129">
        <f t="shared" si="5"/>
        <v>581600</v>
      </c>
      <c r="AB71" s="129">
        <f t="shared" si="5"/>
        <v>12316539</v>
      </c>
      <c r="AC71" s="129">
        <f t="shared" si="5"/>
        <v>2390973</v>
      </c>
      <c r="AD71" s="129">
        <f t="shared" si="5"/>
        <v>0</v>
      </c>
      <c r="AE71" s="129">
        <f t="shared" si="5"/>
        <v>1387400</v>
      </c>
      <c r="AF71" s="129">
        <f t="shared" si="5"/>
        <v>0</v>
      </c>
      <c r="AG71" s="129">
        <f t="shared" si="5"/>
        <v>8382861</v>
      </c>
      <c r="AH71" s="129">
        <f t="shared" si="5"/>
        <v>0</v>
      </c>
      <c r="AI71" s="129">
        <f t="shared" si="5"/>
        <v>3585529</v>
      </c>
      <c r="AJ71" s="129">
        <f t="shared" ref="AJ71:BO71" si="6">SUM(AJ61:AJ69)-AJ70</f>
        <v>1923357</v>
      </c>
      <c r="AK71" s="129">
        <f t="shared" si="6"/>
        <v>0</v>
      </c>
      <c r="AL71" s="129">
        <f t="shared" si="6"/>
        <v>278053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39709813.200000003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0</v>
      </c>
      <c r="AW71" s="129">
        <f t="shared" si="6"/>
        <v>2812533</v>
      </c>
      <c r="AX71" s="129">
        <f t="shared" si="6"/>
        <v>0</v>
      </c>
      <c r="AY71" s="129">
        <f t="shared" si="6"/>
        <v>1396417</v>
      </c>
      <c r="AZ71" s="129">
        <f t="shared" si="6"/>
        <v>0</v>
      </c>
      <c r="BA71" s="129">
        <f t="shared" si="6"/>
        <v>368601</v>
      </c>
      <c r="BB71" s="129">
        <f t="shared" si="6"/>
        <v>0</v>
      </c>
      <c r="BC71" s="129">
        <f t="shared" si="6"/>
        <v>0</v>
      </c>
      <c r="BD71" s="129">
        <f t="shared" si="6"/>
        <v>1454667</v>
      </c>
      <c r="BE71" s="129">
        <f t="shared" si="6"/>
        <v>2171400</v>
      </c>
      <c r="BF71" s="129">
        <f t="shared" si="6"/>
        <v>2186001</v>
      </c>
      <c r="BG71" s="129">
        <f t="shared" si="6"/>
        <v>565046</v>
      </c>
      <c r="BH71" s="129">
        <f t="shared" si="6"/>
        <v>3341766</v>
      </c>
      <c r="BI71" s="129">
        <f t="shared" si="6"/>
        <v>0</v>
      </c>
      <c r="BJ71" s="129">
        <f t="shared" si="6"/>
        <v>732694</v>
      </c>
      <c r="BK71" s="129">
        <f t="shared" si="6"/>
        <v>713920</v>
      </c>
      <c r="BL71" s="129">
        <f t="shared" si="6"/>
        <v>567987</v>
      </c>
      <c r="BM71" s="129">
        <f t="shared" si="6"/>
        <v>0</v>
      </c>
      <c r="BN71" s="129">
        <f t="shared" si="6"/>
        <v>1857948</v>
      </c>
      <c r="BO71" s="129">
        <f t="shared" si="6"/>
        <v>450402</v>
      </c>
      <c r="BP71" s="129">
        <f t="shared" ref="BP71:CC71" si="7">SUM(BP61:BP69)-BP70</f>
        <v>1553095</v>
      </c>
      <c r="BQ71" s="129">
        <f t="shared" si="7"/>
        <v>-660</v>
      </c>
      <c r="BR71" s="129">
        <f t="shared" si="7"/>
        <v>630539</v>
      </c>
      <c r="BS71" s="129">
        <f t="shared" si="7"/>
        <v>23992</v>
      </c>
      <c r="BT71" s="129">
        <f t="shared" si="7"/>
        <v>75496</v>
      </c>
      <c r="BU71" s="129">
        <f t="shared" si="7"/>
        <v>0</v>
      </c>
      <c r="BV71" s="129">
        <f t="shared" si="7"/>
        <v>1075973</v>
      </c>
      <c r="BW71" s="129">
        <f t="shared" si="7"/>
        <v>415593</v>
      </c>
      <c r="BX71" s="129">
        <f t="shared" si="7"/>
        <v>1651257</v>
      </c>
      <c r="BY71" s="129">
        <f t="shared" si="7"/>
        <v>1073441</v>
      </c>
      <c r="BZ71" s="129">
        <f t="shared" si="7"/>
        <v>0</v>
      </c>
      <c r="CA71" s="129">
        <f t="shared" si="7"/>
        <v>347695</v>
      </c>
      <c r="CB71" s="129">
        <f t="shared" si="7"/>
        <v>150827</v>
      </c>
      <c r="CC71" s="129">
        <f t="shared" si="7"/>
        <v>5075260</v>
      </c>
      <c r="CD71" s="132">
        <f>CD69-CD70</f>
        <v>12116694</v>
      </c>
      <c r="CE71" s="129">
        <f>SUM(CE61:CE69)-CE70</f>
        <v>170200055.19999999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f>16578925+18</f>
        <v>16578943</v>
      </c>
      <c r="D73" s="137"/>
      <c r="E73" s="138">
        <f>17575154+6393964+155</f>
        <v>23969273</v>
      </c>
      <c r="F73" s="138">
        <v>22318546</v>
      </c>
      <c r="G73" s="137"/>
      <c r="H73" s="137"/>
      <c r="I73" s="138"/>
      <c r="J73" s="138">
        <v>4577435</v>
      </c>
      <c r="K73" s="138"/>
      <c r="L73" s="138"/>
      <c r="M73" s="137"/>
      <c r="N73" s="137"/>
      <c r="O73" s="137"/>
      <c r="P73" s="138">
        <v>24328375</v>
      </c>
      <c r="Q73" s="138">
        <v>925993</v>
      </c>
      <c r="R73" s="138">
        <v>2506750</v>
      </c>
      <c r="S73" s="138">
        <v>3511959</v>
      </c>
      <c r="T73" s="138">
        <v>4422329</v>
      </c>
      <c r="U73" s="138">
        <f>23715888+3195512+376512</f>
        <v>27287912</v>
      </c>
      <c r="V73" s="138">
        <v>185070</v>
      </c>
      <c r="W73" s="138">
        <v>1431555</v>
      </c>
      <c r="X73" s="138">
        <v>11327428</v>
      </c>
      <c r="Y73" s="138">
        <f>3339292+4757558+5107884+1328+950+3237</f>
        <v>13210249</v>
      </c>
      <c r="Z73" s="138">
        <v>1256158</v>
      </c>
      <c r="AA73" s="138">
        <v>456875</v>
      </c>
      <c r="AB73" s="138">
        <v>24184405</v>
      </c>
      <c r="AC73" s="138">
        <v>17327660</v>
      </c>
      <c r="AD73" s="138"/>
      <c r="AE73" s="138">
        <v>1817032</v>
      </c>
      <c r="AF73" s="138"/>
      <c r="AG73" s="138">
        <f>8938236+1366765+1610489-2994</f>
        <v>11912496</v>
      </c>
      <c r="AH73" s="138"/>
      <c r="AI73" s="138">
        <f>74798+333</f>
        <v>75131</v>
      </c>
      <c r="AJ73" s="138">
        <v>1104515</v>
      </c>
      <c r="AK73" s="138"/>
      <c r="AL73" s="138">
        <v>518636</v>
      </c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215234725</v>
      </c>
    </row>
    <row r="74" spans="1:84" ht="12.65" customHeight="1" x14ac:dyDescent="0.3">
      <c r="A74" s="127" t="s">
        <v>246</v>
      </c>
      <c r="B74" s="129"/>
      <c r="C74" s="137">
        <f>503108+19</f>
        <v>503127</v>
      </c>
      <c r="D74" s="137"/>
      <c r="E74" s="138">
        <f>2603936+2344307+100441</f>
        <v>5048684</v>
      </c>
      <c r="F74" s="138">
        <v>1815358</v>
      </c>
      <c r="G74" s="137"/>
      <c r="H74" s="137"/>
      <c r="I74" s="137"/>
      <c r="J74" s="138"/>
      <c r="K74" s="138"/>
      <c r="L74" s="138"/>
      <c r="M74" s="137"/>
      <c r="N74" s="137"/>
      <c r="O74" s="137"/>
      <c r="P74" s="138">
        <v>34889911</v>
      </c>
      <c r="Q74" s="138">
        <v>2464473</v>
      </c>
      <c r="R74" s="138">
        <v>5536025</v>
      </c>
      <c r="S74" s="138">
        <f>4824659-302</f>
        <v>4824357</v>
      </c>
      <c r="T74" s="138">
        <v>6264010</v>
      </c>
      <c r="U74" s="138">
        <f>30923739+227113+2973556</f>
        <v>34124408</v>
      </c>
      <c r="V74" s="138">
        <v>195007</v>
      </c>
      <c r="W74" s="138">
        <v>8632398</v>
      </c>
      <c r="X74" s="138">
        <v>36790515</v>
      </c>
      <c r="Y74" s="138">
        <f>5264112+10876598+2706206+2557981+3394708+4008569+2256878</f>
        <v>31065052</v>
      </c>
      <c r="Z74" s="138">
        <v>51427014</v>
      </c>
      <c r="AA74" s="138">
        <v>2976193</v>
      </c>
      <c r="AB74" s="138">
        <v>14033784</v>
      </c>
      <c r="AC74" s="138">
        <v>4097890</v>
      </c>
      <c r="AD74" s="138"/>
      <c r="AE74" s="138">
        <f>535271+2185135</f>
        <v>2720406</v>
      </c>
      <c r="AF74" s="138"/>
      <c r="AG74" s="138">
        <f>35675972-1366765-1610489+2994</f>
        <v>32701712</v>
      </c>
      <c r="AH74" s="138"/>
      <c r="AI74" s="138">
        <f>6100733+5883464</f>
        <v>11984197</v>
      </c>
      <c r="AJ74" s="138">
        <f>5542232+11921993+335158</f>
        <v>17799383</v>
      </c>
      <c r="AK74" s="138"/>
      <c r="AL74" s="138">
        <v>883993</v>
      </c>
      <c r="AM74" s="138"/>
      <c r="AN74" s="138"/>
      <c r="AO74" s="138"/>
      <c r="AP74" s="138">
        <f>300887+1560122+366442+72992813</f>
        <v>75220264</v>
      </c>
      <c r="AQ74" s="138"/>
      <c r="AR74" s="138"/>
      <c r="AS74" s="138"/>
      <c r="AT74" s="138"/>
      <c r="AU74" s="138"/>
      <c r="AV74" s="138"/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385998161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17082070</v>
      </c>
      <c r="D75" s="129">
        <f t="shared" si="9"/>
        <v>0</v>
      </c>
      <c r="E75" s="129">
        <f t="shared" si="9"/>
        <v>29017957</v>
      </c>
      <c r="F75" s="129">
        <f t="shared" si="9"/>
        <v>24133904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4577435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59218286</v>
      </c>
      <c r="Q75" s="129">
        <f t="shared" si="9"/>
        <v>3390466</v>
      </c>
      <c r="R75" s="129">
        <f t="shared" si="9"/>
        <v>8042775</v>
      </c>
      <c r="S75" s="129">
        <f t="shared" si="9"/>
        <v>8336316</v>
      </c>
      <c r="T75" s="129">
        <f t="shared" si="9"/>
        <v>10686339</v>
      </c>
      <c r="U75" s="129">
        <f t="shared" si="9"/>
        <v>61412320</v>
      </c>
      <c r="V75" s="129">
        <f t="shared" si="9"/>
        <v>380077</v>
      </c>
      <c r="W75" s="129">
        <f t="shared" si="9"/>
        <v>10063953</v>
      </c>
      <c r="X75" s="129">
        <f t="shared" si="9"/>
        <v>48117943</v>
      </c>
      <c r="Y75" s="129">
        <f t="shared" si="9"/>
        <v>44275301</v>
      </c>
      <c r="Z75" s="129">
        <f t="shared" si="9"/>
        <v>52683172</v>
      </c>
      <c r="AA75" s="129">
        <f t="shared" si="9"/>
        <v>3433068</v>
      </c>
      <c r="AB75" s="129">
        <f t="shared" si="9"/>
        <v>38218189</v>
      </c>
      <c r="AC75" s="129">
        <f t="shared" si="9"/>
        <v>21425550</v>
      </c>
      <c r="AD75" s="129">
        <f t="shared" si="9"/>
        <v>0</v>
      </c>
      <c r="AE75" s="129">
        <f t="shared" si="9"/>
        <v>4537438</v>
      </c>
      <c r="AF75" s="129">
        <f t="shared" si="9"/>
        <v>0</v>
      </c>
      <c r="AG75" s="129">
        <f t="shared" si="9"/>
        <v>44614208</v>
      </c>
      <c r="AH75" s="129">
        <f t="shared" si="9"/>
        <v>0</v>
      </c>
      <c r="AI75" s="129">
        <f t="shared" si="9"/>
        <v>12059328</v>
      </c>
      <c r="AJ75" s="129">
        <f t="shared" si="9"/>
        <v>18903898</v>
      </c>
      <c r="AK75" s="129">
        <f t="shared" si="9"/>
        <v>0</v>
      </c>
      <c r="AL75" s="129">
        <f t="shared" si="9"/>
        <v>1402629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75220264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0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601232886</v>
      </c>
    </row>
    <row r="76" spans="1:84" ht="12.65" customHeight="1" x14ac:dyDescent="0.3">
      <c r="A76" s="127" t="s">
        <v>248</v>
      </c>
      <c r="B76" s="129"/>
      <c r="C76" s="137">
        <v>8232</v>
      </c>
      <c r="D76" s="137"/>
      <c r="E76" s="138">
        <f>13916+13916</f>
        <v>27832</v>
      </c>
      <c r="F76" s="138">
        <v>13202</v>
      </c>
      <c r="G76" s="137"/>
      <c r="H76" s="137"/>
      <c r="I76" s="138"/>
      <c r="J76" s="138">
        <v>3386</v>
      </c>
      <c r="K76" s="138"/>
      <c r="L76" s="138"/>
      <c r="M76" s="138"/>
      <c r="N76" s="138"/>
      <c r="O76" s="138"/>
      <c r="P76" s="138">
        <v>21772</v>
      </c>
      <c r="Q76" s="138">
        <v>3360</v>
      </c>
      <c r="R76" s="138">
        <v>552</v>
      </c>
      <c r="S76" s="138">
        <v>4865</v>
      </c>
      <c r="T76" s="138"/>
      <c r="U76" s="138">
        <f>10447+2722</f>
        <v>13169</v>
      </c>
      <c r="V76" s="138">
        <v>150</v>
      </c>
      <c r="W76" s="138">
        <v>5560</v>
      </c>
      <c r="X76" s="138">
        <v>3170</v>
      </c>
      <c r="Y76" s="138">
        <f>9156+1924+2980+739+4201</f>
        <v>19000</v>
      </c>
      <c r="Z76" s="138"/>
      <c r="AA76" s="138">
        <v>4247</v>
      </c>
      <c r="AB76" s="138">
        <v>5593</v>
      </c>
      <c r="AC76" s="138">
        <v>4057</v>
      </c>
      <c r="AD76" s="138"/>
      <c r="AE76" s="138">
        <v>8153</v>
      </c>
      <c r="AF76" s="138"/>
      <c r="AG76" s="138">
        <v>12512</v>
      </c>
      <c r="AH76" s="138"/>
      <c r="AI76" s="138">
        <f>3360+21948</f>
        <v>25308</v>
      </c>
      <c r="AJ76" s="138">
        <f>6578+1612</f>
        <v>8190</v>
      </c>
      <c r="AK76" s="138"/>
      <c r="AL76" s="138">
        <v>200</v>
      </c>
      <c r="AM76" s="138"/>
      <c r="AN76" s="138"/>
      <c r="AO76" s="138"/>
      <c r="AP76" s="138">
        <f>2601+2500+2672+3035+4142+19386+5024+19584+19584+780+1680+984+5586+1176+13998</f>
        <v>102732</v>
      </c>
      <c r="AQ76" s="138"/>
      <c r="AR76" s="138"/>
      <c r="AS76" s="138"/>
      <c r="AT76" s="138"/>
      <c r="AU76" s="138"/>
      <c r="AV76" s="138"/>
      <c r="AW76" s="138">
        <v>1395</v>
      </c>
      <c r="AX76" s="138"/>
      <c r="AY76" s="138">
        <v>10399</v>
      </c>
      <c r="AZ76" s="138"/>
      <c r="BA76" s="138">
        <v>1710</v>
      </c>
      <c r="BB76" s="138"/>
      <c r="BC76" s="138"/>
      <c r="BD76" s="138">
        <v>10283</v>
      </c>
      <c r="BE76" s="138">
        <f>28725+268</f>
        <v>28993</v>
      </c>
      <c r="BF76" s="138">
        <v>2954</v>
      </c>
      <c r="BG76" s="138">
        <v>1434</v>
      </c>
      <c r="BH76" s="138">
        <v>5746</v>
      </c>
      <c r="BI76" s="138"/>
      <c r="BJ76" s="138">
        <v>642</v>
      </c>
      <c r="BK76" s="138">
        <v>4112</v>
      </c>
      <c r="BL76" s="138">
        <v>5856</v>
      </c>
      <c r="BM76" s="138"/>
      <c r="BN76" s="138">
        <v>1711</v>
      </c>
      <c r="BO76" s="138">
        <v>247</v>
      </c>
      <c r="BP76" s="138">
        <v>260</v>
      </c>
      <c r="BQ76" s="138"/>
      <c r="BR76" s="138">
        <v>1880</v>
      </c>
      <c r="BS76" s="138">
        <v>580</v>
      </c>
      <c r="BT76" s="138">
        <v>863</v>
      </c>
      <c r="BU76" s="138"/>
      <c r="BV76" s="138">
        <v>708</v>
      </c>
      <c r="BW76" s="138">
        <v>8217</v>
      </c>
      <c r="BX76" s="138">
        <v>532</v>
      </c>
      <c r="BY76" s="138">
        <v>883</v>
      </c>
      <c r="BZ76" s="138"/>
      <c r="CA76" s="138">
        <v>252</v>
      </c>
      <c r="CB76" s="138">
        <v>309</v>
      </c>
      <c r="CC76" s="138">
        <f>795+1066+7895+3668+72201+10560+1198+5000+1161+3258+1703</f>
        <v>108505</v>
      </c>
      <c r="CD76" s="191" t="s">
        <v>221</v>
      </c>
      <c r="CE76" s="129">
        <f t="shared" si="8"/>
        <v>493713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>
        <v>8060</v>
      </c>
      <c r="D77" s="137"/>
      <c r="E77" s="137">
        <f>9606+26436</f>
        <v>36042</v>
      </c>
      <c r="F77" s="137">
        <v>8455</v>
      </c>
      <c r="G77" s="137"/>
      <c r="H77" s="137"/>
      <c r="I77" s="137"/>
      <c r="J77" s="137">
        <v>251</v>
      </c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>
        <v>972</v>
      </c>
      <c r="AH77" s="137"/>
      <c r="AI77" s="137">
        <f>2205+356</f>
        <v>2561</v>
      </c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56341</v>
      </c>
      <c r="CF77" s="129">
        <f>AY59-CE77</f>
        <v>222392</v>
      </c>
    </row>
    <row r="78" spans="1:84" ht="12.65" customHeight="1" x14ac:dyDescent="0.3">
      <c r="A78" s="127" t="s">
        <v>250</v>
      </c>
      <c r="B78" s="129"/>
      <c r="C78" s="137">
        <f>(C76/$CE$76)*68584.75</f>
        <v>1143.5584276695165</v>
      </c>
      <c r="D78" s="137">
        <f t="shared" ref="D78:AW78" si="10">(D76/$CE$76)*68584.75</f>
        <v>0</v>
      </c>
      <c r="E78" s="137">
        <f t="shared" si="10"/>
        <v>3866.3165887874129</v>
      </c>
      <c r="F78" s="137">
        <f t="shared" si="10"/>
        <v>1833.9721042386975</v>
      </c>
      <c r="G78" s="137">
        <f t="shared" si="10"/>
        <v>0</v>
      </c>
      <c r="H78" s="137">
        <f t="shared" si="10"/>
        <v>0</v>
      </c>
      <c r="I78" s="137">
        <f t="shared" si="10"/>
        <v>0</v>
      </c>
      <c r="J78" s="137">
        <f t="shared" si="10"/>
        <v>470.37036395638762</v>
      </c>
      <c r="K78" s="137">
        <f t="shared" si="10"/>
        <v>0</v>
      </c>
      <c r="L78" s="137">
        <f t="shared" si="10"/>
        <v>0</v>
      </c>
      <c r="M78" s="137">
        <f t="shared" si="10"/>
        <v>0</v>
      </c>
      <c r="N78" s="137">
        <f t="shared" si="10"/>
        <v>0</v>
      </c>
      <c r="O78" s="137">
        <f t="shared" si="10"/>
        <v>0</v>
      </c>
      <c r="P78" s="137">
        <f t="shared" si="10"/>
        <v>3024.4842185642269</v>
      </c>
      <c r="Q78" s="137">
        <f t="shared" si="10"/>
        <v>466.75854190592509</v>
      </c>
      <c r="R78" s="137">
        <f t="shared" si="10"/>
        <v>76.681760455973404</v>
      </c>
      <c r="S78" s="137">
        <f t="shared" si="10"/>
        <v>675.82747213462073</v>
      </c>
      <c r="T78" s="137">
        <f t="shared" si="10"/>
        <v>0</v>
      </c>
      <c r="U78" s="137">
        <f t="shared" si="10"/>
        <v>1829.3878685592642</v>
      </c>
      <c r="V78" s="137">
        <f t="shared" si="10"/>
        <v>20.837434906514513</v>
      </c>
      <c r="W78" s="137">
        <f t="shared" si="10"/>
        <v>772.374253868138</v>
      </c>
      <c r="X78" s="137">
        <f t="shared" si="10"/>
        <v>440.36445769100669</v>
      </c>
      <c r="Y78" s="137">
        <f t="shared" si="10"/>
        <v>2639.408421491838</v>
      </c>
      <c r="Z78" s="137">
        <f t="shared" si="10"/>
        <v>0</v>
      </c>
      <c r="AA78" s="137">
        <f t="shared" si="10"/>
        <v>589.977240319781</v>
      </c>
      <c r="AB78" s="137">
        <f t="shared" si="10"/>
        <v>776.95848954757116</v>
      </c>
      <c r="AC78" s="137">
        <f t="shared" si="10"/>
        <v>563.5831561048625</v>
      </c>
      <c r="AD78" s="137">
        <f t="shared" si="10"/>
        <v>0</v>
      </c>
      <c r="AE78" s="137">
        <f t="shared" si="10"/>
        <v>1132.5840452854188</v>
      </c>
      <c r="AF78" s="137">
        <f t="shared" si="10"/>
        <v>0</v>
      </c>
      <c r="AG78" s="137">
        <f t="shared" si="10"/>
        <v>1738.1199036687308</v>
      </c>
      <c r="AH78" s="137">
        <f t="shared" si="10"/>
        <v>0</v>
      </c>
      <c r="AI78" s="137">
        <f t="shared" si="10"/>
        <v>3515.6920174271286</v>
      </c>
      <c r="AJ78" s="137">
        <f t="shared" si="10"/>
        <v>1137.7239458956924</v>
      </c>
      <c r="AK78" s="137">
        <f t="shared" si="10"/>
        <v>0</v>
      </c>
      <c r="AL78" s="137">
        <f t="shared" si="10"/>
        <v>27.783246542019349</v>
      </c>
      <c r="AM78" s="137">
        <f t="shared" si="10"/>
        <v>0</v>
      </c>
      <c r="AN78" s="137">
        <f t="shared" si="10"/>
        <v>0</v>
      </c>
      <c r="AO78" s="137">
        <f t="shared" si="10"/>
        <v>0</v>
      </c>
      <c r="AP78" s="137">
        <f t="shared" si="10"/>
        <v>14271.142418773659</v>
      </c>
      <c r="AQ78" s="137">
        <f t="shared" si="10"/>
        <v>0</v>
      </c>
      <c r="AR78" s="137">
        <f t="shared" si="10"/>
        <v>0</v>
      </c>
      <c r="AS78" s="137">
        <f t="shared" si="10"/>
        <v>0</v>
      </c>
      <c r="AT78" s="137">
        <f t="shared" si="10"/>
        <v>0</v>
      </c>
      <c r="AU78" s="137">
        <f t="shared" si="10"/>
        <v>0</v>
      </c>
      <c r="AV78" s="137">
        <f t="shared" si="10"/>
        <v>0</v>
      </c>
      <c r="AW78" s="137">
        <f t="shared" si="10"/>
        <v>193.78814463058498</v>
      </c>
      <c r="AX78" s="191" t="s">
        <v>221</v>
      </c>
      <c r="AY78" s="191" t="s">
        <v>221</v>
      </c>
      <c r="AZ78" s="191" t="s">
        <v>221</v>
      </c>
      <c r="BA78" s="137">
        <f>(BA76/$CE$76)*68584.75</f>
        <v>237.54675793426546</v>
      </c>
      <c r="BB78" s="137">
        <f>(BB76/$CE$76)*68584.75</f>
        <v>0</v>
      </c>
      <c r="BC78" s="137">
        <f>(BC76/$CE$76)*68584.75</f>
        <v>0</v>
      </c>
      <c r="BD78" s="191" t="s">
        <v>221</v>
      </c>
      <c r="BE78" s="191" t="s">
        <v>221</v>
      </c>
      <c r="BF78" s="191" t="s">
        <v>221</v>
      </c>
      <c r="BG78" s="191" t="s">
        <v>221</v>
      </c>
      <c r="BH78" s="137">
        <f>(BH76/$CE$76)*68584.75</f>
        <v>798.21267315221598</v>
      </c>
      <c r="BI78" s="137">
        <f>(BI76/$CE$76)*68584.75</f>
        <v>0</v>
      </c>
      <c r="BJ78" s="191" t="s">
        <v>221</v>
      </c>
      <c r="BK78" s="137">
        <f>(BK76/$CE$76)*68584.75</f>
        <v>571.22354890391784</v>
      </c>
      <c r="BL78" s="137">
        <f>(BL76/$CE$76)*68584.75</f>
        <v>813.49345875032668</v>
      </c>
      <c r="BM78" s="137">
        <f>(BM76/$CE$76)*68584.75</f>
        <v>0</v>
      </c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>
        <f t="shared" ref="BS78:CB78" si="11">(BS76/$CE$76)*68584.75</f>
        <v>80.571414971856115</v>
      </c>
      <c r="BT78" s="137">
        <f t="shared" si="11"/>
        <v>119.8847088288135</v>
      </c>
      <c r="BU78" s="137">
        <f t="shared" si="11"/>
        <v>0</v>
      </c>
      <c r="BV78" s="137">
        <f t="shared" si="11"/>
        <v>98.352692758748503</v>
      </c>
      <c r="BW78" s="137">
        <f t="shared" si="11"/>
        <v>1141.4746841788651</v>
      </c>
      <c r="BX78" s="137">
        <f t="shared" si="11"/>
        <v>73.903435801771479</v>
      </c>
      <c r="BY78" s="137">
        <f t="shared" si="11"/>
        <v>122.66303348301544</v>
      </c>
      <c r="BZ78" s="137">
        <f t="shared" si="11"/>
        <v>0</v>
      </c>
      <c r="CA78" s="137">
        <f t="shared" si="11"/>
        <v>35.006890642944384</v>
      </c>
      <c r="CB78" s="137">
        <f t="shared" si="11"/>
        <v>42.925115907419901</v>
      </c>
      <c r="CC78" s="191" t="s">
        <v>221</v>
      </c>
      <c r="CD78" s="191" t="s">
        <v>221</v>
      </c>
      <c r="CE78" s="129">
        <f t="shared" si="8"/>
        <v>45342.95293773913</v>
      </c>
      <c r="CF78" s="129"/>
    </row>
    <row r="79" spans="1:84" ht="12.65" customHeight="1" x14ac:dyDescent="0.3">
      <c r="A79" s="127" t="s">
        <v>251</v>
      </c>
      <c r="B79" s="129"/>
      <c r="C79" s="173">
        <v>60313</v>
      </c>
      <c r="D79" s="173"/>
      <c r="E79" s="137">
        <f>41912+76457</f>
        <v>118369</v>
      </c>
      <c r="F79" s="137">
        <v>66084</v>
      </c>
      <c r="G79" s="137"/>
      <c r="H79" s="137"/>
      <c r="I79" s="137"/>
      <c r="J79" s="137">
        <v>13947</v>
      </c>
      <c r="K79" s="137"/>
      <c r="L79" s="137"/>
      <c r="M79" s="137"/>
      <c r="N79" s="137"/>
      <c r="O79" s="137"/>
      <c r="P79" s="137">
        <f>6331+6404+31610</f>
        <v>44345</v>
      </c>
      <c r="Q79" s="137"/>
      <c r="R79" s="137"/>
      <c r="S79" s="137"/>
      <c r="T79" s="137"/>
      <c r="U79" s="137"/>
      <c r="V79" s="137"/>
      <c r="W79" s="137"/>
      <c r="X79" s="137">
        <v>6957</v>
      </c>
      <c r="Y79" s="137">
        <v>63246</v>
      </c>
      <c r="Z79" s="137"/>
      <c r="AA79" s="137"/>
      <c r="AB79" s="137"/>
      <c r="AC79" s="137"/>
      <c r="AD79" s="137"/>
      <c r="AE79" s="137">
        <v>12456</v>
      </c>
      <c r="AF79" s="137"/>
      <c r="AG79" s="137">
        <v>67506</v>
      </c>
      <c r="AH79" s="137"/>
      <c r="AI79" s="137">
        <f>35949+15327</f>
        <v>51276</v>
      </c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504499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>
        <v>29.25</v>
      </c>
      <c r="D80" s="140"/>
      <c r="E80" s="140">
        <f>26.4+19.8+6.3</f>
        <v>52.5</v>
      </c>
      <c r="F80" s="140">
        <v>35.25</v>
      </c>
      <c r="G80" s="140"/>
      <c r="H80" s="140"/>
      <c r="I80" s="140"/>
      <c r="J80" s="140">
        <v>11.4</v>
      </c>
      <c r="K80" s="140"/>
      <c r="L80" s="140"/>
      <c r="M80" s="140"/>
      <c r="N80" s="140"/>
      <c r="O80" s="140"/>
      <c r="P80" s="140">
        <v>6.0000024999999999</v>
      </c>
      <c r="Q80" s="140">
        <f>4.5+1</f>
        <v>5.5</v>
      </c>
      <c r="R80" s="140">
        <v>1</v>
      </c>
      <c r="S80" s="140"/>
      <c r="T80" s="140"/>
      <c r="U80" s="140"/>
      <c r="V80" s="140"/>
      <c r="W80" s="140"/>
      <c r="X80" s="140"/>
      <c r="Y80" s="140">
        <f>1.9+1</f>
        <v>2.9</v>
      </c>
      <c r="Z80" s="140"/>
      <c r="AA80" s="140">
        <v>1</v>
      </c>
      <c r="AB80" s="140"/>
      <c r="AC80" s="140"/>
      <c r="AD80" s="140"/>
      <c r="AE80" s="140">
        <v>1</v>
      </c>
      <c r="AF80" s="140"/>
      <c r="AG80" s="140">
        <f>14.8</f>
        <v>14.8</v>
      </c>
      <c r="AH80" s="140"/>
      <c r="AI80" s="140">
        <f>14.1+4</f>
        <v>18.100000000000001</v>
      </c>
      <c r="AJ80" s="140">
        <f>1.2+3.4+0.5</f>
        <v>5.0999999999999996</v>
      </c>
      <c r="AK80" s="140"/>
      <c r="AL80" s="140"/>
      <c r="AM80" s="140"/>
      <c r="AN80" s="140"/>
      <c r="AO80" s="140"/>
      <c r="AP80" s="140">
        <v>2.9</v>
      </c>
      <c r="AQ80" s="140"/>
      <c r="AR80" s="140"/>
      <c r="AS80" s="140"/>
      <c r="AT80" s="140"/>
      <c r="AU80" s="140"/>
      <c r="AV80" s="140"/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186.70000250000001</v>
      </c>
      <c r="CF80" s="197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6" t="s">
        <v>1282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7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9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1270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1271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1272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1283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1274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1284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1275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08" t="s">
        <v>1276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/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>
        <v>1</v>
      </c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5866</v>
      </c>
      <c r="D111" s="130">
        <v>21433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1365</v>
      </c>
      <c r="D114" s="130">
        <v>2032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14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>
        <v>0</v>
      </c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142">
        <v>60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>
        <v>7</v>
      </c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>
        <v>20</v>
      </c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>
        <v>0</v>
      </c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>
        <v>0</v>
      </c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>
        <v>0</v>
      </c>
      <c r="D123" s="129"/>
      <c r="E123" s="129"/>
    </row>
    <row r="124" spans="1:5" ht="12.65" customHeight="1" x14ac:dyDescent="0.3">
      <c r="A124" s="129" t="s">
        <v>289</v>
      </c>
      <c r="B124" s="128"/>
      <c r="C124" s="142">
        <v>0</v>
      </c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>
        <v>0</v>
      </c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>
        <v>10</v>
      </c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111</v>
      </c>
    </row>
    <row r="128" spans="1:5" ht="12.65" customHeight="1" x14ac:dyDescent="0.3">
      <c r="A128" s="129" t="s">
        <v>292</v>
      </c>
      <c r="B128" s="128" t="s">
        <v>256</v>
      </c>
      <c r="C128" s="142">
        <v>111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10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f>1565+352</f>
        <v>1917</v>
      </c>
      <c r="C138" s="142">
        <f>213+992</f>
        <v>1205</v>
      </c>
      <c r="D138" s="130">
        <f>C111-B138-C138</f>
        <v>2744</v>
      </c>
      <c r="E138" s="129">
        <f>SUM(B138:D138)</f>
        <v>5866</v>
      </c>
    </row>
    <row r="139" spans="1:6" ht="12.65" customHeight="1" x14ac:dyDescent="0.3">
      <c r="A139" s="129" t="s">
        <v>215</v>
      </c>
      <c r="B139" s="130">
        <f>8210+2137</f>
        <v>10347</v>
      </c>
      <c r="C139" s="142">
        <f>4145+806</f>
        <v>4951</v>
      </c>
      <c r="D139" s="130">
        <f>D111-B139-C139</f>
        <v>6135</v>
      </c>
      <c r="E139" s="129">
        <f>SUM(B139:D139)</f>
        <v>21433</v>
      </c>
    </row>
    <row r="140" spans="1:6" ht="12.65" customHeight="1" x14ac:dyDescent="0.3">
      <c r="A140" s="129" t="s">
        <v>298</v>
      </c>
      <c r="B140" s="130">
        <v>31331</v>
      </c>
      <c r="C140" s="130">
        <v>22677</v>
      </c>
      <c r="D140" s="130">
        <v>31787</v>
      </c>
      <c r="E140" s="129">
        <f>SUM(B140:D140)</f>
        <v>85795</v>
      </c>
    </row>
    <row r="141" spans="1:6" ht="12.65" customHeight="1" x14ac:dyDescent="0.3">
      <c r="A141" s="129" t="s">
        <v>245</v>
      </c>
      <c r="B141" s="130">
        <v>101722499.58</v>
      </c>
      <c r="C141" s="142">
        <v>46259580</v>
      </c>
      <c r="D141" s="130">
        <f>67252627.39+18</f>
        <v>67252645.390000001</v>
      </c>
      <c r="E141" s="129">
        <f>SUM(B141:D141)</f>
        <v>215234724.96999997</v>
      </c>
      <c r="F141" s="150"/>
    </row>
    <row r="142" spans="1:6" ht="12.65" customHeight="1" x14ac:dyDescent="0.3">
      <c r="A142" s="129" t="s">
        <v>246</v>
      </c>
      <c r="B142" s="130">
        <v>158711854</v>
      </c>
      <c r="C142" s="142">
        <v>84475211</v>
      </c>
      <c r="D142" s="130">
        <v>142811096</v>
      </c>
      <c r="E142" s="129">
        <f>SUM(B142:D142)</f>
        <v>385998161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4498803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342044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1230392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5808065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>
        <v>264768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1495590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v>331901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13971563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v>-575836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v>158404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-417432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1215831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f>235043+1</f>
        <v>235044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1450875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f>523417+2</f>
        <v>523419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>
        <v>7070745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7594164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3355651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3355651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22989999.790000007</v>
      </c>
      <c r="C195" s="142">
        <v>264705.65000000002</v>
      </c>
      <c r="D195" s="130">
        <v>10123542.48</v>
      </c>
      <c r="E195" s="129">
        <f t="shared" ref="E195:E203" si="12">SUM(B195:C195)-D195</f>
        <v>13131162.960000005</v>
      </c>
    </row>
    <row r="196" spans="1:8" ht="12.65" customHeight="1" x14ac:dyDescent="0.3">
      <c r="A196" s="129" t="s">
        <v>333</v>
      </c>
      <c r="B196" s="130">
        <v>2165523.1</v>
      </c>
      <c r="C196" s="142"/>
      <c r="D196" s="130">
        <v>1151822.31</v>
      </c>
      <c r="E196" s="129">
        <f t="shared" si="12"/>
        <v>1013700.79</v>
      </c>
    </row>
    <row r="197" spans="1:8" ht="12.65" customHeight="1" x14ac:dyDescent="0.3">
      <c r="A197" s="129" t="s">
        <v>334</v>
      </c>
      <c r="B197" s="130">
        <v>52526507.280000009</v>
      </c>
      <c r="C197" s="142">
        <v>15397.48</v>
      </c>
      <c r="D197" s="130">
        <v>33624138.229999997</v>
      </c>
      <c r="E197" s="129">
        <f t="shared" si="12"/>
        <v>18917766.530000009</v>
      </c>
    </row>
    <row r="198" spans="1:8" ht="12.65" customHeight="1" x14ac:dyDescent="0.3">
      <c r="A198" s="129" t="s">
        <v>335</v>
      </c>
      <c r="B198" s="130"/>
      <c r="C198" s="142"/>
      <c r="D198" s="130"/>
      <c r="E198" s="129">
        <f t="shared" si="12"/>
        <v>0</v>
      </c>
    </row>
    <row r="199" spans="1:8" ht="12.65" customHeight="1" x14ac:dyDescent="0.3">
      <c r="A199" s="129" t="s">
        <v>336</v>
      </c>
      <c r="B199" s="130"/>
      <c r="C199" s="142"/>
      <c r="D199" s="130"/>
      <c r="E199" s="129">
        <f t="shared" si="12"/>
        <v>0</v>
      </c>
    </row>
    <row r="200" spans="1:8" ht="12.65" customHeight="1" x14ac:dyDescent="0.3">
      <c r="A200" s="129" t="s">
        <v>337</v>
      </c>
      <c r="B200" s="130">
        <v>14097990.510000002</v>
      </c>
      <c r="C200" s="142">
        <v>4654098.24</v>
      </c>
      <c r="D200" s="130">
        <v>325764.46999999997</v>
      </c>
      <c r="E200" s="129">
        <f t="shared" si="12"/>
        <v>18426324.280000001</v>
      </c>
    </row>
    <row r="201" spans="1:8" ht="12.65" customHeight="1" x14ac:dyDescent="0.3">
      <c r="A201" s="129" t="s">
        <v>338</v>
      </c>
      <c r="B201" s="130">
        <v>0</v>
      </c>
      <c r="C201" s="142"/>
      <c r="D201" s="130"/>
      <c r="E201" s="129">
        <f t="shared" si="12"/>
        <v>0</v>
      </c>
    </row>
    <row r="202" spans="1:8" ht="12.65" customHeight="1" x14ac:dyDescent="0.3">
      <c r="A202" s="129" t="s">
        <v>339</v>
      </c>
      <c r="B202" s="130">
        <v>15681916.539999999</v>
      </c>
      <c r="C202" s="142">
        <v>132745.82</v>
      </c>
      <c r="D202" s="130"/>
      <c r="E202" s="129">
        <f t="shared" si="12"/>
        <v>15814662.359999999</v>
      </c>
    </row>
    <row r="203" spans="1:8" ht="12.65" customHeight="1" x14ac:dyDescent="0.3">
      <c r="A203" s="129" t="s">
        <v>340</v>
      </c>
      <c r="B203" s="130">
        <v>1625564.9300000006</v>
      </c>
      <c r="C203" s="142">
        <v>17774050.579999998</v>
      </c>
      <c r="D203" s="130">
        <v>928240.53</v>
      </c>
      <c r="E203" s="129">
        <f t="shared" si="12"/>
        <v>18471374.979999997</v>
      </c>
    </row>
    <row r="204" spans="1:8" ht="12.65" customHeight="1" x14ac:dyDescent="0.3">
      <c r="A204" s="129" t="s">
        <v>203</v>
      </c>
      <c r="B204" s="129">
        <f>SUM(B195:B203)</f>
        <v>109087502.15000004</v>
      </c>
      <c r="C204" s="144">
        <f>SUM(C195:C203)</f>
        <v>22840997.77</v>
      </c>
      <c r="D204" s="129">
        <f>SUM(D195:D203)</f>
        <v>46153508.019999996</v>
      </c>
      <c r="E204" s="129">
        <f>SUM(E195:E203)</f>
        <v>85774991.900000006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1622627.3300000003</v>
      </c>
      <c r="C209" s="142">
        <v>360563.35</v>
      </c>
      <c r="D209" s="130">
        <v>1023842.29</v>
      </c>
      <c r="E209" s="129">
        <f t="shared" ref="E209:E216" si="13">SUM(B209:C209)-D209</f>
        <v>959348.39000000013</v>
      </c>
      <c r="H209"/>
    </row>
    <row r="210" spans="1:8" ht="12.65" customHeight="1" x14ac:dyDescent="0.3">
      <c r="A210" s="129" t="s">
        <v>334</v>
      </c>
      <c r="B210" s="130">
        <v>3590629.44</v>
      </c>
      <c r="C210" s="142">
        <v>951637.62999999989</v>
      </c>
      <c r="D210" s="130">
        <v>1246142.56</v>
      </c>
      <c r="E210" s="129">
        <f t="shared" si="13"/>
        <v>3296124.5100000002</v>
      </c>
      <c r="H210"/>
    </row>
    <row r="211" spans="1:8" ht="12.65" customHeight="1" x14ac:dyDescent="0.3">
      <c r="A211" s="129" t="s">
        <v>335</v>
      </c>
      <c r="B211" s="130"/>
      <c r="C211" s="142"/>
      <c r="D211" s="130"/>
      <c r="E211" s="129">
        <f t="shared" si="13"/>
        <v>0</v>
      </c>
      <c r="H211"/>
    </row>
    <row r="212" spans="1:8" ht="12.65" customHeight="1" x14ac:dyDescent="0.3">
      <c r="A212" s="129" t="s">
        <v>336</v>
      </c>
      <c r="B212" s="130"/>
      <c r="C212" s="142"/>
      <c r="D212" s="130"/>
      <c r="E212" s="129">
        <f t="shared" si="13"/>
        <v>0</v>
      </c>
      <c r="H212"/>
    </row>
    <row r="213" spans="1:8" ht="12.65" customHeight="1" x14ac:dyDescent="0.3">
      <c r="A213" s="129" t="s">
        <v>337</v>
      </c>
      <c r="B213" s="130">
        <v>6674252.2599999979</v>
      </c>
      <c r="C213" s="142">
        <v>2877931.32</v>
      </c>
      <c r="D213" s="130">
        <v>202495.35</v>
      </c>
      <c r="E213" s="129">
        <f t="shared" si="13"/>
        <v>9349688.2299999986</v>
      </c>
      <c r="H213"/>
    </row>
    <row r="214" spans="1:8" ht="12.65" customHeight="1" x14ac:dyDescent="0.3">
      <c r="A214" s="129" t="s">
        <v>338</v>
      </c>
      <c r="B214" s="130">
        <v>0</v>
      </c>
      <c r="C214" s="142"/>
      <c r="D214" s="130"/>
      <c r="E214" s="129">
        <f t="shared" si="13"/>
        <v>0</v>
      </c>
      <c r="H214"/>
    </row>
    <row r="215" spans="1:8" ht="12.65" customHeight="1" x14ac:dyDescent="0.3">
      <c r="A215" s="129" t="s">
        <v>339</v>
      </c>
      <c r="B215" s="130">
        <v>7367972.7899999982</v>
      </c>
      <c r="C215" s="142">
        <f>2183234.5-700</f>
        <v>2182534.5</v>
      </c>
      <c r="D215" s="130"/>
      <c r="E215" s="129">
        <f t="shared" si="13"/>
        <v>9550507.2899999991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3"/>
        <v>0</v>
      </c>
      <c r="H216"/>
    </row>
    <row r="217" spans="1:8" ht="12.65" customHeight="1" x14ac:dyDescent="0.3">
      <c r="A217" s="129" t="s">
        <v>203</v>
      </c>
      <c r="B217" s="129">
        <f>SUM(B208:B216)</f>
        <v>19255481.819999997</v>
      </c>
      <c r="C217" s="144">
        <f>SUM(C208:C216)</f>
        <v>6372666.7999999998</v>
      </c>
      <c r="D217" s="129">
        <f>SUM(D208:D216)</f>
        <v>2472480.2000000002</v>
      </c>
      <c r="E217" s="129">
        <f>SUM(E208:E216)</f>
        <v>23155668.419999998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48" t="s">
        <v>1254</v>
      </c>
      <c r="C220" s="248"/>
      <c r="D220" s="159"/>
      <c r="E220" s="159"/>
    </row>
    <row r="221" spans="1:8" ht="12.65" customHeight="1" x14ac:dyDescent="0.3">
      <c r="A221" s="210" t="s">
        <v>1254</v>
      </c>
      <c r="B221" s="159"/>
      <c r="C221" s="142">
        <v>-1806529</v>
      </c>
      <c r="D221" s="128">
        <f>C221</f>
        <v>-1806529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200004044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109670988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>
        <v>9900453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>
        <v>13527841</v>
      </c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>
        <f>92202811-11106.33-4456.91</f>
        <v>92187247.760000005</v>
      </c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/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425290573.75999999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>
        <v>1869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2133897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7258855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9392752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>
        <f>1732001+11106.33+4456.91</f>
        <v>1747564.24</v>
      </c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1747564.24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434624361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6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-697025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107103078.53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82770609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142">
        <v>1588151</v>
      </c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v>2124699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4456064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3514496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65" customHeight="1" x14ac:dyDescent="0.3">
      <c r="A260" s="129" t="s">
        <v>371</v>
      </c>
      <c r="B260" s="129"/>
      <c r="C260" s="144"/>
      <c r="D260" s="129">
        <f>SUM(C250:C252)-C253+SUM(C254:C259)</f>
        <v>35318854.530000001</v>
      </c>
      <c r="E260" s="129"/>
    </row>
    <row r="261" spans="1:5" ht="11.2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6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1.2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v>13131163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v>1013700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v>18917766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/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/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v>18426323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v>15814662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v>18471375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85774989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f>23155668</f>
        <v>23155668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62619321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>
        <v>161590</v>
      </c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161590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>
        <v>22280143.93</v>
      </c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22280143.93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120379909.46000001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f>7735854-8606.46</f>
        <v>7727247.54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9641030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142">
        <v>439705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/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v>309718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18117700.539999999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>
        <v>575413</v>
      </c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575413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/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>
        <f>33204160+309718</f>
        <v>33513878</v>
      </c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/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>
        <v>45973460</v>
      </c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/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79487338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309718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79177620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26122476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>
        <v>-3613301</v>
      </c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120379908.53999999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120379909.46000001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215234725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385998161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601232886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-1806529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f>425290573+1</f>
        <v>425290574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f>9392754-1</f>
        <v>9392753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>
        <v>1747566</v>
      </c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434624364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166608522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f>2655839+64032+178014-1208405</f>
        <v>1689480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1689480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168298002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73357192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13971563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f>8130688+4247084</f>
        <v>12377772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f>33958106+64032+178014</f>
        <v>34200152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2309697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f>11482594+4769402</f>
        <v>16251996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5756291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-417432.38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1450874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7594165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3355651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f>1681612-1</f>
        <v>1681611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171889531.62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-3591529.6200000048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-5989071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-9580600.6200000048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>
        <f>4758895+1208405</f>
        <v>5967300</v>
      </c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-3613300.6200000048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RCCH Trios Health LLC   H-0     FYE 12/31/2021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5866</v>
      </c>
      <c r="C414" s="1">
        <f>E138</f>
        <v>5866</v>
      </c>
    </row>
    <row r="415" spans="1:5" ht="12.65" customHeight="1" x14ac:dyDescent="0.3">
      <c r="A415" s="1" t="s">
        <v>464</v>
      </c>
      <c r="B415" s="1">
        <f>D111</f>
        <v>21433</v>
      </c>
      <c r="C415" s="1">
        <f>E139</f>
        <v>21433</v>
      </c>
      <c r="D415" s="1">
        <f>SUM(C59:H59)+N59</f>
        <v>21433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1365</v>
      </c>
    </row>
    <row r="424" spans="1:7" ht="12.65" customHeight="1" x14ac:dyDescent="0.3">
      <c r="A424" s="1" t="s">
        <v>1243</v>
      </c>
      <c r="B424" s="1">
        <f>D114</f>
        <v>2032</v>
      </c>
      <c r="D424" s="1">
        <f>J59</f>
        <v>2032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4">C378</f>
        <v>73357192</v>
      </c>
      <c r="C427" s="1">
        <f t="shared" ref="C427:C434" si="15">CE61</f>
        <v>73357192.25</v>
      </c>
    </row>
    <row r="428" spans="1:7" ht="12.65" customHeight="1" x14ac:dyDescent="0.3">
      <c r="A428" s="1" t="s">
        <v>3</v>
      </c>
      <c r="B428" s="1">
        <f t="shared" si="14"/>
        <v>13971563</v>
      </c>
      <c r="C428" s="1">
        <f t="shared" si="15"/>
        <v>13971563</v>
      </c>
      <c r="D428" s="1">
        <f>D173</f>
        <v>13971563</v>
      </c>
    </row>
    <row r="429" spans="1:7" ht="12.65" customHeight="1" x14ac:dyDescent="0.3">
      <c r="A429" s="1" t="s">
        <v>236</v>
      </c>
      <c r="B429" s="1">
        <f t="shared" si="14"/>
        <v>12377772</v>
      </c>
      <c r="C429" s="1">
        <f t="shared" si="15"/>
        <v>12377772.310000001</v>
      </c>
    </row>
    <row r="430" spans="1:7" ht="12.65" customHeight="1" x14ac:dyDescent="0.3">
      <c r="A430" s="1" t="s">
        <v>237</v>
      </c>
      <c r="B430" s="1">
        <f t="shared" si="14"/>
        <v>34200152</v>
      </c>
      <c r="C430" s="1">
        <f t="shared" si="15"/>
        <v>34200152</v>
      </c>
    </row>
    <row r="431" spans="1:7" ht="12.65" customHeight="1" x14ac:dyDescent="0.3">
      <c r="A431" s="1" t="s">
        <v>444</v>
      </c>
      <c r="B431" s="1">
        <f t="shared" si="14"/>
        <v>2309697</v>
      </c>
      <c r="C431" s="1">
        <f t="shared" si="15"/>
        <v>2309697</v>
      </c>
    </row>
    <row r="432" spans="1:7" ht="12.65" customHeight="1" x14ac:dyDescent="0.3">
      <c r="A432" s="1" t="s">
        <v>445</v>
      </c>
      <c r="B432" s="1">
        <f t="shared" si="14"/>
        <v>16251996</v>
      </c>
      <c r="C432" s="1">
        <f t="shared" si="15"/>
        <v>16251996</v>
      </c>
    </row>
    <row r="433" spans="1:7" ht="12.65" customHeight="1" x14ac:dyDescent="0.3">
      <c r="A433" s="1" t="s">
        <v>6</v>
      </c>
      <c r="B433" s="1">
        <f t="shared" si="14"/>
        <v>5756291</v>
      </c>
      <c r="C433" s="1">
        <f t="shared" si="15"/>
        <v>5756294</v>
      </c>
      <c r="D433" s="1">
        <f>C217</f>
        <v>6372666.7999999998</v>
      </c>
    </row>
    <row r="434" spans="1:7" ht="12.65" customHeight="1" x14ac:dyDescent="0.3">
      <c r="A434" s="1" t="s">
        <v>474</v>
      </c>
      <c r="B434" s="1">
        <f t="shared" si="14"/>
        <v>-417432.38</v>
      </c>
      <c r="C434" s="1">
        <f t="shared" si="15"/>
        <v>-417432</v>
      </c>
      <c r="D434" s="1">
        <f>D177</f>
        <v>-417432</v>
      </c>
    </row>
    <row r="435" spans="1:7" ht="12.65" customHeight="1" x14ac:dyDescent="0.3">
      <c r="A435" s="1" t="s">
        <v>447</v>
      </c>
      <c r="B435" s="1">
        <f t="shared" si="14"/>
        <v>1450874</v>
      </c>
      <c r="D435" s="1">
        <f>D181</f>
        <v>1450875</v>
      </c>
    </row>
    <row r="436" spans="1:7" ht="12.65" customHeight="1" x14ac:dyDescent="0.3">
      <c r="A436" s="1" t="s">
        <v>475</v>
      </c>
      <c r="B436" s="1">
        <f t="shared" si="14"/>
        <v>7594165</v>
      </c>
      <c r="D436" s="1">
        <f>D186</f>
        <v>7594164</v>
      </c>
    </row>
    <row r="437" spans="1:7" ht="12.65" customHeight="1" x14ac:dyDescent="0.3">
      <c r="A437" s="1" t="s">
        <v>449</v>
      </c>
      <c r="B437" s="1">
        <f t="shared" si="14"/>
        <v>3355651</v>
      </c>
      <c r="D437" s="1">
        <f>D190</f>
        <v>3355651</v>
      </c>
    </row>
    <row r="438" spans="1:7" ht="12.65" customHeight="1" x14ac:dyDescent="0.3">
      <c r="A438" s="1" t="s">
        <v>476</v>
      </c>
      <c r="B438" s="1">
        <f>C386+C387+C388</f>
        <v>12400690</v>
      </c>
      <c r="C438" s="1">
        <f>CD69</f>
        <v>12400690</v>
      </c>
      <c r="D438" s="1">
        <f>D181+D186+D190</f>
        <v>12400690</v>
      </c>
    </row>
    <row r="439" spans="1:7" ht="12.65" customHeight="1" x14ac:dyDescent="0.3">
      <c r="A439" s="1" t="s">
        <v>451</v>
      </c>
      <c r="B439" s="1">
        <f>C389</f>
        <v>1681611</v>
      </c>
      <c r="C439" s="1">
        <f>SUM(C69:CC69)</f>
        <v>1681610.6400000001</v>
      </c>
    </row>
    <row r="440" spans="1:7" ht="12.65" customHeight="1" x14ac:dyDescent="0.3">
      <c r="A440" s="1" t="s">
        <v>477</v>
      </c>
      <c r="B440" s="1">
        <f>B438+B439</f>
        <v>14082301</v>
      </c>
      <c r="C440" s="1">
        <f>CE69</f>
        <v>14082300.640000001</v>
      </c>
    </row>
    <row r="441" spans="1:7" ht="12.65" customHeight="1" x14ac:dyDescent="0.3">
      <c r="A441" s="1" t="s">
        <v>478</v>
      </c>
      <c r="B441" s="1">
        <f>D390</f>
        <v>171889531.62</v>
      </c>
      <c r="C441" s="1">
        <f>SUM(C427:C437)+C440</f>
        <v>171889535.19999999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-1806529</v>
      </c>
      <c r="C444" s="1">
        <f>C363</f>
        <v>-1806529</v>
      </c>
    </row>
    <row r="445" spans="1:7" ht="12.65" customHeight="1" x14ac:dyDescent="0.3">
      <c r="A445" s="1" t="s">
        <v>343</v>
      </c>
      <c r="B445" s="1">
        <f>D229</f>
        <v>425290573.75999999</v>
      </c>
      <c r="C445" s="1">
        <f>C364</f>
        <v>425290574</v>
      </c>
    </row>
    <row r="446" spans="1:7" ht="12.65" customHeight="1" x14ac:dyDescent="0.3">
      <c r="A446" s="1" t="s">
        <v>351</v>
      </c>
      <c r="B446" s="1">
        <f>D236</f>
        <v>9392752</v>
      </c>
      <c r="C446" s="1">
        <f>C365</f>
        <v>9392753</v>
      </c>
    </row>
    <row r="447" spans="1:7" ht="12.65" customHeight="1" x14ac:dyDescent="0.3">
      <c r="A447" s="1" t="s">
        <v>356</v>
      </c>
      <c r="B447" s="1">
        <f>D240</f>
        <v>1747564.24</v>
      </c>
      <c r="C447" s="1">
        <f>C366</f>
        <v>1747566</v>
      </c>
    </row>
    <row r="448" spans="1:7" ht="12.65" customHeight="1" x14ac:dyDescent="0.3">
      <c r="A448" s="1" t="s">
        <v>358</v>
      </c>
      <c r="B448" s="1">
        <f>D242</f>
        <v>434624361</v>
      </c>
      <c r="C448" s="1">
        <f>D367</f>
        <v>434624364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1869</v>
      </c>
    </row>
    <row r="454" spans="1:7" ht="12.65" customHeight="1" x14ac:dyDescent="0.3">
      <c r="A454" s="1" t="s">
        <v>168</v>
      </c>
      <c r="B454" s="1">
        <f>C233</f>
        <v>2133897</v>
      </c>
    </row>
    <row r="455" spans="1:7" ht="12.65" customHeight="1" x14ac:dyDescent="0.3">
      <c r="A455" s="1" t="s">
        <v>131</v>
      </c>
      <c r="B455" s="1">
        <f>C234</f>
        <v>7258855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1689480</v>
      </c>
      <c r="C458" s="1">
        <f>CE70</f>
        <v>1689480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215234725</v>
      </c>
      <c r="C463" s="1">
        <f>CE73</f>
        <v>215234725</v>
      </c>
      <c r="D463" s="1">
        <f>E141+E147+E153</f>
        <v>215234724.96999997</v>
      </c>
    </row>
    <row r="464" spans="1:7" ht="12.65" customHeight="1" x14ac:dyDescent="0.3">
      <c r="A464" s="1" t="s">
        <v>246</v>
      </c>
      <c r="B464" s="1">
        <f>C360</f>
        <v>385998161</v>
      </c>
      <c r="C464" s="1">
        <f>CE74</f>
        <v>385998161</v>
      </c>
      <c r="D464" s="1">
        <f>E142+E148+E154</f>
        <v>385998161</v>
      </c>
    </row>
    <row r="465" spans="1:7" ht="12.65" customHeight="1" x14ac:dyDescent="0.3">
      <c r="A465" s="1" t="s">
        <v>247</v>
      </c>
      <c r="B465" s="1">
        <f>D361</f>
        <v>601232886</v>
      </c>
      <c r="C465" s="1">
        <f>CE75</f>
        <v>601232886</v>
      </c>
      <c r="D465" s="1">
        <f>D463+D464</f>
        <v>601232885.97000003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6">C267</f>
        <v>13131163</v>
      </c>
      <c r="C468" s="1">
        <f>E195</f>
        <v>13131162.960000005</v>
      </c>
    </row>
    <row r="469" spans="1:7" ht="12.65" customHeight="1" x14ac:dyDescent="0.3">
      <c r="A469" s="1" t="s">
        <v>333</v>
      </c>
      <c r="B469" s="1">
        <f t="shared" si="16"/>
        <v>1013700</v>
      </c>
      <c r="C469" s="1">
        <f>E196</f>
        <v>1013700.79</v>
      </c>
    </row>
    <row r="470" spans="1:7" ht="12.65" customHeight="1" x14ac:dyDescent="0.3">
      <c r="A470" s="1" t="s">
        <v>334</v>
      </c>
      <c r="B470" s="1">
        <f t="shared" si="16"/>
        <v>18917766</v>
      </c>
      <c r="C470" s="1">
        <f>E197</f>
        <v>18917766.530000009</v>
      </c>
    </row>
    <row r="471" spans="1:7" ht="12.65" customHeight="1" x14ac:dyDescent="0.3">
      <c r="A471" s="1" t="s">
        <v>494</v>
      </c>
      <c r="B471" s="1">
        <f t="shared" si="16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6"/>
        <v>0</v>
      </c>
      <c r="C472" s="1">
        <f>E199</f>
        <v>0</v>
      </c>
    </row>
    <row r="473" spans="1:7" ht="12.65" customHeight="1" x14ac:dyDescent="0.3">
      <c r="A473" s="1" t="s">
        <v>495</v>
      </c>
      <c r="B473" s="1">
        <f t="shared" si="16"/>
        <v>18426323</v>
      </c>
      <c r="C473" s="1">
        <f>SUM(E200:E201)</f>
        <v>18426324.280000001</v>
      </c>
    </row>
    <row r="474" spans="1:7" ht="12.65" customHeight="1" x14ac:dyDescent="0.3">
      <c r="A474" s="1" t="s">
        <v>339</v>
      </c>
      <c r="B474" s="1">
        <f t="shared" si="16"/>
        <v>15814662</v>
      </c>
      <c r="C474" s="1">
        <f>E202</f>
        <v>15814662.359999999</v>
      </c>
    </row>
    <row r="475" spans="1:7" ht="12.65" customHeight="1" x14ac:dyDescent="0.3">
      <c r="A475" s="1" t="s">
        <v>340</v>
      </c>
      <c r="B475" s="1">
        <f t="shared" si="16"/>
        <v>18471375</v>
      </c>
      <c r="C475" s="1">
        <f>E203</f>
        <v>18471374.979999997</v>
      </c>
    </row>
    <row r="476" spans="1:7" ht="12.65" customHeight="1" x14ac:dyDescent="0.3">
      <c r="A476" s="1" t="s">
        <v>203</v>
      </c>
      <c r="B476" s="1">
        <f>D275</f>
        <v>85774989</v>
      </c>
      <c r="C476" s="1">
        <f>E204</f>
        <v>85774991.900000006</v>
      </c>
    </row>
    <row r="478" spans="1:7" ht="12.65" customHeight="1" x14ac:dyDescent="0.3">
      <c r="A478" s="1" t="s">
        <v>496</v>
      </c>
      <c r="B478" s="1">
        <f>C276</f>
        <v>23155668</v>
      </c>
      <c r="C478" s="1">
        <f>E217</f>
        <v>23155668.419999998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120379909.46000001</v>
      </c>
    </row>
    <row r="482" spans="1:12" ht="12.65" customHeight="1" x14ac:dyDescent="0.3">
      <c r="A482" s="1" t="s">
        <v>499</v>
      </c>
      <c r="C482" s="1">
        <f>D339</f>
        <v>120379908.53999999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039</v>
      </c>
      <c r="B493" s="202" t="str">
        <f>RIGHT('Prior Year'!C82,4)</f>
        <v>2020</v>
      </c>
      <c r="C493" s="202" t="str">
        <f>RIGHT(C82,4)</f>
        <v>2021</v>
      </c>
      <c r="D493" s="202" t="str">
        <f>RIGHT('Prior Year'!C82,4)</f>
        <v>2020</v>
      </c>
      <c r="E493" s="202" t="str">
        <f>RIGHT(C82,4)</f>
        <v>2021</v>
      </c>
      <c r="F493" s="202" t="str">
        <f>RIGHT('Prior Year'!C82,4)</f>
        <v>2020</v>
      </c>
      <c r="G493" s="202" t="str">
        <f>RIGHT(C82,4)</f>
        <v>2021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'Prior Year'!C71</f>
        <v>5409176.2800000012</v>
      </c>
      <c r="C496" s="185">
        <f>C71</f>
        <v>7908644</v>
      </c>
      <c r="D496" s="185">
        <f>'Prior Year'!C59</f>
        <v>4094</v>
      </c>
      <c r="E496" s="1">
        <f>C59</f>
        <v>4427</v>
      </c>
      <c r="F496" s="204">
        <f t="shared" ref="F496:G511" si="17">IF(B496=0,"",IF(D496=0,"",B496/D496))</f>
        <v>1321.244816805081</v>
      </c>
      <c r="G496" s="204">
        <f t="shared" si="17"/>
        <v>1786.4567427151569</v>
      </c>
      <c r="H496" s="205">
        <f>IF(B496=0,"",IF(C496=0,"",IF(D496=0,"",IF(E496=0,"",IF(G496/F496-1&lt;-0.25,G496/F496-1,IF(G496/F496-1&gt;0.25,G496/F496-1,""))))))</f>
        <v>0.352101230591777</v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'Prior Year'!D71</f>
        <v>83.27000000000001</v>
      </c>
      <c r="C497" s="185">
        <f>D71</f>
        <v>0</v>
      </c>
      <c r="D497" s="185">
        <f>'Prior Year'!D59</f>
        <v>0</v>
      </c>
      <c r="E497" s="1">
        <f>D59</f>
        <v>0</v>
      </c>
      <c r="F497" s="204" t="str">
        <f t="shared" si="17"/>
        <v/>
      </c>
      <c r="G497" s="204" t="str">
        <f t="shared" si="17"/>
        <v/>
      </c>
      <c r="H497" s="205" t="str">
        <f t="shared" ref="H497:H550" si="18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'Prior Year'!E71</f>
        <v>7729082.0900000017</v>
      </c>
      <c r="C498" s="185">
        <f>E71</f>
        <v>8858390</v>
      </c>
      <c r="D498" s="185">
        <f>'Prior Year'!E59</f>
        <v>11916</v>
      </c>
      <c r="E498" s="1">
        <f>E59</f>
        <v>14217</v>
      </c>
      <c r="F498" s="204">
        <f t="shared" si="17"/>
        <v>648.63058828465944</v>
      </c>
      <c r="G498" s="204">
        <f t="shared" si="17"/>
        <v>623.08433565449809</v>
      </c>
      <c r="H498" s="205" t="str">
        <f t="shared" si="18"/>
        <v/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'Prior Year'!F71</f>
        <v>6019530.6000000006</v>
      </c>
      <c r="C499" s="185">
        <f>F71</f>
        <v>6633626</v>
      </c>
      <c r="D499" s="185">
        <f>'Prior Year'!F59</f>
        <v>2915</v>
      </c>
      <c r="E499" s="1">
        <f>F59</f>
        <v>2789</v>
      </c>
      <c r="F499" s="204">
        <f t="shared" si="17"/>
        <v>2065.0190737564326</v>
      </c>
      <c r="G499" s="204">
        <f t="shared" si="17"/>
        <v>2378.4962352097527</v>
      </c>
      <c r="H499" s="205" t="str">
        <f t="shared" si="18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'Prior Year'!G71</f>
        <v>0</v>
      </c>
      <c r="C500" s="185">
        <f>G71</f>
        <v>0</v>
      </c>
      <c r="D500" s="185">
        <f>'Prior Year'!G59</f>
        <v>0</v>
      </c>
      <c r="E500" s="1">
        <f>G59</f>
        <v>0</v>
      </c>
      <c r="F500" s="204" t="str">
        <f t="shared" si="17"/>
        <v/>
      </c>
      <c r="G500" s="204" t="str">
        <f t="shared" si="17"/>
        <v/>
      </c>
      <c r="H500" s="205" t="str">
        <f t="shared" si="18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'Prior Year'!H71</f>
        <v>0</v>
      </c>
      <c r="C501" s="185">
        <f>H71</f>
        <v>0</v>
      </c>
      <c r="D501" s="185">
        <f>'Prior Year'!H59</f>
        <v>0</v>
      </c>
      <c r="E501" s="1">
        <f>H59</f>
        <v>0</v>
      </c>
      <c r="F501" s="204" t="str">
        <f t="shared" si="17"/>
        <v/>
      </c>
      <c r="G501" s="204" t="str">
        <f t="shared" si="17"/>
        <v/>
      </c>
      <c r="H501" s="205" t="str">
        <f t="shared" si="18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'Prior Year'!I71</f>
        <v>0</v>
      </c>
      <c r="C502" s="185">
        <f>I71</f>
        <v>0</v>
      </c>
      <c r="D502" s="185">
        <f>'Prior Year'!I59</f>
        <v>0</v>
      </c>
      <c r="E502" s="1">
        <f>I59</f>
        <v>0</v>
      </c>
      <c r="F502" s="204" t="str">
        <f t="shared" si="17"/>
        <v/>
      </c>
      <c r="G502" s="204" t="str">
        <f t="shared" si="17"/>
        <v/>
      </c>
      <c r="H502" s="205" t="str">
        <f t="shared" si="18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'Prior Year'!J71</f>
        <v>1779739.1400000001</v>
      </c>
      <c r="C503" s="185">
        <f>J71</f>
        <v>2008327</v>
      </c>
      <c r="D503" s="185">
        <f>'Prior Year'!J59</f>
        <v>3513</v>
      </c>
      <c r="E503" s="1">
        <f>J59</f>
        <v>2032</v>
      </c>
      <c r="F503" s="204">
        <f t="shared" si="17"/>
        <v>506.61518360375749</v>
      </c>
      <c r="G503" s="204">
        <f t="shared" si="17"/>
        <v>988.3499015748032</v>
      </c>
      <c r="H503" s="205">
        <f t="shared" si="18"/>
        <v>0.95088882757968873</v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'Prior Year'!K71</f>
        <v>0</v>
      </c>
      <c r="C504" s="185">
        <f>K71</f>
        <v>0</v>
      </c>
      <c r="D504" s="185">
        <f>'Prior Year'!K59</f>
        <v>0</v>
      </c>
      <c r="E504" s="1">
        <f>K59</f>
        <v>0</v>
      </c>
      <c r="F504" s="204" t="str">
        <f t="shared" si="17"/>
        <v/>
      </c>
      <c r="G504" s="204" t="str">
        <f t="shared" si="17"/>
        <v/>
      </c>
      <c r="H504" s="205" t="str">
        <f t="shared" si="18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'Prior Year'!L71</f>
        <v>0</v>
      </c>
      <c r="C505" s="185">
        <f>L71</f>
        <v>0</v>
      </c>
      <c r="D505" s="185">
        <f>'Prior Year'!L59</f>
        <v>0</v>
      </c>
      <c r="E505" s="1">
        <f>L59</f>
        <v>0</v>
      </c>
      <c r="F505" s="204" t="str">
        <f t="shared" si="17"/>
        <v/>
      </c>
      <c r="G505" s="204" t="str">
        <f t="shared" si="17"/>
        <v/>
      </c>
      <c r="H505" s="205" t="str">
        <f t="shared" si="18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'Prior Year'!M71</f>
        <v>0</v>
      </c>
      <c r="C506" s="185">
        <f>M71</f>
        <v>0</v>
      </c>
      <c r="D506" s="185">
        <f>'Prior Year'!M59</f>
        <v>0</v>
      </c>
      <c r="E506" s="1">
        <f>M59</f>
        <v>0</v>
      </c>
      <c r="F506" s="204" t="str">
        <f t="shared" si="17"/>
        <v/>
      </c>
      <c r="G506" s="204" t="str">
        <f t="shared" si="17"/>
        <v/>
      </c>
      <c r="H506" s="205" t="str">
        <f t="shared" si="18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'Prior Year'!N71</f>
        <v>0</v>
      </c>
      <c r="C507" s="185">
        <f>N71</f>
        <v>0</v>
      </c>
      <c r="D507" s="185">
        <f>'Prior Year'!N59</f>
        <v>0</v>
      </c>
      <c r="E507" s="1">
        <f>N59</f>
        <v>0</v>
      </c>
      <c r="F507" s="204" t="str">
        <f t="shared" si="17"/>
        <v/>
      </c>
      <c r="G507" s="204" t="str">
        <f t="shared" si="17"/>
        <v/>
      </c>
      <c r="H507" s="205" t="str">
        <f t="shared" si="18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'Prior Year'!O71</f>
        <v>0</v>
      </c>
      <c r="C508" s="185">
        <f>O71</f>
        <v>0</v>
      </c>
      <c r="D508" s="185">
        <f>'Prior Year'!O59</f>
        <v>0</v>
      </c>
      <c r="E508" s="1">
        <f>O59</f>
        <v>0</v>
      </c>
      <c r="F508" s="204" t="str">
        <f t="shared" si="17"/>
        <v/>
      </c>
      <c r="G508" s="204" t="str">
        <f t="shared" si="17"/>
        <v/>
      </c>
      <c r="H508" s="205" t="str">
        <f t="shared" si="18"/>
        <v/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'Prior Year'!P71</f>
        <v>9401593.7200000007</v>
      </c>
      <c r="C509" s="185">
        <f>P71</f>
        <v>9030592</v>
      </c>
      <c r="D509" s="185">
        <f>'Prior Year'!P59</f>
        <v>250834</v>
      </c>
      <c r="E509" s="1">
        <f>P59</f>
        <v>269125</v>
      </c>
      <c r="F509" s="204">
        <f t="shared" si="17"/>
        <v>37.481337139303285</v>
      </c>
      <c r="G509" s="204">
        <f t="shared" si="17"/>
        <v>33.555381328379006</v>
      </c>
      <c r="H509" s="205" t="str">
        <f t="shared" si="18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'Prior Year'!Q71</f>
        <v>690339.66</v>
      </c>
      <c r="C510" s="185">
        <f>Q71</f>
        <v>925628</v>
      </c>
      <c r="D510" s="185">
        <f>'Prior Year'!Q59</f>
        <v>125744</v>
      </c>
      <c r="E510" s="1">
        <f>Q59</f>
        <v>116970</v>
      </c>
      <c r="F510" s="204">
        <f t="shared" si="17"/>
        <v>5.4900405585952416</v>
      </c>
      <c r="G510" s="204">
        <f t="shared" si="17"/>
        <v>7.913379499016842</v>
      </c>
      <c r="H510" s="205">
        <f t="shared" si="18"/>
        <v>0.44140638207628635</v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'Prior Year'!R71</f>
        <v>343324.58</v>
      </c>
      <c r="C511" s="185">
        <f>R71</f>
        <v>788096</v>
      </c>
      <c r="D511" s="185">
        <f>'Prior Year'!R59</f>
        <v>0</v>
      </c>
      <c r="E511" s="1">
        <f>R59</f>
        <v>0</v>
      </c>
      <c r="F511" s="204" t="str">
        <f t="shared" si="17"/>
        <v/>
      </c>
      <c r="G511" s="204" t="str">
        <f t="shared" si="17"/>
        <v/>
      </c>
      <c r="H511" s="205" t="str">
        <f t="shared" si="18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'Prior Year'!S71</f>
        <v>788869.2699999999</v>
      </c>
      <c r="C512" s="185">
        <f>S71</f>
        <v>1023899</v>
      </c>
      <c r="D512" s="134" t="s">
        <v>529</v>
      </c>
      <c r="E512" s="134" t="s">
        <v>529</v>
      </c>
      <c r="F512" s="204" t="str">
        <f t="shared" ref="F512:G527" si="19">IF(B512=0,"",IF(D512=0,"",B512/D512))</f>
        <v/>
      </c>
      <c r="G512" s="204" t="str">
        <f t="shared" si="19"/>
        <v/>
      </c>
      <c r="H512" s="205" t="str">
        <f t="shared" si="18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'Prior Year'!T71</f>
        <v>272375.12</v>
      </c>
      <c r="C513" s="185">
        <f>T71</f>
        <v>117040</v>
      </c>
      <c r="D513" s="134" t="s">
        <v>529</v>
      </c>
      <c r="E513" s="134" t="s">
        <v>529</v>
      </c>
      <c r="F513" s="204" t="str">
        <f t="shared" si="19"/>
        <v/>
      </c>
      <c r="G513" s="204" t="str">
        <f t="shared" si="19"/>
        <v/>
      </c>
      <c r="H513" s="205" t="str">
        <f t="shared" si="18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'Prior Year'!U71</f>
        <v>5957907.04</v>
      </c>
      <c r="C514" s="185">
        <f>U71</f>
        <v>6410308</v>
      </c>
      <c r="D514" s="185">
        <f>'Prior Year'!U59</f>
        <v>334281</v>
      </c>
      <c r="E514" s="1">
        <f>U59</f>
        <v>365576</v>
      </c>
      <c r="F514" s="204">
        <f t="shared" si="19"/>
        <v>17.823050188314621</v>
      </c>
      <c r="G514" s="204">
        <f t="shared" si="19"/>
        <v>17.534816289909621</v>
      </c>
      <c r="H514" s="205" t="str">
        <f t="shared" si="18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'Prior Year'!V71</f>
        <v>71741.259999999995</v>
      </c>
      <c r="C515" s="185">
        <f>V71</f>
        <v>76144</v>
      </c>
      <c r="D515" s="185">
        <f>'Prior Year'!V59</f>
        <v>407</v>
      </c>
      <c r="E515" s="1">
        <f>V59</f>
        <v>326</v>
      </c>
      <c r="F515" s="204">
        <f t="shared" si="19"/>
        <v>176.26845208845208</v>
      </c>
      <c r="G515" s="204">
        <f t="shared" si="19"/>
        <v>233.57055214723925</v>
      </c>
      <c r="H515" s="205">
        <f t="shared" si="18"/>
        <v>0.32508426425639003</v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'Prior Year'!W71</f>
        <v>714951.68000000005</v>
      </c>
      <c r="C516" s="185">
        <f>W71</f>
        <v>438349</v>
      </c>
      <c r="D516" s="185">
        <f>'Prior Year'!W59</f>
        <v>2269</v>
      </c>
      <c r="E516" s="1">
        <f>W59</f>
        <v>2535</v>
      </c>
      <c r="F516" s="204">
        <f t="shared" si="19"/>
        <v>315.09549581313354</v>
      </c>
      <c r="G516" s="204">
        <f t="shared" si="19"/>
        <v>172.91873767258383</v>
      </c>
      <c r="H516" s="205">
        <f t="shared" si="18"/>
        <v>-0.4512179959083491</v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'Prior Year'!X71</f>
        <v>1040966.477</v>
      </c>
      <c r="C517" s="185">
        <f>X71</f>
        <v>941918</v>
      </c>
      <c r="D517" s="185">
        <f>'Prior Year'!X59</f>
        <v>11097</v>
      </c>
      <c r="E517" s="1">
        <f>X59</f>
        <v>12433</v>
      </c>
      <c r="F517" s="204">
        <f t="shared" si="19"/>
        <v>93.806116698206722</v>
      </c>
      <c r="G517" s="204">
        <f t="shared" si="19"/>
        <v>75.75951097884662</v>
      </c>
      <c r="H517" s="205" t="str">
        <f t="shared" si="18"/>
        <v/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'Prior Year'!Y71</f>
        <v>7285885.290000001</v>
      </c>
      <c r="C518" s="185">
        <f>Y71</f>
        <v>11674385</v>
      </c>
      <c r="D518" s="185">
        <f>'Prior Year'!Y59</f>
        <v>44620</v>
      </c>
      <c r="E518" s="1">
        <f>Y59</f>
        <v>48421</v>
      </c>
      <c r="F518" s="204">
        <f t="shared" si="19"/>
        <v>163.28743366203497</v>
      </c>
      <c r="G518" s="204">
        <f t="shared" si="19"/>
        <v>241.10169141488197</v>
      </c>
      <c r="H518" s="205">
        <f t="shared" si="18"/>
        <v>0.4765477416584516</v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'Prior Year'!Z71</f>
        <v>9178194.6799999997</v>
      </c>
      <c r="C519" s="185">
        <f>Z71</f>
        <v>0</v>
      </c>
      <c r="D519" s="185">
        <f>'Prior Year'!Z59</f>
        <v>729652</v>
      </c>
      <c r="E519" s="1">
        <f>Z59</f>
        <v>840779</v>
      </c>
      <c r="F519" s="204">
        <f t="shared" si="19"/>
        <v>12.57886592512595</v>
      </c>
      <c r="G519" s="204" t="str">
        <f t="shared" si="19"/>
        <v/>
      </c>
      <c r="H519" s="205" t="str">
        <f t="shared" si="18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'Prior Year'!AA71</f>
        <v>651391.78</v>
      </c>
      <c r="C520" s="185">
        <f>AA71</f>
        <v>581600</v>
      </c>
      <c r="D520" s="185">
        <f>'Prior Year'!AA59</f>
        <v>1002</v>
      </c>
      <c r="E520" s="1">
        <f>AA59</f>
        <v>909</v>
      </c>
      <c r="F520" s="204">
        <f t="shared" si="19"/>
        <v>650.0915968063872</v>
      </c>
      <c r="G520" s="204">
        <f t="shared" si="19"/>
        <v>639.82398239823988</v>
      </c>
      <c r="H520" s="205" t="str">
        <f t="shared" si="18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'Prior Year'!AB71</f>
        <v>7417009.3999999994</v>
      </c>
      <c r="C521" s="185">
        <f>AB71</f>
        <v>12316539</v>
      </c>
      <c r="D521" s="134" t="s">
        <v>529</v>
      </c>
      <c r="E521" s="134" t="s">
        <v>529</v>
      </c>
      <c r="F521" s="204" t="str">
        <f t="shared" si="19"/>
        <v/>
      </c>
      <c r="G521" s="204" t="str">
        <f t="shared" si="19"/>
        <v/>
      </c>
      <c r="H521" s="205" t="str">
        <f t="shared" si="18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'Prior Year'!AC71</f>
        <v>1904081.78</v>
      </c>
      <c r="C522" s="185">
        <f>AC71</f>
        <v>2390973</v>
      </c>
      <c r="D522" s="185">
        <f>'Prior Year'!AC59</f>
        <v>59135</v>
      </c>
      <c r="E522" s="1">
        <f>AC59</f>
        <v>47701</v>
      </c>
      <c r="F522" s="204">
        <f t="shared" si="19"/>
        <v>32.198897099856261</v>
      </c>
      <c r="G522" s="204">
        <f t="shared" si="19"/>
        <v>50.12416930462674</v>
      </c>
      <c r="H522" s="205">
        <f t="shared" si="18"/>
        <v>0.55670454019527571</v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'Prior Year'!AD71</f>
        <v>0</v>
      </c>
      <c r="C523" s="185">
        <f>AD71</f>
        <v>0</v>
      </c>
      <c r="D523" s="185">
        <f>'Prior Year'!AD59</f>
        <v>0</v>
      </c>
      <c r="E523" s="1">
        <f>AD59</f>
        <v>0</v>
      </c>
      <c r="F523" s="204" t="str">
        <f t="shared" si="19"/>
        <v/>
      </c>
      <c r="G523" s="204" t="str">
        <f t="shared" si="19"/>
        <v/>
      </c>
      <c r="H523" s="205" t="str">
        <f t="shared" si="18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'Prior Year'!AE71</f>
        <v>1187350.8800000001</v>
      </c>
      <c r="C524" s="185">
        <f>AE71</f>
        <v>1387400</v>
      </c>
      <c r="D524" s="185">
        <f>'Prior Year'!AE59</f>
        <v>23438</v>
      </c>
      <c r="E524" s="1">
        <f>AE59</f>
        <v>31187</v>
      </c>
      <c r="F524" s="204">
        <f t="shared" si="19"/>
        <v>50.65922348323236</v>
      </c>
      <c r="G524" s="204">
        <f t="shared" si="19"/>
        <v>44.48648475326258</v>
      </c>
      <c r="H524" s="205" t="str">
        <f t="shared" si="18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'Prior Year'!AF71</f>
        <v>447546.26</v>
      </c>
      <c r="C525" s="185">
        <f>AF71</f>
        <v>0</v>
      </c>
      <c r="D525" s="185">
        <f>'Prior Year'!AF59</f>
        <v>0</v>
      </c>
      <c r="E525" s="1">
        <f>AF59</f>
        <v>0</v>
      </c>
      <c r="F525" s="204" t="str">
        <f t="shared" si="19"/>
        <v/>
      </c>
      <c r="G525" s="204" t="str">
        <f t="shared" si="19"/>
        <v/>
      </c>
      <c r="H525" s="205" t="str">
        <f t="shared" si="18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'Prior Year'!AG71</f>
        <v>8145897.9199999981</v>
      </c>
      <c r="C526" s="185">
        <f>AG71</f>
        <v>8382861</v>
      </c>
      <c r="D526" s="185">
        <f>'Prior Year'!AG59</f>
        <v>23010</v>
      </c>
      <c r="E526" s="1">
        <f>AG59</f>
        <v>22406</v>
      </c>
      <c r="F526" s="204">
        <f t="shared" si="19"/>
        <v>354.01555497609729</v>
      </c>
      <c r="G526" s="204">
        <f t="shared" si="19"/>
        <v>374.13465143265199</v>
      </c>
      <c r="H526" s="205" t="str">
        <f t="shared" si="18"/>
        <v/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'Prior Year'!AH71</f>
        <v>0</v>
      </c>
      <c r="C527" s="185">
        <f>AH71</f>
        <v>0</v>
      </c>
      <c r="D527" s="185">
        <f>'Prior Year'!AH59</f>
        <v>0</v>
      </c>
      <c r="E527" s="1">
        <f>AH59</f>
        <v>0</v>
      </c>
      <c r="F527" s="204" t="str">
        <f t="shared" si="19"/>
        <v/>
      </c>
      <c r="G527" s="204" t="str">
        <f t="shared" si="19"/>
        <v/>
      </c>
      <c r="H527" s="205" t="str">
        <f t="shared" si="18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'Prior Year'!AI71</f>
        <v>2962565.4599999995</v>
      </c>
      <c r="C528" s="185">
        <f>AI71</f>
        <v>3585529</v>
      </c>
      <c r="D528" s="185">
        <f>'Prior Year'!AI59</f>
        <v>31249</v>
      </c>
      <c r="E528" s="1">
        <f>AI59</f>
        <v>157356</v>
      </c>
      <c r="F528" s="204">
        <f t="shared" ref="F528:G540" si="20">IF(B528=0,"",IF(D528=0,"",B528/D528))</f>
        <v>94.805128484111478</v>
      </c>
      <c r="G528" s="204">
        <f t="shared" si="20"/>
        <v>22.786096494572817</v>
      </c>
      <c r="H528" s="205">
        <f t="shared" si="18"/>
        <v>-0.75965333459369166</v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'Prior Year'!AJ71</f>
        <v>1369610.7200000002</v>
      </c>
      <c r="C529" s="185">
        <f>AJ71</f>
        <v>1923357</v>
      </c>
      <c r="D529" s="185">
        <f>'Prior Year'!AJ59</f>
        <v>6124</v>
      </c>
      <c r="E529" s="1">
        <f>AJ59</f>
        <v>7719</v>
      </c>
      <c r="F529" s="204">
        <f t="shared" si="20"/>
        <v>223.64642717178319</v>
      </c>
      <c r="G529" s="204">
        <f t="shared" si="20"/>
        <v>249.17178390983287</v>
      </c>
      <c r="H529" s="205" t="str">
        <f t="shared" si="18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'Prior Year'!AK71</f>
        <v>0</v>
      </c>
      <c r="C530" s="185">
        <f>AK71</f>
        <v>0</v>
      </c>
      <c r="D530" s="185">
        <f>'Prior Year'!AK59</f>
        <v>0</v>
      </c>
      <c r="E530" s="1">
        <f>AK59</f>
        <v>0</v>
      </c>
      <c r="F530" s="204" t="str">
        <f t="shared" si="20"/>
        <v/>
      </c>
      <c r="G530" s="204" t="str">
        <f t="shared" si="20"/>
        <v/>
      </c>
      <c r="H530" s="205" t="str">
        <f t="shared" si="18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'Prior Year'!AL71</f>
        <v>130473.24</v>
      </c>
      <c r="C531" s="185">
        <f>AL71</f>
        <v>278053</v>
      </c>
      <c r="D531" s="185">
        <f>'Prior Year'!AL59</f>
        <v>0</v>
      </c>
      <c r="E531" s="1">
        <f>AL59</f>
        <v>4420</v>
      </c>
      <c r="F531" s="204" t="str">
        <f t="shared" si="20"/>
        <v/>
      </c>
      <c r="G531" s="204">
        <f t="shared" si="20"/>
        <v>62.9079185520362</v>
      </c>
      <c r="H531" s="205" t="str">
        <f t="shared" si="18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'Prior Year'!AM71</f>
        <v>0</v>
      </c>
      <c r="C532" s="185">
        <f>AM71</f>
        <v>0</v>
      </c>
      <c r="D532" s="185">
        <f>'Prior Year'!AM59</f>
        <v>0</v>
      </c>
      <c r="E532" s="1">
        <f>AM59</f>
        <v>0</v>
      </c>
      <c r="F532" s="204" t="str">
        <f t="shared" si="20"/>
        <v/>
      </c>
      <c r="G532" s="204" t="str">
        <f t="shared" si="20"/>
        <v/>
      </c>
      <c r="H532" s="205" t="str">
        <f t="shared" si="18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'Prior Year'!AN71</f>
        <v>0</v>
      </c>
      <c r="C533" s="185">
        <f>AN71</f>
        <v>0</v>
      </c>
      <c r="D533" s="185">
        <f>'Prior Year'!AN59</f>
        <v>0</v>
      </c>
      <c r="E533" s="1">
        <f>AN59</f>
        <v>0</v>
      </c>
      <c r="F533" s="204" t="str">
        <f t="shared" si="20"/>
        <v/>
      </c>
      <c r="G533" s="204" t="str">
        <f t="shared" si="20"/>
        <v/>
      </c>
      <c r="H533" s="205" t="str">
        <f t="shared" si="18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'Prior Year'!AO71</f>
        <v>0</v>
      </c>
      <c r="C534" s="185">
        <f>AO71</f>
        <v>0</v>
      </c>
      <c r="D534" s="185">
        <f>'Prior Year'!AO59</f>
        <v>0</v>
      </c>
      <c r="E534" s="1">
        <f>AO59</f>
        <v>0</v>
      </c>
      <c r="F534" s="204" t="str">
        <f t="shared" si="20"/>
        <v/>
      </c>
      <c r="G534" s="204" t="str">
        <f t="shared" si="20"/>
        <v/>
      </c>
      <c r="H534" s="205" t="str">
        <f t="shared" si="18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'Prior Year'!AP71</f>
        <v>34762601.199999996</v>
      </c>
      <c r="C535" s="185">
        <f>AP71</f>
        <v>39709813.200000003</v>
      </c>
      <c r="D535" s="185">
        <f>'Prior Year'!AP59</f>
        <v>6007</v>
      </c>
      <c r="E535" s="1">
        <f>AP59</f>
        <v>6666</v>
      </c>
      <c r="F535" s="204">
        <f t="shared" si="20"/>
        <v>5787.01534875978</v>
      </c>
      <c r="G535" s="204">
        <f t="shared" si="20"/>
        <v>5957.067686768677</v>
      </c>
      <c r="H535" s="205" t="str">
        <f t="shared" si="18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'Prior Year'!AQ71</f>
        <v>0</v>
      </c>
      <c r="C536" s="185">
        <f>AQ71</f>
        <v>0</v>
      </c>
      <c r="D536" s="185">
        <f>'Prior Year'!AQ59</f>
        <v>0</v>
      </c>
      <c r="E536" s="1">
        <f>AQ59</f>
        <v>0</v>
      </c>
      <c r="F536" s="204" t="str">
        <f t="shared" si="20"/>
        <v/>
      </c>
      <c r="G536" s="204" t="str">
        <f t="shared" si="20"/>
        <v/>
      </c>
      <c r="H536" s="205" t="str">
        <f t="shared" si="18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'Prior Year'!AR71</f>
        <v>0</v>
      </c>
      <c r="C537" s="185">
        <f>AR71</f>
        <v>0</v>
      </c>
      <c r="D537" s="185">
        <f>'Prior Year'!AR59</f>
        <v>0</v>
      </c>
      <c r="E537" s="1">
        <f>AR59</f>
        <v>0</v>
      </c>
      <c r="F537" s="204" t="str">
        <f t="shared" si="20"/>
        <v/>
      </c>
      <c r="G537" s="204" t="str">
        <f t="shared" si="20"/>
        <v/>
      </c>
      <c r="H537" s="205" t="str">
        <f t="shared" si="18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'Prior Year'!AS71</f>
        <v>0</v>
      </c>
      <c r="C538" s="185">
        <f>AS71</f>
        <v>0</v>
      </c>
      <c r="D538" s="185">
        <f>'Prior Year'!AS59</f>
        <v>0</v>
      </c>
      <c r="E538" s="1">
        <f>AS59</f>
        <v>0</v>
      </c>
      <c r="F538" s="204" t="str">
        <f t="shared" si="20"/>
        <v/>
      </c>
      <c r="G538" s="204" t="str">
        <f t="shared" si="20"/>
        <v/>
      </c>
      <c r="H538" s="205" t="str">
        <f t="shared" si="18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'Prior Year'!AT71</f>
        <v>0</v>
      </c>
      <c r="C539" s="185">
        <f>AT71</f>
        <v>0</v>
      </c>
      <c r="D539" s="185">
        <f>'Prior Year'!AT59</f>
        <v>0</v>
      </c>
      <c r="E539" s="1">
        <f>AT59</f>
        <v>0</v>
      </c>
      <c r="F539" s="204" t="str">
        <f t="shared" si="20"/>
        <v/>
      </c>
      <c r="G539" s="204" t="str">
        <f t="shared" si="20"/>
        <v/>
      </c>
      <c r="H539" s="205" t="str">
        <f t="shared" si="18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'Prior Year'!AU71</f>
        <v>0</v>
      </c>
      <c r="C540" s="185">
        <f>AU71</f>
        <v>0</v>
      </c>
      <c r="D540" s="185">
        <f>'Prior Year'!AU59</f>
        <v>0</v>
      </c>
      <c r="E540" s="1">
        <f>AU59</f>
        <v>0</v>
      </c>
      <c r="F540" s="204" t="str">
        <f t="shared" si="20"/>
        <v/>
      </c>
      <c r="G540" s="204" t="str">
        <f t="shared" si="20"/>
        <v/>
      </c>
      <c r="H540" s="205" t="str">
        <f t="shared" si="18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'Prior Year'!AV71</f>
        <v>0</v>
      </c>
      <c r="C541" s="185">
        <f>AV71</f>
        <v>0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'Prior Year'!AW71</f>
        <v>2210004.0300000003</v>
      </c>
      <c r="C542" s="185">
        <f>AW71</f>
        <v>2812533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'Prior Year'!AY71</f>
        <v>1273284.1600000001</v>
      </c>
      <c r="C544" s="185">
        <f>AY71</f>
        <v>1396417</v>
      </c>
      <c r="D544" s="185">
        <f>'Prior Year'!AY59</f>
        <v>271970</v>
      </c>
      <c r="E544" s="1">
        <f>AY59</f>
        <v>278733</v>
      </c>
      <c r="F544" s="204">
        <f t="shared" ref="F544:G550" si="21">IF(B544=0,"",IF(D544=0,"",B544/D544))</f>
        <v>4.6817081295731153</v>
      </c>
      <c r="G544" s="204">
        <f t="shared" si="21"/>
        <v>5.0098732478752064</v>
      </c>
      <c r="H544" s="205" t="str">
        <f t="shared" si="18"/>
        <v/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'Prior Year'!AZ71</f>
        <v>0</v>
      </c>
      <c r="C545" s="185">
        <f>AZ71</f>
        <v>0</v>
      </c>
      <c r="D545" s="185">
        <f>'Prior Year'!AZ59</f>
        <v>0</v>
      </c>
      <c r="E545" s="1">
        <f>AZ59</f>
        <v>0</v>
      </c>
      <c r="F545" s="204" t="str">
        <f t="shared" si="21"/>
        <v/>
      </c>
      <c r="G545" s="204" t="str">
        <f t="shared" si="21"/>
        <v/>
      </c>
      <c r="H545" s="205" t="str">
        <f t="shared" si="18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'Prior Year'!BA71</f>
        <v>286831.99</v>
      </c>
      <c r="C546" s="185">
        <f>BA71</f>
        <v>368601</v>
      </c>
      <c r="D546" s="185">
        <f>'Prior Year'!BA59</f>
        <v>0</v>
      </c>
      <c r="E546" s="1">
        <f>BA59</f>
        <v>0</v>
      </c>
      <c r="F546" s="204" t="str">
        <f t="shared" si="21"/>
        <v/>
      </c>
      <c r="G546" s="204" t="str">
        <f t="shared" si="21"/>
        <v/>
      </c>
      <c r="H546" s="205" t="str">
        <f t="shared" si="18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'Prior Year'!BB71</f>
        <v>0</v>
      </c>
      <c r="C547" s="185">
        <f>BB71</f>
        <v>0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'Prior Year'!BD71</f>
        <v>357086.77</v>
      </c>
      <c r="C549" s="185">
        <f>BD71</f>
        <v>1454667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'Prior Year'!BE71</f>
        <v>3726039.33</v>
      </c>
      <c r="C550" s="185">
        <f>BE71</f>
        <v>2171400</v>
      </c>
      <c r="D550" s="185">
        <f>'Prior Year'!BE59</f>
        <v>517611</v>
      </c>
      <c r="E550" s="1">
        <f>BE59</f>
        <v>493713</v>
      </c>
      <c r="F550" s="204">
        <f t="shared" si="21"/>
        <v>7.1985319670563417</v>
      </c>
      <c r="G550" s="204">
        <f t="shared" si="21"/>
        <v>4.3981017311677029</v>
      </c>
      <c r="H550" s="205">
        <f t="shared" si="18"/>
        <v>-0.3890279641327764</v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'Prior Year'!BF71</f>
        <v>2128109.8400000003</v>
      </c>
      <c r="C551" s="185">
        <f>BF71</f>
        <v>2186001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'Prior Year'!BG71</f>
        <v>514124.7</v>
      </c>
      <c r="C552" s="185">
        <f>BG71</f>
        <v>565046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'Prior Year'!BH71</f>
        <v>3013179.75</v>
      </c>
      <c r="C553" s="185">
        <f>BH71</f>
        <v>3341766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'Prior Year'!BI71</f>
        <v>0</v>
      </c>
      <c r="C554" s="185">
        <f>BI71</f>
        <v>0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'Prior Year'!BJ71</f>
        <v>673619.11</v>
      </c>
      <c r="C555" s="185">
        <f>BJ71</f>
        <v>732694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'Prior Year'!BK71</f>
        <v>2325737.98</v>
      </c>
      <c r="C556" s="185">
        <f>BK71</f>
        <v>713920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'Prior Year'!BL71</f>
        <v>1333131.73</v>
      </c>
      <c r="C557" s="185">
        <f>BL71</f>
        <v>567987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'Prior Year'!BM71</f>
        <v>0</v>
      </c>
      <c r="C558" s="185">
        <f>BM71</f>
        <v>0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'Prior Year'!BN71</f>
        <v>3351589.5399999996</v>
      </c>
      <c r="C559" s="185">
        <f>BN71</f>
        <v>1857948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'Prior Year'!BO71</f>
        <v>238681.06</v>
      </c>
      <c r="C560" s="185">
        <f>BO71</f>
        <v>450402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'Prior Year'!BP71</f>
        <v>275939.43</v>
      </c>
      <c r="C561" s="185">
        <f>BP71</f>
        <v>1553095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'Prior Year'!BQ71</f>
        <v>0</v>
      </c>
      <c r="C562" s="185">
        <f>BQ71</f>
        <v>-660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'Prior Year'!BR71</f>
        <v>821585.67</v>
      </c>
      <c r="C563" s="185">
        <f>BR71</f>
        <v>630539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'Prior Year'!BS71</f>
        <v>38407.090000000004</v>
      </c>
      <c r="C564" s="185">
        <f>BS71</f>
        <v>23992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'Prior Year'!BT71</f>
        <v>78826.490000000005</v>
      </c>
      <c r="C565" s="185">
        <f>BT71</f>
        <v>75496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'Prior Year'!BV71</f>
        <v>1091053.68</v>
      </c>
      <c r="C567" s="185">
        <f>BV71</f>
        <v>1075973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'Prior Year'!BW71</f>
        <v>363098.41000000003</v>
      </c>
      <c r="C568" s="185">
        <f>BW71</f>
        <v>415593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'Prior Year'!BX71</f>
        <v>1597916.37</v>
      </c>
      <c r="C569" s="185">
        <f>BX71</f>
        <v>1651257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'Prior Year'!BY71</f>
        <v>1048296.6499999999</v>
      </c>
      <c r="C570" s="185">
        <f>BY71</f>
        <v>1073441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'Prior Year'!CA71</f>
        <v>307349.17</v>
      </c>
      <c r="C572" s="185">
        <f>CA71</f>
        <v>347695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'Prior Year'!CB71</f>
        <v>197816.75</v>
      </c>
      <c r="C573" s="185">
        <f>CB71</f>
        <v>150827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'Prior Year'!CC71</f>
        <v>3465618.46</v>
      </c>
      <c r="C574" s="185">
        <f>CC71</f>
        <v>5075260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'Prior Year'!CD71</f>
        <v>19049542.23</v>
      </c>
      <c r="C575" s="185">
        <f>CD71</f>
        <v>12116694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464720</v>
      </c>
      <c r="E612" s="1">
        <f>SUM(C624:D647)+SUM(C668:D713)</f>
        <v>156795866.33760116</v>
      </c>
      <c r="F612" s="1">
        <f>CE64-(AX64+BD64+BE64+BG64+BJ64+BN64+BP64+BQ64+CB64+CC64+CD64)</f>
        <v>32517372</v>
      </c>
      <c r="G612" s="1">
        <f>CE77-(AX77+AY77+BD77+BE77+BG77+BJ77+BN77+BP77+BQ77+CB77+CC77+CD77)</f>
        <v>56341</v>
      </c>
      <c r="H612" s="148">
        <f>CE60-(AX60+AY60+AZ60+BD60+BE60+BG60+BJ60+BN60+BO60+BP60+BQ60+BR60+CB60+CC60+CD60)</f>
        <v>701.26</v>
      </c>
      <c r="I612" s="1">
        <f>CE78-(AX78+AY78+AZ78+BD78+BE78+BF78+BG78+BJ78+BN78+BO78+BP78+BQ78+BR78+CB78+CC78+CD78)</f>
        <v>45300.027821831711</v>
      </c>
      <c r="J612" s="1">
        <f>CE79-(AX79+AY79+AZ79+BA79+BD79+BE79+BF79+BG79+BJ79+BN79+BO79+BP79+BQ79+BR79+CB79+CC79+CD79)</f>
        <v>504499</v>
      </c>
      <c r="K612" s="1">
        <f>CE75-(AW75+AX75+AY75+AZ75+BA75+BB75+BC75+BD75+BE75+BF75+BG75+BH75+BI75+BJ75+BK75+BL75+BM75+BN75+BO75+BP75+BQ75+BR75+BS75+BT75+BU75+BV75+BW75+BX75+CB75+CC75+CD75)</f>
        <v>601232886</v>
      </c>
      <c r="L612" s="148">
        <f>CE80-(AW80+AX80+AY80+AZ80+BA80+BB80+BC80+BD80+BE80+BF80+BG80+BH80+BI80+BJ80+BK80+BL80+BM80+BN80+BO80+BP80+BQ80+BR80+BS80+BT80+BU80+BV80+BW80+BX80+BY80+BZ80+CA80+CB80+CC80+CD80)</f>
        <v>186.70000250000001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2171400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1">
        <f>CD69-CD70</f>
        <v>12116694</v>
      </c>
      <c r="D615" s="206">
        <f>SUM(C614:C615)</f>
        <v>14288094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732694</v>
      </c>
      <c r="D617" s="1">
        <f>(D615/D612)*BJ76</f>
        <v>19738.673498020315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565046</v>
      </c>
      <c r="D618" s="1">
        <f>(D615/D612)*BG76</f>
        <v>44089.186598381821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1857948</v>
      </c>
      <c r="D619" s="1">
        <f>(D615/D612)*BN76</f>
        <v>52605.717064038559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5075260</v>
      </c>
      <c r="D620" s="1">
        <f>(D615/D612)*CC76</f>
        <v>3336051.0403468758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1553095</v>
      </c>
      <c r="D621" s="1">
        <f>(D615/D612)*BP76</f>
        <v>7993.855310724738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150827</v>
      </c>
      <c r="D622" s="1">
        <f>(D615/D612)*CB76</f>
        <v>9500.3895808228608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-660</v>
      </c>
      <c r="D623" s="1">
        <f>(D615/D612)*BQ76</f>
        <v>0</v>
      </c>
      <c r="E623" s="1">
        <f>SUM(C616:D623)</f>
        <v>13404188.862398865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1454667</v>
      </c>
      <c r="D624" s="1">
        <f>(D615/D612)*BD76</f>
        <v>316156.97753916337</v>
      </c>
      <c r="E624" s="1">
        <f>(E623/E612)*SUM(C624:D624)</f>
        <v>151384.46944699256</v>
      </c>
      <c r="F624" s="1">
        <f>SUM(C624:E624)</f>
        <v>1922208.4469861558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1396417</v>
      </c>
      <c r="D625" s="1">
        <f>(D615/D612)*AY76</f>
        <v>319723.46683164057</v>
      </c>
      <c r="E625" s="1">
        <f>(E623/E612)*SUM(C625:D625)</f>
        <v>146709.6771689587</v>
      </c>
      <c r="F625" s="1">
        <f>(F624/F612)*AY64</f>
        <v>23125.705439709396</v>
      </c>
      <c r="G625" s="1">
        <f>SUM(C625:F625)</f>
        <v>1885975.8494403085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630539</v>
      </c>
      <c r="D626" s="1">
        <f>(D615/D612)*BR76</f>
        <v>57801.723016009644</v>
      </c>
      <c r="E626" s="1">
        <f>(E623/E612)*SUM(C626:D626)</f>
        <v>58844.976391919969</v>
      </c>
      <c r="F626" s="1">
        <f>(F624/F612)*BR64</f>
        <v>1440.8270350642285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450402</v>
      </c>
      <c r="D627" s="1">
        <f>(D615/D612)*BO76</f>
        <v>7594.1625451885011</v>
      </c>
      <c r="E627" s="1">
        <f>(E623/E612)*SUM(C627:D627)</f>
        <v>39153.245582325842</v>
      </c>
      <c r="F627" s="1">
        <f>(F624/F612)*BO64</f>
        <v>350.24617144315886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1246126.1807419516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2186001</v>
      </c>
      <c r="D629" s="1">
        <f>(D615/D612)*BF76</f>
        <v>90822.494568772599</v>
      </c>
      <c r="E629" s="1">
        <f>(E623/E612)*SUM(C629:D629)</f>
        <v>194641.43309642893</v>
      </c>
      <c r="F629" s="1">
        <f>(F624/F612)*BF64</f>
        <v>8079.0116879555308</v>
      </c>
      <c r="G629" s="1">
        <f>(G625/G612)*BF77</f>
        <v>0</v>
      </c>
      <c r="H629" s="1">
        <f>(H628/H612)*BF60</f>
        <v>66938.900305948322</v>
      </c>
      <c r="I629" s="1">
        <f>SUM(C629:H629)</f>
        <v>2546482.8396591051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368601</v>
      </c>
      <c r="D630" s="1">
        <f>(D615/D612)*BA76</f>
        <v>52574.971466689618</v>
      </c>
      <c r="E630" s="1">
        <f>(E623/E612)*SUM(C630:D630)</f>
        <v>36005.555488869242</v>
      </c>
      <c r="F630" s="1">
        <f>(F624/F612)*BA64</f>
        <v>4393.9490581504542</v>
      </c>
      <c r="G630" s="1">
        <f>(G625/G612)*BA77</f>
        <v>0</v>
      </c>
      <c r="H630" s="1">
        <f>(H628/H612)*BA60</f>
        <v>0</v>
      </c>
      <c r="I630" s="1">
        <f>(I629/I612)*BA78</f>
        <v>13353.385677276232</v>
      </c>
      <c r="J630" s="1">
        <f>SUM(C630:I630)</f>
        <v>474928.86169098556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2812533</v>
      </c>
      <c r="D631" s="1">
        <f>(D615/D612)*AW76</f>
        <v>42890.108301773114</v>
      </c>
      <c r="E631" s="1">
        <f>(E623/E612)*SUM(C631:D631)</f>
        <v>244104.84485174436</v>
      </c>
      <c r="F631" s="1">
        <f>(F624/F612)*AW64</f>
        <v>2324.0976331576762</v>
      </c>
      <c r="G631" s="1">
        <f>(G625/G612)*AW77</f>
        <v>0</v>
      </c>
      <c r="H631" s="1">
        <f>(H628/H612)*AW60</f>
        <v>53558.228171523289</v>
      </c>
      <c r="I631" s="1">
        <f>(I629/I612)*AW78</f>
        <v>10893.551473567451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713920</v>
      </c>
      <c r="D635" s="1">
        <f>(D615/D612)*BK76</f>
        <v>126425.89629884662</v>
      </c>
      <c r="E635" s="1">
        <f>(E623/E612)*SUM(C635:D635)</f>
        <v>71839.617758024644</v>
      </c>
      <c r="F635" s="1">
        <f>(F624/F612)*BK64</f>
        <v>436.72889698262571</v>
      </c>
      <c r="G635" s="1">
        <f>(G625/G612)*BK77</f>
        <v>0</v>
      </c>
      <c r="H635" s="1">
        <f>(H628/H612)*BK60</f>
        <v>8920.448089616686</v>
      </c>
      <c r="I635" s="1">
        <f>(I629/I612)*BK78</f>
        <v>32110.597605239687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3341766</v>
      </c>
      <c r="D636" s="1">
        <f>(D615/D612)*BH76</f>
        <v>176664.2023670167</v>
      </c>
      <c r="E636" s="1">
        <f>(E623/E612)*SUM(C636:D636)</f>
        <v>300784.09611992381</v>
      </c>
      <c r="F636" s="1">
        <f>(F624/F612)*BH64</f>
        <v>2811.3092694504217</v>
      </c>
      <c r="G636" s="1">
        <f>(G625/G612)*BH77</f>
        <v>0</v>
      </c>
      <c r="H636" s="1">
        <f>(H628/H612)*BH60</f>
        <v>27187.819874728146</v>
      </c>
      <c r="I636" s="1">
        <f>(I629/I612)*BH78</f>
        <v>44870.499474636978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567987</v>
      </c>
      <c r="D637" s="1">
        <f>(D615/D612)*BL76</f>
        <v>180046.21807540025</v>
      </c>
      <c r="E637" s="1">
        <f>(E623/E612)*SUM(C637:D637)</f>
        <v>63947.977485846153</v>
      </c>
      <c r="F637" s="1">
        <f>(F624/F612)*BL64</f>
        <v>1835.7628445851979</v>
      </c>
      <c r="G637" s="1">
        <f>(G625/G612)*BL77</f>
        <v>0</v>
      </c>
      <c r="H637" s="1">
        <f>(H628/H612)*BL60</f>
        <v>34864.380780533742</v>
      </c>
      <c r="I637" s="1">
        <f>(I629/I612)*BL78</f>
        <v>45729.489196567032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23992</v>
      </c>
      <c r="D639" s="1">
        <f>(D615/D612)*BS76</f>
        <v>17832.446462385953</v>
      </c>
      <c r="E639" s="1">
        <f>(E623/E612)*SUM(C639:D639)</f>
        <v>3575.4946386151551</v>
      </c>
      <c r="F639" s="1">
        <f>(F624/F612)*BS64</f>
        <v>1018.521777884494</v>
      </c>
      <c r="G639" s="1">
        <f>(G625/G612)*BS77</f>
        <v>0</v>
      </c>
      <c r="H639" s="1">
        <f>(H628/H612)*BS60</f>
        <v>0</v>
      </c>
      <c r="I639" s="1">
        <f>(I629/I612)*BS78</f>
        <v>4529.2185338129902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75496</v>
      </c>
      <c r="D640" s="1">
        <f>(D615/D612)*BT76</f>
        <v>26533.45051213634</v>
      </c>
      <c r="E640" s="1">
        <f>(E623/E612)*SUM(C640:D640)</f>
        <v>8722.3091790365979</v>
      </c>
      <c r="F640" s="1">
        <f>(F624/F612)*BT64</f>
        <v>70.58125378955809</v>
      </c>
      <c r="G640" s="1">
        <f>(G625/G612)*BT77</f>
        <v>0</v>
      </c>
      <c r="H640" s="1">
        <f>(H628/H612)*BT60</f>
        <v>0</v>
      </c>
      <c r="I640" s="1">
        <f>(I629/I612)*BT78</f>
        <v>6739.1648184148471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1075973</v>
      </c>
      <c r="D642" s="1">
        <f>(D615/D612)*BV76</f>
        <v>21767.882923050438</v>
      </c>
      <c r="E642" s="1">
        <f>(E623/E612)*SUM(C642:D642)</f>
        <v>93843.839511656915</v>
      </c>
      <c r="F642" s="1">
        <f>(F624/F612)*BV64</f>
        <v>0</v>
      </c>
      <c r="G642" s="1">
        <f>(G625/G612)*BV77</f>
        <v>0</v>
      </c>
      <c r="H642" s="1">
        <f>(H628/H612)*BV60</f>
        <v>9258.0746109368392</v>
      </c>
      <c r="I642" s="1">
        <f>(I629/I612)*BV78</f>
        <v>5528.7702102406856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415593</v>
      </c>
      <c r="D643" s="1">
        <f>(D615/D612)*BW76</f>
        <v>252636.57341625064</v>
      </c>
      <c r="E643" s="1">
        <f>(E623/E612)*SUM(C643:D643)</f>
        <v>57125.71137702027</v>
      </c>
      <c r="F643" s="1">
        <f>(F624/F612)*BW64</f>
        <v>4045.8900779888809</v>
      </c>
      <c r="G643" s="1">
        <f>(G625/G612)*BW77</f>
        <v>0</v>
      </c>
      <c r="H643" s="1">
        <f>(H628/H612)*BW60</f>
        <v>3767.2011852564488</v>
      </c>
      <c r="I643" s="1">
        <f>(I629/I612)*BW78</f>
        <v>64166.532228174736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1651257</v>
      </c>
      <c r="D644" s="1">
        <f>(D615/D612)*BX76</f>
        <v>16356.657789636771</v>
      </c>
      <c r="E644" s="1">
        <f>(E623/E612)*SUM(C644:D644)</f>
        <v>142561.20993903789</v>
      </c>
      <c r="F644" s="1">
        <f>(F624/F612)*BX64</f>
        <v>1479.1324391309233</v>
      </c>
      <c r="G644" s="1">
        <f>(G625/G612)*BX77</f>
        <v>0</v>
      </c>
      <c r="H644" s="1">
        <f>(H628/H612)*BX60</f>
        <v>21963.49370272156</v>
      </c>
      <c r="I644" s="1">
        <f>(I629/I612)*BX78</f>
        <v>4154.3866551526053</v>
      </c>
      <c r="J644" s="1">
        <f>(J630/J612)*BX79</f>
        <v>0</v>
      </c>
      <c r="K644" s="1">
        <f>SUM(C631:J644)</f>
        <v>12918439.417811494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1073441</v>
      </c>
      <c r="D645" s="1">
        <f>(D615/D612)*BY76</f>
        <v>27148.362459115167</v>
      </c>
      <c r="E645" s="1">
        <f>(E623/E612)*SUM(C645:D645)</f>
        <v>94087.350763349474</v>
      </c>
      <c r="F645" s="1">
        <f>(F624/F612)*BY64</f>
        <v>3293.0233709002614</v>
      </c>
      <c r="G645" s="1">
        <f>(G625/G612)*BY77</f>
        <v>0</v>
      </c>
      <c r="H645" s="1">
        <f>(H628/H612)*BY60</f>
        <v>11994.62641532124</v>
      </c>
      <c r="I645" s="1">
        <f>(I629/I612)*BY78</f>
        <v>6895.3447678566745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347695</v>
      </c>
      <c r="D647" s="1">
        <f>(D615/D612)*CA76</f>
        <v>7747.8905319332071</v>
      </c>
      <c r="E647" s="1">
        <f>(E623/E612)*SUM(C647:D647)</f>
        <v>30386.155871154137</v>
      </c>
      <c r="F647" s="1">
        <f>(F624/F612)*CA64</f>
        <v>190.46298133162156</v>
      </c>
      <c r="G647" s="1">
        <f>(G625/G612)*CA77</f>
        <v>0</v>
      </c>
      <c r="H647" s="1">
        <f>(H628/H612)*CA60</f>
        <v>4335.8353264272337</v>
      </c>
      <c r="I647" s="1">
        <f>(I629/I612)*CA78</f>
        <v>1967.8673629670236</v>
      </c>
      <c r="J647" s="1">
        <f>(J630/J612)*CA79</f>
        <v>0</v>
      </c>
      <c r="K647" s="1">
        <v>0</v>
      </c>
      <c r="L647" s="1">
        <f>SUM(C645:K647)</f>
        <v>1609182.9198503557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42808584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7908644</v>
      </c>
      <c r="D668" s="1">
        <f>(D615/D612)*C76</f>
        <v>253097.75737648478</v>
      </c>
      <c r="E668" s="1">
        <f>(E623/E612)*SUM(C668:D668)</f>
        <v>697732.22035360557</v>
      </c>
      <c r="F668" s="1">
        <f>(F624/F612)*C64</f>
        <v>55601.771834754574</v>
      </c>
      <c r="G668" s="1">
        <f>(G625/G612)*C77</f>
        <v>269802.9027970552</v>
      </c>
      <c r="H668" s="1">
        <f>(H628/H612)*C60</f>
        <v>64842.061910381046</v>
      </c>
      <c r="I668" s="1">
        <f>(I629/I612)*C78</f>
        <v>64283.667190256107</v>
      </c>
      <c r="J668" s="1">
        <f>(J630/J612)*C79</f>
        <v>56777.881492665816</v>
      </c>
      <c r="K668" s="1">
        <f>(K644/K612)*C75</f>
        <v>367035.2895929502</v>
      </c>
      <c r="L668" s="1">
        <f>(L647/L612)*C80</f>
        <v>252108.19376193048</v>
      </c>
      <c r="M668" s="1">
        <f t="shared" ref="M668:M713" si="22">ROUND(SUM(D668:L668),0)</f>
        <v>2081282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2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8858390</v>
      </c>
      <c r="D670" s="1">
        <f>(D615/D612)*E76</f>
        <v>855711.46541573422</v>
      </c>
      <c r="E670" s="1">
        <f>(E623/E612)*SUM(C670:D670)</f>
        <v>830440.58311193227</v>
      </c>
      <c r="F670" s="1">
        <f>(F624/F612)*E64</f>
        <v>49903.961206389482</v>
      </c>
      <c r="G670" s="1">
        <f>(G625/G612)*E77</f>
        <v>1206480.9209195364</v>
      </c>
      <c r="H670" s="1">
        <f>(H628/H612)*E60</f>
        <v>116001.36479884008</v>
      </c>
      <c r="I670" s="1">
        <f>(I629/I612)*E78</f>
        <v>217340.01764324683</v>
      </c>
      <c r="J670" s="1">
        <f>(J630/J612)*E79</f>
        <v>111431.05225084741</v>
      </c>
      <c r="K670" s="1">
        <f>(K644/K612)*E75</f>
        <v>623496.69863727153</v>
      </c>
      <c r="L670" s="1">
        <f>(L647/L612)*E80</f>
        <v>452501.88623936241</v>
      </c>
      <c r="M670" s="1">
        <f t="shared" si="22"/>
        <v>4463308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6633626</v>
      </c>
      <c r="D671" s="1">
        <f>(D615/D612)*F76</f>
        <v>405903.37620072305</v>
      </c>
      <c r="E671" s="1">
        <f>(E623/E612)*SUM(C671:D671)</f>
        <v>601796.35767841118</v>
      </c>
      <c r="F671" s="1">
        <f>(F624/F612)*F64</f>
        <v>33280.479880445775</v>
      </c>
      <c r="G671" s="1">
        <f>(G625/G612)*F77</f>
        <v>283025.2534924444</v>
      </c>
      <c r="H671" s="1">
        <f>(H628/H612)*F60</f>
        <v>86983.253782218482</v>
      </c>
      <c r="I671" s="1">
        <f>(I629/I612)*F78</f>
        <v>103094.38462655019</v>
      </c>
      <c r="J671" s="1">
        <f>(J630/J612)*F79</f>
        <v>62210.626574060778</v>
      </c>
      <c r="K671" s="1">
        <f>(K644/K612)*F75</f>
        <v>518555.09570259688</v>
      </c>
      <c r="L671" s="1">
        <f>(L647/L612)*F80</f>
        <v>303822.69504642906</v>
      </c>
      <c r="M671" s="1">
        <f t="shared" si="22"/>
        <v>2398672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2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2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2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2008327</v>
      </c>
      <c r="D675" s="1">
        <f>(D615/D612)*J76</f>
        <v>104104.59262351524</v>
      </c>
      <c r="E675" s="1">
        <f>(E623/E612)*SUM(C675:D675)</f>
        <v>180587.87318701975</v>
      </c>
      <c r="F675" s="1">
        <f>(F624/F612)*J64</f>
        <v>14958.201174766455</v>
      </c>
      <c r="G675" s="1">
        <f>(G625/G612)*J77</f>
        <v>8402.0506950447707</v>
      </c>
      <c r="H675" s="1">
        <f>(H628/H612)*J60</f>
        <v>17787.586728498609</v>
      </c>
      <c r="I675" s="1">
        <f>(I629/I612)*J78</f>
        <v>26441.265440501356</v>
      </c>
      <c r="J675" s="1">
        <f>(J630/J612)*J79</f>
        <v>13129.526191338686</v>
      </c>
      <c r="K675" s="1">
        <f>(K644/K612)*J75</f>
        <v>98353.430282038767</v>
      </c>
      <c r="L675" s="1">
        <f>(L647/L612)*J80</f>
        <v>98257.552440547268</v>
      </c>
      <c r="M675" s="1">
        <f t="shared" si="22"/>
        <v>562022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2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2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2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2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2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9030592</v>
      </c>
      <c r="D681" s="1">
        <f>(D615/D612)*P76</f>
        <v>669393.14548115002</v>
      </c>
      <c r="E681" s="1">
        <f>(E623/E612)*SUM(C681:D681)</f>
        <v>829233.80500696739</v>
      </c>
      <c r="F681" s="1">
        <f>(F624/F612)*P64</f>
        <v>373861.7486166656</v>
      </c>
      <c r="G681" s="1">
        <f>(G625/G612)*P77</f>
        <v>0</v>
      </c>
      <c r="H681" s="1">
        <f>(H628/H612)*P60</f>
        <v>34277.976822451361</v>
      </c>
      <c r="I681" s="1">
        <f>(I629/I612)*P78</f>
        <v>170017.49296237319</v>
      </c>
      <c r="J681" s="1">
        <f>(J630/J612)*P79</f>
        <v>41745.811927648523</v>
      </c>
      <c r="K681" s="1">
        <f>(K644/K612)*P75</f>
        <v>1272398.5296400348</v>
      </c>
      <c r="L681" s="1">
        <f>(L647/L612)*P80</f>
        <v>51714.522832207425</v>
      </c>
      <c r="M681" s="1">
        <f t="shared" si="22"/>
        <v>3442643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925628</v>
      </c>
      <c r="D682" s="1">
        <f>(D615/D612)*Q76</f>
        <v>103305.20709244277</v>
      </c>
      <c r="E682" s="1">
        <f>(E623/E612)*SUM(C682:D682)</f>
        <v>87961.598457990782</v>
      </c>
      <c r="F682" s="1">
        <f>(F624/F612)*Q64</f>
        <v>1395.9600571527756</v>
      </c>
      <c r="G682" s="1">
        <f>(G625/G612)*Q77</f>
        <v>0</v>
      </c>
      <c r="H682" s="1">
        <f>(H628/H612)*Q60</f>
        <v>8636.1310190312943</v>
      </c>
      <c r="I682" s="1">
        <f>(I629/I612)*Q78</f>
        <v>26238.231506226981</v>
      </c>
      <c r="J682" s="1">
        <f>(J630/J612)*Q79</f>
        <v>0</v>
      </c>
      <c r="K682" s="1">
        <f>(K644/K612)*Q75</f>
        <v>72849.524101297531</v>
      </c>
      <c r="L682" s="1">
        <f>(L647/L612)*Q80</f>
        <v>47404.959510790344</v>
      </c>
      <c r="M682" s="1">
        <f t="shared" si="22"/>
        <v>347792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788096</v>
      </c>
      <c r="D683" s="1">
        <f>(D615/D612)*R76</f>
        <v>16971.569736615598</v>
      </c>
      <c r="E683" s="1">
        <f>(E623/E612)*SUM(C683:D683)</f>
        <v>68823.738812776428</v>
      </c>
      <c r="F683" s="1">
        <f>(F624/F612)*R64</f>
        <v>14171.876352397358</v>
      </c>
      <c r="G683" s="1">
        <f>(G625/G612)*R77</f>
        <v>0</v>
      </c>
      <c r="H683" s="1">
        <f>(H628/H612)*R60</f>
        <v>4353.6051433388211</v>
      </c>
      <c r="I683" s="1">
        <f>(I629/I612)*R78</f>
        <v>4310.5666045944326</v>
      </c>
      <c r="J683" s="1">
        <f>(J630/J612)*R79</f>
        <v>0</v>
      </c>
      <c r="K683" s="1">
        <f>(K644/K612)*R75</f>
        <v>172811.7406880981</v>
      </c>
      <c r="L683" s="1">
        <f>(L647/L612)*R80</f>
        <v>8619.0835474164269</v>
      </c>
      <c r="M683" s="1">
        <f t="shared" si="22"/>
        <v>290062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1023899</v>
      </c>
      <c r="D684" s="1">
        <f>(D615/D612)*S76</f>
        <v>149577.33110259942</v>
      </c>
      <c r="E684" s="1">
        <f>(E623/E612)*SUM(C684:D684)</f>
        <v>100318.32302126233</v>
      </c>
      <c r="F684" s="1">
        <f>(F624/F612)*S64</f>
        <v>19652.386571272993</v>
      </c>
      <c r="G684" s="1">
        <f>(G625/G612)*S77</f>
        <v>0</v>
      </c>
      <c r="H684" s="1">
        <f>(H628/H612)*S60</f>
        <v>17307.801671885762</v>
      </c>
      <c r="I684" s="1">
        <f>(I629/I612)*S78</f>
        <v>37990.772701724483</v>
      </c>
      <c r="J684" s="1">
        <f>(J630/J612)*S79</f>
        <v>0</v>
      </c>
      <c r="K684" s="1">
        <f>(K644/K612)*S75</f>
        <v>179118.93331419109</v>
      </c>
      <c r="L684" s="1">
        <f>(L647/L612)*S80</f>
        <v>0</v>
      </c>
      <c r="M684" s="1">
        <f t="shared" si="22"/>
        <v>503966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117040</v>
      </c>
      <c r="D685" s="1">
        <f>(D615/D612)*T76</f>
        <v>0</v>
      </c>
      <c r="E685" s="1">
        <f>(E623/E612)*SUM(C685:D685)</f>
        <v>10005.533316020485</v>
      </c>
      <c r="F685" s="1">
        <f>(F624/F612)*T64</f>
        <v>6918.6180431573521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229612.89407861212</v>
      </c>
      <c r="L685" s="1">
        <f>(L647/L612)*T80</f>
        <v>0</v>
      </c>
      <c r="M685" s="1">
        <f t="shared" si="22"/>
        <v>246537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6410308</v>
      </c>
      <c r="D686" s="1">
        <f>(D615/D612)*U76</f>
        <v>404888.77148820797</v>
      </c>
      <c r="E686" s="1">
        <f>(E623/E612)*SUM(C686:D686)</f>
        <v>582618.57785680552</v>
      </c>
      <c r="F686" s="1">
        <f>(F624/F612)*U64</f>
        <v>127586.96597397933</v>
      </c>
      <c r="G686" s="1">
        <f>(G625/G612)*U77</f>
        <v>0</v>
      </c>
      <c r="H686" s="1">
        <f>(H628/H612)*U60</f>
        <v>49080.23430980336</v>
      </c>
      <c r="I686" s="1">
        <f>(I629/I612)*U78</f>
        <v>102836.68770997117</v>
      </c>
      <c r="J686" s="1">
        <f>(J630/J612)*U79</f>
        <v>0</v>
      </c>
      <c r="K686" s="1">
        <f>(K644/K612)*U75</f>
        <v>1319540.820039663</v>
      </c>
      <c r="L686" s="1">
        <f>(L647/L612)*U80</f>
        <v>0</v>
      </c>
      <c r="M686" s="1">
        <f t="shared" si="22"/>
        <v>2586552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76144</v>
      </c>
      <c r="D687" s="1">
        <f>(D615/D612)*V76</f>
        <v>4611.8396023411951</v>
      </c>
      <c r="E687" s="1">
        <f>(E623/E612)*SUM(C687:D687)</f>
        <v>6903.6674949114085</v>
      </c>
      <c r="F687" s="1">
        <f>(F624/F612)*V64</f>
        <v>0</v>
      </c>
      <c r="G687" s="1">
        <f>(G625/G612)*V77</f>
        <v>0</v>
      </c>
      <c r="H687" s="1">
        <f>(H628/H612)*V60</f>
        <v>1190.5777330763306</v>
      </c>
      <c r="I687" s="1">
        <f>(I629/I612)*V78</f>
        <v>1171.3496208137044</v>
      </c>
      <c r="J687" s="1">
        <f>(J630/J612)*V79</f>
        <v>0</v>
      </c>
      <c r="K687" s="1">
        <f>(K644/K612)*V75</f>
        <v>8166.5554445462249</v>
      </c>
      <c r="L687" s="1">
        <f>(L647/L612)*V80</f>
        <v>0</v>
      </c>
      <c r="M687" s="1">
        <f t="shared" si="22"/>
        <v>22044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438349</v>
      </c>
      <c r="D688" s="1">
        <f>(D615/D612)*W76</f>
        <v>170945.52126011363</v>
      </c>
      <c r="E688" s="1">
        <f>(E623/E612)*SUM(C688:D688)</f>
        <v>52087.462677177195</v>
      </c>
      <c r="F688" s="1">
        <f>(F624/F612)*W64</f>
        <v>480.29538278070305</v>
      </c>
      <c r="G688" s="1">
        <f>(G625/G612)*W77</f>
        <v>0</v>
      </c>
      <c r="H688" s="1">
        <f>(H628/H612)*W60</f>
        <v>5402.0243411224546</v>
      </c>
      <c r="I688" s="1">
        <f>(I629/I612)*W78</f>
        <v>43418.025944827983</v>
      </c>
      <c r="J688" s="1">
        <f>(J630/J612)*W79</f>
        <v>0</v>
      </c>
      <c r="K688" s="1">
        <f>(K644/K612)*W75</f>
        <v>216239.94655242836</v>
      </c>
      <c r="L688" s="1">
        <f>(L647/L612)*W80</f>
        <v>0</v>
      </c>
      <c r="M688" s="1">
        <f t="shared" si="22"/>
        <v>488573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941918</v>
      </c>
      <c r="D689" s="1">
        <f>(D615/D612)*X76</f>
        <v>97463.543596143922</v>
      </c>
      <c r="E689" s="1">
        <f>(E623/E612)*SUM(C689:D689)</f>
        <v>88854.807437696654</v>
      </c>
      <c r="F689" s="1">
        <f>(F624/F612)*X64</f>
        <v>8354.7751292690045</v>
      </c>
      <c r="G689" s="1">
        <f>(G625/G612)*X77</f>
        <v>0</v>
      </c>
      <c r="H689" s="1">
        <f>(H628/H612)*X60</f>
        <v>10057.716371958255</v>
      </c>
      <c r="I689" s="1">
        <f>(I629/I612)*X78</f>
        <v>24754.52198652962</v>
      </c>
      <c r="J689" s="1">
        <f>(J630/J612)*X79</f>
        <v>6549.2302081553908</v>
      </c>
      <c r="K689" s="1">
        <f>(K644/K612)*X75</f>
        <v>1033890.1048656323</v>
      </c>
      <c r="L689" s="1">
        <f>(L647/L612)*X80</f>
        <v>0</v>
      </c>
      <c r="M689" s="1">
        <f t="shared" si="22"/>
        <v>1269925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11674385</v>
      </c>
      <c r="D690" s="1">
        <f>(D615/D612)*Y76</f>
        <v>584166.3496298847</v>
      </c>
      <c r="E690" s="1">
        <f>(E623/E612)*SUM(C690:D690)</f>
        <v>1047960.90169916</v>
      </c>
      <c r="F690" s="1">
        <f>(F624/F612)*Y64</f>
        <v>338845.1117648636</v>
      </c>
      <c r="G690" s="1">
        <f>(G625/G612)*Y77</f>
        <v>0</v>
      </c>
      <c r="H690" s="1">
        <f>(H628/H612)*Y60</f>
        <v>57538.667159718781</v>
      </c>
      <c r="I690" s="1">
        <f>(I629/I612)*Y78</f>
        <v>148370.95196973588</v>
      </c>
      <c r="J690" s="1">
        <f>(J630/J612)*Y79</f>
        <v>59538.969921661039</v>
      </c>
      <c r="K690" s="1">
        <f>(K644/K612)*Y75</f>
        <v>951324.86427874595</v>
      </c>
      <c r="L690" s="1">
        <f>(L647/L612)*Y80</f>
        <v>24995.342287507636</v>
      </c>
      <c r="M690" s="1">
        <f t="shared" si="22"/>
        <v>3212741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1131981.2699336323</v>
      </c>
      <c r="L691" s="1">
        <f>(L647/L612)*Z80</f>
        <v>0</v>
      </c>
      <c r="M691" s="1">
        <f t="shared" si="22"/>
        <v>1131981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581600</v>
      </c>
      <c r="D692" s="1">
        <f>(D615/D612)*AA76</f>
        <v>130576.55194095369</v>
      </c>
      <c r="E692" s="1">
        <f>(E623/E612)*SUM(C692:D692)</f>
        <v>60882.657359311394</v>
      </c>
      <c r="F692" s="1">
        <f>(F624/F612)*AA64</f>
        <v>4322.2446520811627</v>
      </c>
      <c r="G692" s="1">
        <f>(G625/G612)*AA77</f>
        <v>0</v>
      </c>
      <c r="H692" s="1">
        <f>(H628/H612)*AA60</f>
        <v>3216.3368609972513</v>
      </c>
      <c r="I692" s="1">
        <f>(I629/I612)*AA78</f>
        <v>33164.812263972024</v>
      </c>
      <c r="J692" s="1">
        <f>(J630/J612)*AA79</f>
        <v>0</v>
      </c>
      <c r="K692" s="1">
        <f>(K644/K612)*AA75</f>
        <v>73764.895447231524</v>
      </c>
      <c r="L692" s="1">
        <f>(L647/L612)*AA80</f>
        <v>8619.0835474164269</v>
      </c>
      <c r="M692" s="1">
        <f t="shared" si="22"/>
        <v>314547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12316539</v>
      </c>
      <c r="D693" s="1">
        <f>(D615/D612)*AB76</f>
        <v>171960.12597262868</v>
      </c>
      <c r="E693" s="1">
        <f>(E623/E612)*SUM(C693:D693)</f>
        <v>1067618.7121668817</v>
      </c>
      <c r="F693" s="1">
        <f>(F624/F612)*AB64</f>
        <v>594245.21111399389</v>
      </c>
      <c r="G693" s="1">
        <f>(G625/G612)*AB77</f>
        <v>0</v>
      </c>
      <c r="H693" s="1">
        <f>(H628/H612)*AB60</f>
        <v>25108.751296072463</v>
      </c>
      <c r="I693" s="1">
        <f>(I629/I612)*AB78</f>
        <v>43675.722861406997</v>
      </c>
      <c r="J693" s="1">
        <f>(J630/J612)*AB79</f>
        <v>0</v>
      </c>
      <c r="K693" s="1">
        <f>(K644/K612)*AB75</f>
        <v>821178.23351227946</v>
      </c>
      <c r="L693" s="1">
        <f>(L647/L612)*AB80</f>
        <v>0</v>
      </c>
      <c r="M693" s="1">
        <f t="shared" si="22"/>
        <v>2723787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2390973</v>
      </c>
      <c r="D694" s="1">
        <f>(D615/D612)*AC76</f>
        <v>124734.88844465485</v>
      </c>
      <c r="E694" s="1">
        <f>(E623/E612)*SUM(C694:D694)</f>
        <v>215063.21848264302</v>
      </c>
      <c r="F694" s="1">
        <f>(F624/F612)*AC64</f>
        <v>15183.836556437094</v>
      </c>
      <c r="G694" s="1">
        <f>(G625/G612)*AC77</f>
        <v>0</v>
      </c>
      <c r="H694" s="1">
        <f>(H628/H612)*AC60</f>
        <v>29426.816805588107</v>
      </c>
      <c r="I694" s="1">
        <f>(I629/I612)*AC78</f>
        <v>31681.10274427466</v>
      </c>
      <c r="J694" s="1">
        <f>(J630/J612)*AC79</f>
        <v>0</v>
      </c>
      <c r="K694" s="1">
        <f>(K644/K612)*AC75</f>
        <v>460361.82669537322</v>
      </c>
      <c r="L694" s="1">
        <f>(L647/L612)*AC80</f>
        <v>0</v>
      </c>
      <c r="M694" s="1">
        <f t="shared" si="22"/>
        <v>876452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2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1387400</v>
      </c>
      <c r="D696" s="1">
        <f>(D615/D612)*AE76</f>
        <v>250668.85518591842</v>
      </c>
      <c r="E696" s="1">
        <f>(E623/E612)*SUM(C696:D696)</f>
        <v>140035.47936174166</v>
      </c>
      <c r="F696" s="1">
        <f>(F624/F612)*AE64</f>
        <v>453.75352101226787</v>
      </c>
      <c r="G696" s="1">
        <f>(G625/G612)*AE77</f>
        <v>0</v>
      </c>
      <c r="H696" s="1">
        <f>(H628/H612)*AE60</f>
        <v>18800.46629245907</v>
      </c>
      <c r="I696" s="1">
        <f>(I629/I612)*AE78</f>
        <v>63666.756389960887</v>
      </c>
      <c r="J696" s="1">
        <f>(J630/J612)*AE79</f>
        <v>11725.91799235066</v>
      </c>
      <c r="K696" s="1">
        <f>(K644/K612)*AE75</f>
        <v>97494.031480965525</v>
      </c>
      <c r="L696" s="1">
        <f>(L647/L612)*AE80</f>
        <v>8619.0835474164269</v>
      </c>
      <c r="M696" s="1">
        <f t="shared" si="22"/>
        <v>591464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2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8382861</v>
      </c>
      <c r="D698" s="1">
        <f>(D615/D612)*AG76</f>
        <v>384688.91402995354</v>
      </c>
      <c r="E698" s="1">
        <f>(E623/E612)*SUM(C698:D698)</f>
        <v>749521.64016318554</v>
      </c>
      <c r="F698" s="1">
        <f>(F624/F612)*AG64</f>
        <v>59730.597841610084</v>
      </c>
      <c r="G698" s="1">
        <f>(G625/G612)*AG77</f>
        <v>32537.025002324772</v>
      </c>
      <c r="H698" s="1">
        <f>(H628/H612)*AG60</f>
        <v>47409.871520114175</v>
      </c>
      <c r="I698" s="1">
        <f>(I629/I612)*AG78</f>
        <v>97706.176370807152</v>
      </c>
      <c r="J698" s="1">
        <f>(J630/J612)*AG79</f>
        <v>63549.279061626818</v>
      </c>
      <c r="K698" s="1">
        <f>(K644/K612)*AG75</f>
        <v>958606.81716209545</v>
      </c>
      <c r="L698" s="1">
        <f>(L647/L612)*AG80</f>
        <v>127562.43650176312</v>
      </c>
      <c r="M698" s="1">
        <f t="shared" si="22"/>
        <v>2521313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2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3585529</v>
      </c>
      <c r="D700" s="1">
        <f>(D615/D612)*AI76</f>
        <v>778109.57770700636</v>
      </c>
      <c r="E700" s="1">
        <f>(E623/E612)*SUM(C700:D700)</f>
        <v>373039.39822556131</v>
      </c>
      <c r="F700" s="1">
        <f>(F624/F612)*AI64</f>
        <v>28534.156572848457</v>
      </c>
      <c r="G700" s="1">
        <f>(G625/G612)*AI77</f>
        <v>85727.696533903028</v>
      </c>
      <c r="H700" s="1">
        <f>(H628/H612)*AI60</f>
        <v>46468.071223800063</v>
      </c>
      <c r="I700" s="1">
        <f>(I629/I612)*AI78</f>
        <v>197630.10802368823</v>
      </c>
      <c r="J700" s="1">
        <f>(J630/J612)*AI79</f>
        <v>48270.566070630419</v>
      </c>
      <c r="K700" s="1">
        <f>(K644/K612)*AI75</f>
        <v>259113.73415378656</v>
      </c>
      <c r="L700" s="1">
        <f>(L647/L612)*AI80</f>
        <v>156005.41220823734</v>
      </c>
      <c r="M700" s="1">
        <f t="shared" si="22"/>
        <v>1972899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1923357</v>
      </c>
      <c r="D701" s="1">
        <f>(D615/D612)*AJ76</f>
        <v>251806.44228782924</v>
      </c>
      <c r="E701" s="1">
        <f>(E623/E612)*SUM(C701:D701)</f>
        <v>185950.70308954781</v>
      </c>
      <c r="F701" s="1">
        <f>(F624/F612)*AJ64</f>
        <v>32591.041720523146</v>
      </c>
      <c r="G701" s="1">
        <f>(G625/G612)*AJ77</f>
        <v>0</v>
      </c>
      <c r="H701" s="1">
        <f>(H628/H612)*AJ60</f>
        <v>18907.085193928593</v>
      </c>
      <c r="I701" s="1">
        <f>(I629/I612)*AJ78</f>
        <v>63955.689296428267</v>
      </c>
      <c r="J701" s="1">
        <f>(J630/J612)*AJ79</f>
        <v>0</v>
      </c>
      <c r="K701" s="1">
        <f>(K644/K612)*AJ75</f>
        <v>406180.14543117973</v>
      </c>
      <c r="L701" s="1">
        <f>(L647/L612)*AJ80</f>
        <v>43957.326091823772</v>
      </c>
      <c r="M701" s="1">
        <f t="shared" si="22"/>
        <v>1003348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2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278053</v>
      </c>
      <c r="D703" s="1">
        <f>(D615/D612)*AL76</f>
        <v>6149.1194697882602</v>
      </c>
      <c r="E703" s="1">
        <f>(E623/E612)*SUM(C703:D703)</f>
        <v>24295.914002380388</v>
      </c>
      <c r="F703" s="1">
        <f>(F624/F612)*AL64</f>
        <v>34.167474615045705</v>
      </c>
      <c r="G703" s="1">
        <f>(G625/G612)*AL77</f>
        <v>0</v>
      </c>
      <c r="H703" s="1">
        <f>(H628/H612)*AL60</f>
        <v>3234.1066779088383</v>
      </c>
      <c r="I703" s="1">
        <f>(I629/I612)*AL78</f>
        <v>1561.7994944182726</v>
      </c>
      <c r="J703" s="1">
        <f>(J630/J612)*AL79</f>
        <v>0</v>
      </c>
      <c r="K703" s="1">
        <f>(K644/K612)*AL75</f>
        <v>30137.702351440435</v>
      </c>
      <c r="L703" s="1">
        <f>(L647/L612)*AL80</f>
        <v>0</v>
      </c>
      <c r="M703" s="1">
        <f t="shared" si="22"/>
        <v>65413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2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2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2"/>
        <v>0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39709813.200000003</v>
      </c>
      <c r="D707" s="1">
        <f>(D615/D612)*AP76</f>
        <v>3158556.7068514377</v>
      </c>
      <c r="E707" s="1">
        <f>(E623/E612)*SUM(C707:D707)</f>
        <v>3664737.7247649697</v>
      </c>
      <c r="F707" s="1">
        <f>(F624/F612)*AP64</f>
        <v>87206.035607615166</v>
      </c>
      <c r="G707" s="1">
        <f>(G625/G612)*AP77</f>
        <v>0</v>
      </c>
      <c r="H707" s="1">
        <f>(H628/H612)*AP60</f>
        <v>337306.6646157449</v>
      </c>
      <c r="I707" s="1">
        <f>(I629/I612)*AP78</f>
        <v>802233.92830288992</v>
      </c>
      <c r="J707" s="1">
        <f>(J630/J612)*AP79</f>
        <v>0</v>
      </c>
      <c r="K707" s="1">
        <f>(K644/K612)*AP75</f>
        <v>1616226.3344254042</v>
      </c>
      <c r="L707" s="1">
        <f>(L647/L612)*AP80</f>
        <v>24995.342287507636</v>
      </c>
      <c r="M707" s="1">
        <f t="shared" si="22"/>
        <v>9691263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2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2"/>
        <v>0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2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2"/>
        <v>0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2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0</v>
      </c>
      <c r="D713" s="1">
        <f>(D615/D612)*AV76</f>
        <v>0</v>
      </c>
      <c r="E713" s="1">
        <f>(E623/E612)*SUM(C713:D713)</f>
        <v>0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>
        <f>(I629/I612)*AV78</f>
        <v>0</v>
      </c>
      <c r="J713" s="1">
        <f>(J630/J612)*AV79</f>
        <v>0</v>
      </c>
      <c r="K713" s="1">
        <f>(K644/K612)*AV75</f>
        <v>0</v>
      </c>
      <c r="L713" s="1">
        <f>(L647/L612)*AV80</f>
        <v>0</v>
      </c>
      <c r="M713" s="1">
        <f t="shared" si="22"/>
        <v>0</v>
      </c>
      <c r="N713" s="150" t="s">
        <v>741</v>
      </c>
    </row>
    <row r="715" spans="1:83" ht="12.65" customHeight="1" x14ac:dyDescent="0.3">
      <c r="C715" s="1">
        <f>SUM(C614:C647)+SUM(C668:C713)</f>
        <v>170200055.19999999</v>
      </c>
      <c r="D715" s="1">
        <f>SUM(D616:D647)+SUM(D668:D713)</f>
        <v>14288094</v>
      </c>
      <c r="E715" s="1">
        <f>SUM(E624:E647)+SUM(E668:E713)</f>
        <v>13404188.862398865</v>
      </c>
      <c r="F715" s="1">
        <f>SUM(F625:F648)+SUM(F668:F713)</f>
        <v>1922208.4469861563</v>
      </c>
      <c r="G715" s="1">
        <f>SUM(G626:G647)+SUM(G668:G713)</f>
        <v>1885975.8494403083</v>
      </c>
      <c r="H715" s="1">
        <f>SUM(H629:H647)+SUM(H668:H713)</f>
        <v>1246126.1807419516</v>
      </c>
      <c r="I715" s="1">
        <f>SUM(I630:I647)+SUM(I668:I713)</f>
        <v>2546482.8396591055</v>
      </c>
      <c r="J715" s="1">
        <f>SUM(J631:J647)+SUM(J668:J713)</f>
        <v>474928.8616909855</v>
      </c>
      <c r="K715" s="1">
        <f>SUM(K668:K713)</f>
        <v>12918439.417811494</v>
      </c>
      <c r="L715" s="1">
        <f>SUM(L668:L713)</f>
        <v>1609182.9198503555</v>
      </c>
      <c r="M715" s="1">
        <f>SUM(M668:M713)</f>
        <v>42808586</v>
      </c>
      <c r="N715" s="149" t="s">
        <v>742</v>
      </c>
    </row>
    <row r="716" spans="1:83" ht="12.65" customHeight="1" x14ac:dyDescent="0.3">
      <c r="C716" s="1">
        <f>CE71</f>
        <v>170200055.19999999</v>
      </c>
      <c r="D716" s="1">
        <f>D615</f>
        <v>14288094</v>
      </c>
      <c r="E716" s="1">
        <f>E623</f>
        <v>13404188.862398865</v>
      </c>
      <c r="F716" s="1">
        <f>F624</f>
        <v>1922208.4469861558</v>
      </c>
      <c r="G716" s="1">
        <f>G625</f>
        <v>1885975.8494403085</v>
      </c>
      <c r="H716" s="1">
        <f>H628</f>
        <v>1246126.1807419516</v>
      </c>
      <c r="I716" s="1">
        <f>I629</f>
        <v>2546482.8396591051</v>
      </c>
      <c r="J716" s="1">
        <f>J630</f>
        <v>474928.86169098556</v>
      </c>
      <c r="K716" s="1">
        <f>K644</f>
        <v>12918439.417811494</v>
      </c>
      <c r="L716" s="1">
        <f>L647</f>
        <v>1609182.9198503557</v>
      </c>
      <c r="M716" s="1">
        <f>C648</f>
        <v>42808584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  <c r="AA720" s="214"/>
      <c r="AB720" s="214"/>
      <c r="AC720" s="214"/>
      <c r="AD720" s="214"/>
      <c r="AE720" s="214"/>
      <c r="AF720" s="214"/>
      <c r="AG720" s="214"/>
      <c r="AH720" s="214"/>
      <c r="AI720" s="214"/>
      <c r="AJ720" s="214"/>
      <c r="AK720" s="214"/>
      <c r="AL720" s="214"/>
      <c r="AM720" s="214"/>
      <c r="AN720" s="214"/>
      <c r="AO720" s="214"/>
      <c r="AP720" s="214"/>
      <c r="AQ720" s="214"/>
      <c r="AR720" s="214"/>
      <c r="AS720" s="214"/>
      <c r="AT720" s="214"/>
      <c r="AU720" s="214"/>
      <c r="AV720" s="214"/>
      <c r="AW720" s="214"/>
      <c r="AX720" s="214"/>
      <c r="AY720" s="214"/>
      <c r="AZ720" s="214"/>
      <c r="BA720" s="214"/>
      <c r="BB720" s="214"/>
      <c r="BC720" s="214"/>
      <c r="BD720" s="214"/>
      <c r="BE720" s="214"/>
      <c r="BF720" s="214"/>
      <c r="BG720" s="214"/>
      <c r="BH720" s="214"/>
      <c r="BI720" s="214"/>
      <c r="BJ720" s="214"/>
      <c r="BK720" s="214"/>
      <c r="BL720" s="214"/>
      <c r="BM720" s="214"/>
      <c r="BN720" s="214"/>
      <c r="BO720" s="214"/>
      <c r="BP720" s="214"/>
      <c r="BQ720" s="214"/>
      <c r="BR720" s="214"/>
      <c r="BS720" s="214"/>
      <c r="BT720" s="214"/>
      <c r="BU720" s="214"/>
      <c r="BV720" s="214"/>
      <c r="BW720" s="214"/>
      <c r="BX720" s="214"/>
      <c r="BY720" s="214"/>
      <c r="BZ720" s="214"/>
      <c r="CA720" s="214"/>
      <c r="CB720" s="214"/>
      <c r="CC720" s="214"/>
      <c r="CD720" s="214"/>
      <c r="CE720" s="214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1255</v>
      </c>
    </row>
    <row r="722" spans="1:84" s="152" customFormat="1" ht="12.65" customHeight="1" x14ac:dyDescent="0.3">
      <c r="A722" s="153" t="str">
        <f>RIGHT(C83,3)&amp;"*"&amp;RIGHT(C82,4)&amp;"*"&amp;"A"</f>
        <v>039*2021*A</v>
      </c>
      <c r="B722" s="214">
        <f>ROUND(C165,0)</f>
        <v>4498803</v>
      </c>
      <c r="C722" s="214">
        <f>ROUND(C166,0)</f>
        <v>342044</v>
      </c>
      <c r="D722" s="214">
        <f>ROUND(C167,0)</f>
        <v>1230392</v>
      </c>
      <c r="E722" s="214">
        <f>ROUND(C168,0)</f>
        <v>5808065</v>
      </c>
      <c r="F722" s="214">
        <f>ROUND(C169,0)</f>
        <v>264768</v>
      </c>
      <c r="G722" s="214">
        <f>ROUND(C170,0)</f>
        <v>1495590</v>
      </c>
      <c r="H722" s="214">
        <f>ROUND(C171+C172,0)</f>
        <v>331901</v>
      </c>
      <c r="I722" s="214">
        <f>ROUND(C175,0)</f>
        <v>-575836</v>
      </c>
      <c r="J722" s="214">
        <f>ROUND(C176,0)</f>
        <v>158404</v>
      </c>
      <c r="K722" s="214">
        <f>ROUND(C179,0)</f>
        <v>1215831</v>
      </c>
      <c r="L722" s="214">
        <f>ROUND(C180,0)</f>
        <v>235044</v>
      </c>
      <c r="M722" s="214">
        <f>ROUND(C183,0)</f>
        <v>523419</v>
      </c>
      <c r="N722" s="214">
        <f>ROUND(C184,0)</f>
        <v>7070745</v>
      </c>
      <c r="O722" s="214">
        <f>ROUND(C185,0)</f>
        <v>0</v>
      </c>
      <c r="P722" s="214">
        <f>ROUND(C188,0)</f>
        <v>0</v>
      </c>
      <c r="Q722" s="214">
        <f>ROUND(C189,0)</f>
        <v>3355651</v>
      </c>
      <c r="R722" s="214">
        <f>ROUND(B195,0)</f>
        <v>22990000</v>
      </c>
      <c r="S722" s="214">
        <f>ROUND(C195,0)</f>
        <v>264706</v>
      </c>
      <c r="T722" s="214">
        <f>ROUND(D195,0)</f>
        <v>10123542</v>
      </c>
      <c r="U722" s="214">
        <f>ROUND(B196,0)</f>
        <v>2165523</v>
      </c>
      <c r="V722" s="214">
        <f>ROUND(C196,0)</f>
        <v>0</v>
      </c>
      <c r="W722" s="214">
        <f>ROUND(D196,0)</f>
        <v>1151822</v>
      </c>
      <c r="X722" s="214">
        <f>ROUND(B197,0)</f>
        <v>52526507</v>
      </c>
      <c r="Y722" s="214">
        <f>ROUND(C197,0)</f>
        <v>15397</v>
      </c>
      <c r="Z722" s="214">
        <f>ROUND(D197,0)</f>
        <v>33624138</v>
      </c>
      <c r="AA722" s="214">
        <f>ROUND(B198,0)</f>
        <v>0</v>
      </c>
      <c r="AB722" s="214">
        <f>ROUND(C198,0)</f>
        <v>0</v>
      </c>
      <c r="AC722" s="214">
        <f>ROUND(D198,0)</f>
        <v>0</v>
      </c>
      <c r="AD722" s="214">
        <f>ROUND(B199,0)</f>
        <v>0</v>
      </c>
      <c r="AE722" s="214">
        <f>ROUND(C199,0)</f>
        <v>0</v>
      </c>
      <c r="AF722" s="214">
        <f>ROUND(D199,0)</f>
        <v>0</v>
      </c>
      <c r="AG722" s="214">
        <f>ROUND(B200,0)</f>
        <v>14097991</v>
      </c>
      <c r="AH722" s="214">
        <f>ROUND(C200,0)</f>
        <v>4654098</v>
      </c>
      <c r="AI722" s="214">
        <f>ROUND(D200,0)</f>
        <v>325764</v>
      </c>
      <c r="AJ722" s="214">
        <f>ROUND(B201,0)</f>
        <v>0</v>
      </c>
      <c r="AK722" s="214">
        <f>ROUND(C201,0)</f>
        <v>0</v>
      </c>
      <c r="AL722" s="214">
        <f>ROUND(D201,0)</f>
        <v>0</v>
      </c>
      <c r="AM722" s="214">
        <f>ROUND(B202,0)</f>
        <v>15681917</v>
      </c>
      <c r="AN722" s="214">
        <f>ROUND(C202,0)</f>
        <v>132746</v>
      </c>
      <c r="AO722" s="214">
        <f>ROUND(D202,0)</f>
        <v>0</v>
      </c>
      <c r="AP722" s="214">
        <f>ROUND(B203,0)</f>
        <v>1625565</v>
      </c>
      <c r="AQ722" s="214">
        <f>ROUND(C203,0)</f>
        <v>17774051</v>
      </c>
      <c r="AR722" s="214">
        <f>ROUND(D203,0)</f>
        <v>928241</v>
      </c>
      <c r="AS722" s="214"/>
      <c r="AT722" s="214"/>
      <c r="AU722" s="214"/>
      <c r="AV722" s="214">
        <f>ROUND(B209,0)</f>
        <v>1622627</v>
      </c>
      <c r="AW722" s="214">
        <f>ROUND(C209,0)</f>
        <v>360563</v>
      </c>
      <c r="AX722" s="214">
        <f>ROUND(D209,0)</f>
        <v>1023842</v>
      </c>
      <c r="AY722" s="214">
        <f>ROUND(B210,0)</f>
        <v>3590629</v>
      </c>
      <c r="AZ722" s="214">
        <f>ROUND(C210,0)</f>
        <v>951638</v>
      </c>
      <c r="BA722" s="214">
        <f>ROUND(D210,0)</f>
        <v>1246143</v>
      </c>
      <c r="BB722" s="214">
        <f>ROUND(B211,0)</f>
        <v>0</v>
      </c>
      <c r="BC722" s="214">
        <f>ROUND(C211,0)</f>
        <v>0</v>
      </c>
      <c r="BD722" s="214">
        <f>ROUND(D211,0)</f>
        <v>0</v>
      </c>
      <c r="BE722" s="214">
        <f>ROUND(B212,0)</f>
        <v>0</v>
      </c>
      <c r="BF722" s="214">
        <f>ROUND(C212,0)</f>
        <v>0</v>
      </c>
      <c r="BG722" s="214">
        <f>ROUND(D212,0)</f>
        <v>0</v>
      </c>
      <c r="BH722" s="214">
        <f>ROUND(B213,0)</f>
        <v>6674252</v>
      </c>
      <c r="BI722" s="214">
        <f>ROUND(C213,0)</f>
        <v>2877931</v>
      </c>
      <c r="BJ722" s="214">
        <f>ROUND(D213,0)</f>
        <v>202495</v>
      </c>
      <c r="BK722" s="214">
        <f>ROUND(B214,0)</f>
        <v>0</v>
      </c>
      <c r="BL722" s="214">
        <f>ROUND(C214,0)</f>
        <v>0</v>
      </c>
      <c r="BM722" s="214">
        <f>ROUND(D214,0)</f>
        <v>0</v>
      </c>
      <c r="BN722" s="214">
        <f>ROUND(B215,0)</f>
        <v>7367973</v>
      </c>
      <c r="BO722" s="214">
        <f>ROUND(C215,0)</f>
        <v>2182535</v>
      </c>
      <c r="BP722" s="214">
        <f>ROUND(D215,0)</f>
        <v>0</v>
      </c>
      <c r="BQ722" s="214">
        <f>ROUND(B216,0)</f>
        <v>0</v>
      </c>
      <c r="BR722" s="214">
        <f>ROUND(C216,0)</f>
        <v>0</v>
      </c>
      <c r="BS722" s="214">
        <f>ROUND(D216,0)</f>
        <v>0</v>
      </c>
      <c r="BT722" s="214">
        <f>ROUND(C223,0)</f>
        <v>200004044</v>
      </c>
      <c r="BU722" s="214">
        <f>ROUND(C224,0)</f>
        <v>109670988</v>
      </c>
      <c r="BV722" s="214">
        <f>ROUND(C225,0)</f>
        <v>9900453</v>
      </c>
      <c r="BW722" s="214">
        <f>ROUND(C226,0)</f>
        <v>13527841</v>
      </c>
      <c r="BX722" s="214">
        <f>ROUND(C227,0)</f>
        <v>92187248</v>
      </c>
      <c r="BY722" s="214">
        <f>ROUND(C228,0)</f>
        <v>0</v>
      </c>
      <c r="BZ722" s="214">
        <f>ROUND(C231,0)</f>
        <v>1869</v>
      </c>
      <c r="CA722" s="214">
        <f>ROUND(C233,0)</f>
        <v>2133897</v>
      </c>
      <c r="CB722" s="214">
        <f>ROUND(C234,0)</f>
        <v>7258855</v>
      </c>
      <c r="CC722" s="214">
        <f>ROUND(C238+C239,0)</f>
        <v>1747564</v>
      </c>
      <c r="CD722" s="214">
        <f>D221</f>
        <v>-1806529</v>
      </c>
      <c r="CE722" s="214"/>
    </row>
    <row r="723" spans="1:84" ht="12.65" customHeight="1" x14ac:dyDescent="0.3"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  <c r="BC723" s="215"/>
      <c r="BD723" s="215"/>
      <c r="BE723" s="215"/>
      <c r="BF723" s="215"/>
      <c r="BG723" s="215"/>
      <c r="BH723" s="215"/>
      <c r="BI723" s="215"/>
      <c r="BJ723" s="215"/>
      <c r="BK723" s="215"/>
      <c r="BL723" s="215"/>
      <c r="BM723" s="215"/>
      <c r="BN723" s="215"/>
      <c r="BO723" s="215"/>
      <c r="BP723" s="215"/>
      <c r="BQ723" s="215"/>
      <c r="BR723" s="215"/>
      <c r="BS723" s="215"/>
      <c r="BT723" s="215"/>
      <c r="BU723" s="215"/>
      <c r="BV723" s="215"/>
      <c r="BW723" s="215"/>
      <c r="BX723" s="215"/>
      <c r="BY723" s="215"/>
      <c r="BZ723" s="215"/>
      <c r="CA723" s="215"/>
      <c r="CB723" s="215"/>
      <c r="CC723" s="215"/>
      <c r="CD723" s="215"/>
      <c r="CE723" s="215"/>
    </row>
    <row r="724" spans="1:84" s="152" customFormat="1" ht="12.65" customHeight="1" x14ac:dyDescent="0.3">
      <c r="A724" s="152" t="s">
        <v>148</v>
      </c>
      <c r="B724" s="214"/>
      <c r="C724" s="214"/>
      <c r="D724" s="214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  <c r="AA724" s="214"/>
      <c r="AB724" s="214"/>
      <c r="AC724" s="214"/>
      <c r="AD724" s="214"/>
      <c r="AE724" s="214"/>
      <c r="AF724" s="214"/>
      <c r="AG724" s="214"/>
      <c r="AH724" s="214"/>
      <c r="AI724" s="214"/>
      <c r="AJ724" s="214"/>
      <c r="AK724" s="214"/>
      <c r="AL724" s="214"/>
      <c r="AM724" s="214"/>
      <c r="AN724" s="214"/>
      <c r="AO724" s="214"/>
      <c r="AP724" s="214"/>
      <c r="AQ724" s="214"/>
      <c r="AR724" s="214"/>
      <c r="AS724" s="214"/>
      <c r="AT724" s="214"/>
      <c r="AU724" s="214"/>
      <c r="AV724" s="214"/>
      <c r="AW724" s="214"/>
      <c r="AX724" s="214"/>
      <c r="AY724" s="214"/>
      <c r="AZ724" s="214"/>
      <c r="BA724" s="214"/>
      <c r="BB724" s="214"/>
      <c r="BC724" s="214"/>
      <c r="BD724" s="214"/>
      <c r="BE724" s="214"/>
      <c r="BF724" s="214"/>
      <c r="BG724" s="214"/>
      <c r="BH724" s="214"/>
      <c r="BI724" s="214"/>
      <c r="BJ724" s="214"/>
      <c r="BK724" s="214"/>
      <c r="BL724" s="214"/>
      <c r="BM724" s="214"/>
      <c r="BN724" s="214"/>
      <c r="BO724" s="214"/>
      <c r="BP724" s="214"/>
      <c r="BQ724" s="214"/>
      <c r="BR724" s="214"/>
      <c r="BS724" s="214"/>
      <c r="BT724" s="214"/>
      <c r="BU724" s="214"/>
      <c r="BV724" s="214"/>
      <c r="BW724" s="214"/>
      <c r="BX724" s="214"/>
      <c r="BY724" s="214"/>
      <c r="BZ724" s="214"/>
      <c r="CA724" s="214"/>
      <c r="CB724" s="214"/>
      <c r="CC724" s="214"/>
      <c r="CD724" s="214"/>
      <c r="CE724" s="214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039*2021*A</v>
      </c>
      <c r="B726" s="214">
        <f>ROUND(C111,0)</f>
        <v>5866</v>
      </c>
      <c r="C726" s="214">
        <f>ROUND(C112,0)</f>
        <v>0</v>
      </c>
      <c r="D726" s="214">
        <f>ROUND(C113,0)</f>
        <v>0</v>
      </c>
      <c r="E726" s="214">
        <f>ROUND(C114,0)</f>
        <v>1365</v>
      </c>
      <c r="F726" s="214">
        <f>ROUND(D111,0)</f>
        <v>21433</v>
      </c>
      <c r="G726" s="214">
        <f>ROUND(D112,0)</f>
        <v>0</v>
      </c>
      <c r="H726" s="214">
        <f>ROUND(D113,0)</f>
        <v>0</v>
      </c>
      <c r="I726" s="214">
        <f>ROUND(D114,0)</f>
        <v>2032</v>
      </c>
      <c r="J726" s="214">
        <f>ROUND(C116,0)</f>
        <v>14</v>
      </c>
      <c r="K726" s="214">
        <f>ROUND(C117,0)</f>
        <v>0</v>
      </c>
      <c r="L726" s="214">
        <f>ROUND(C118,0)</f>
        <v>60</v>
      </c>
      <c r="M726" s="214">
        <f>ROUND(C119,0)</f>
        <v>7</v>
      </c>
      <c r="N726" s="214">
        <f>ROUND(C120,0)</f>
        <v>20</v>
      </c>
      <c r="O726" s="214">
        <f>ROUND(C121,0)</f>
        <v>0</v>
      </c>
      <c r="P726" s="214">
        <f>ROUND(C122,0)</f>
        <v>0</v>
      </c>
      <c r="Q726" s="214">
        <f>ROUND(C123,0)</f>
        <v>0</v>
      </c>
      <c r="R726" s="214">
        <f>ROUND(C124,0)</f>
        <v>0</v>
      </c>
      <c r="S726" s="214">
        <f>ROUND(C125,0)</f>
        <v>0</v>
      </c>
      <c r="T726" s="214"/>
      <c r="U726" s="214">
        <f>ROUND(C126,0)</f>
        <v>10</v>
      </c>
      <c r="V726" s="214">
        <f>ROUND(C128,0)</f>
        <v>111</v>
      </c>
      <c r="W726" s="214">
        <f>ROUND(C129,0)</f>
        <v>10</v>
      </c>
      <c r="X726" s="214">
        <f>ROUND(B138,0)</f>
        <v>1917</v>
      </c>
      <c r="Y726" s="214">
        <f>ROUND(B139,0)</f>
        <v>10347</v>
      </c>
      <c r="Z726" s="214">
        <f>ROUND(B140,0)</f>
        <v>31331</v>
      </c>
      <c r="AA726" s="214">
        <f>ROUND(B141,0)</f>
        <v>101722500</v>
      </c>
      <c r="AB726" s="214">
        <f>ROUND(B142,0)</f>
        <v>158711854</v>
      </c>
      <c r="AC726" s="214">
        <f>ROUND(C138,0)</f>
        <v>1205</v>
      </c>
      <c r="AD726" s="214">
        <f>ROUND(C139,0)</f>
        <v>4951</v>
      </c>
      <c r="AE726" s="214">
        <f>ROUND(C140,0)</f>
        <v>22677</v>
      </c>
      <c r="AF726" s="214">
        <f>ROUND(C141,0)</f>
        <v>46259580</v>
      </c>
      <c r="AG726" s="214">
        <f>ROUND(C142,0)</f>
        <v>84475211</v>
      </c>
      <c r="AH726" s="214">
        <f>ROUND(D138,0)</f>
        <v>2744</v>
      </c>
      <c r="AI726" s="214">
        <f>ROUND(D139,0)</f>
        <v>6135</v>
      </c>
      <c r="AJ726" s="214">
        <f>ROUND(D140,0)</f>
        <v>31787</v>
      </c>
      <c r="AK726" s="214">
        <f>ROUND(D141,0)</f>
        <v>67252645</v>
      </c>
      <c r="AL726" s="214">
        <f>ROUND(D142,0)</f>
        <v>142811096</v>
      </c>
      <c r="AM726" s="214">
        <f>ROUND(B144,0)</f>
        <v>0</v>
      </c>
      <c r="AN726" s="214">
        <f>ROUND(B145,0)</f>
        <v>0</v>
      </c>
      <c r="AO726" s="214">
        <f>ROUND(B146,0)</f>
        <v>0</v>
      </c>
      <c r="AP726" s="214">
        <f>ROUND(B147,0)</f>
        <v>0</v>
      </c>
      <c r="AQ726" s="214">
        <f>ROUND(B148,0)</f>
        <v>0</v>
      </c>
      <c r="AR726" s="214">
        <f>ROUND(C144,0)</f>
        <v>0</v>
      </c>
      <c r="AS726" s="214">
        <f>ROUND(C145,0)</f>
        <v>0</v>
      </c>
      <c r="AT726" s="214">
        <f>ROUND(C146,0)</f>
        <v>0</v>
      </c>
      <c r="AU726" s="214">
        <f>ROUND(C147,0)</f>
        <v>0</v>
      </c>
      <c r="AV726" s="214">
        <f>ROUND(C148,0)</f>
        <v>0</v>
      </c>
      <c r="AW726" s="214">
        <f>ROUND(D144,0)</f>
        <v>0</v>
      </c>
      <c r="AX726" s="214">
        <f>ROUND(D145,0)</f>
        <v>0</v>
      </c>
      <c r="AY726" s="214">
        <f>ROUND(D146,0)</f>
        <v>0</v>
      </c>
      <c r="AZ726" s="214">
        <f>ROUND(D147,0)</f>
        <v>0</v>
      </c>
      <c r="BA726" s="214">
        <f>ROUND(D148,0)</f>
        <v>0</v>
      </c>
      <c r="BB726" s="214">
        <f>ROUND(B150,0)</f>
        <v>0</v>
      </c>
      <c r="BC726" s="214">
        <f>ROUND(B151,0)</f>
        <v>0</v>
      </c>
      <c r="BD726" s="214">
        <f>ROUND(B152,0)</f>
        <v>0</v>
      </c>
      <c r="BE726" s="214">
        <f>ROUND(B153,0)</f>
        <v>0</v>
      </c>
      <c r="BF726" s="214">
        <f>ROUND(B154,0)</f>
        <v>0</v>
      </c>
      <c r="BG726" s="214">
        <f>ROUND(C150,0)</f>
        <v>0</v>
      </c>
      <c r="BH726" s="214">
        <f>ROUND(C151,0)</f>
        <v>0</v>
      </c>
      <c r="BI726" s="214">
        <f>ROUND(C152,0)</f>
        <v>0</v>
      </c>
      <c r="BJ726" s="214">
        <f>ROUND(C153,0)</f>
        <v>0</v>
      </c>
      <c r="BK726" s="214">
        <f>ROUND(C154,0)</f>
        <v>0</v>
      </c>
      <c r="BL726" s="214">
        <f>ROUND(D150,0)</f>
        <v>0</v>
      </c>
      <c r="BM726" s="214">
        <f>ROUND(D151,0)</f>
        <v>0</v>
      </c>
      <c r="BN726" s="214">
        <f>ROUND(D152,0)</f>
        <v>0</v>
      </c>
      <c r="BO726" s="214">
        <f>ROUND(D153,0)</f>
        <v>0</v>
      </c>
      <c r="BP726" s="214">
        <f>ROUND(D154,0)</f>
        <v>0</v>
      </c>
      <c r="BQ726" s="214">
        <f>ROUND(B157,0)</f>
        <v>0</v>
      </c>
      <c r="BR726" s="214">
        <f>ROUND(C157,0)</f>
        <v>0</v>
      </c>
      <c r="BS726" s="214"/>
      <c r="BT726" s="214"/>
      <c r="BU726" s="214"/>
      <c r="BV726" s="214"/>
      <c r="BW726" s="214"/>
      <c r="BX726" s="214"/>
      <c r="BY726" s="214"/>
      <c r="BZ726" s="214"/>
      <c r="CA726" s="214"/>
      <c r="CB726" s="214"/>
      <c r="CC726" s="214"/>
      <c r="CD726" s="214"/>
      <c r="CE726" s="214"/>
    </row>
    <row r="727" spans="1:84" ht="12.65" customHeight="1" x14ac:dyDescent="0.3"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  <c r="BC727" s="215"/>
      <c r="BD727" s="215"/>
      <c r="BE727" s="215"/>
      <c r="BF727" s="215"/>
      <c r="BG727" s="215"/>
      <c r="BH727" s="215"/>
      <c r="BI727" s="215"/>
      <c r="BJ727" s="215"/>
      <c r="BK727" s="215"/>
      <c r="BL727" s="215"/>
      <c r="BM727" s="215"/>
      <c r="BN727" s="215"/>
      <c r="BO727" s="215"/>
      <c r="BP727" s="215"/>
      <c r="BQ727" s="215"/>
      <c r="BR727" s="215"/>
      <c r="BS727" s="215"/>
      <c r="BT727" s="215"/>
      <c r="BU727" s="215"/>
      <c r="BV727" s="215"/>
      <c r="BW727" s="215"/>
      <c r="BX727" s="215"/>
      <c r="BY727" s="215"/>
      <c r="BZ727" s="215"/>
      <c r="CA727" s="215"/>
      <c r="CB727" s="215"/>
      <c r="CC727" s="215"/>
      <c r="CD727" s="215"/>
      <c r="CE727" s="215"/>
    </row>
    <row r="728" spans="1:84" s="152" customFormat="1" ht="12.65" customHeight="1" x14ac:dyDescent="0.3">
      <c r="A728" s="152" t="s">
        <v>895</v>
      </c>
      <c r="B728" s="214"/>
      <c r="C728" s="214"/>
      <c r="D728" s="214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  <c r="AA728" s="214"/>
      <c r="AB728" s="214"/>
      <c r="AC728" s="214"/>
      <c r="AD728" s="214"/>
      <c r="AE728" s="214"/>
      <c r="AF728" s="214"/>
      <c r="AG728" s="214"/>
      <c r="AH728" s="214"/>
      <c r="AI728" s="214"/>
      <c r="AJ728" s="214"/>
      <c r="AK728" s="214"/>
      <c r="AL728" s="214"/>
      <c r="AM728" s="214"/>
      <c r="AN728" s="214"/>
      <c r="AO728" s="214"/>
      <c r="AP728" s="214"/>
      <c r="AQ728" s="214"/>
      <c r="AR728" s="214"/>
      <c r="AS728" s="214"/>
      <c r="AT728" s="214"/>
      <c r="AU728" s="214"/>
      <c r="AV728" s="214"/>
      <c r="AW728" s="214"/>
      <c r="AX728" s="214"/>
      <c r="AY728" s="214"/>
      <c r="AZ728" s="214"/>
      <c r="BA728" s="214"/>
      <c r="BB728" s="214"/>
      <c r="BC728" s="214"/>
      <c r="BD728" s="214"/>
      <c r="BE728" s="214"/>
      <c r="BF728" s="214"/>
      <c r="BG728" s="214"/>
      <c r="BH728" s="214"/>
      <c r="BI728" s="214"/>
      <c r="BJ728" s="214"/>
      <c r="BK728" s="214"/>
      <c r="BL728" s="214"/>
      <c r="BM728" s="214"/>
      <c r="BN728" s="214"/>
      <c r="BO728" s="214"/>
      <c r="BP728" s="214"/>
      <c r="BQ728" s="214"/>
      <c r="BR728" s="214"/>
      <c r="BS728" s="214"/>
      <c r="BT728" s="214"/>
      <c r="BU728" s="214"/>
      <c r="BV728" s="214"/>
      <c r="BW728" s="214"/>
      <c r="BX728" s="214"/>
      <c r="BY728" s="214"/>
      <c r="BZ728" s="214"/>
      <c r="CA728" s="214"/>
      <c r="CB728" s="214"/>
      <c r="CC728" s="214"/>
      <c r="CD728" s="214"/>
      <c r="CE728" s="214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039*2021*A</v>
      </c>
      <c r="B730" s="214">
        <f>ROUND(C250,0)</f>
        <v>-697025</v>
      </c>
      <c r="C730" s="214">
        <f>ROUND(C251,0)</f>
        <v>0</v>
      </c>
      <c r="D730" s="214">
        <f>ROUND(C252,0)</f>
        <v>107103079</v>
      </c>
      <c r="E730" s="214">
        <f>ROUND(C253,0)</f>
        <v>82770609</v>
      </c>
      <c r="F730" s="214">
        <f>ROUND(C254,0)</f>
        <v>1588151</v>
      </c>
      <c r="G730" s="214">
        <f>ROUND(C255,0)</f>
        <v>2124699</v>
      </c>
      <c r="H730" s="214">
        <f>ROUND(C256,0)</f>
        <v>0</v>
      </c>
      <c r="I730" s="214">
        <f>ROUND(C257,0)</f>
        <v>4456064</v>
      </c>
      <c r="J730" s="214">
        <f>ROUND(C258,0)</f>
        <v>3514496</v>
      </c>
      <c r="K730" s="214">
        <f>ROUND(C259,0)</f>
        <v>0</v>
      </c>
      <c r="L730" s="214">
        <f>ROUND(C262,0)</f>
        <v>0</v>
      </c>
      <c r="M730" s="214">
        <f>ROUND(C263,0)</f>
        <v>0</v>
      </c>
      <c r="N730" s="214">
        <f>ROUND(C264,0)</f>
        <v>0</v>
      </c>
      <c r="O730" s="214">
        <f>ROUND(C267,0)</f>
        <v>13131163</v>
      </c>
      <c r="P730" s="214">
        <f>ROUND(C268,0)</f>
        <v>1013700</v>
      </c>
      <c r="Q730" s="214">
        <f>ROUND(C269,0)</f>
        <v>18917766</v>
      </c>
      <c r="R730" s="214">
        <f>ROUND(C270,0)</f>
        <v>0</v>
      </c>
      <c r="S730" s="214">
        <f>ROUND(C271,0)</f>
        <v>0</v>
      </c>
      <c r="T730" s="214">
        <f>ROUND(C272,0)</f>
        <v>18426323</v>
      </c>
      <c r="U730" s="214">
        <f>ROUND(C273,0)</f>
        <v>15814662</v>
      </c>
      <c r="V730" s="214">
        <f>ROUND(C274,0)</f>
        <v>18471375</v>
      </c>
      <c r="W730" s="214">
        <f>ROUND(C275,0)</f>
        <v>0</v>
      </c>
      <c r="X730" s="214">
        <f>ROUND(C276,0)</f>
        <v>23155668</v>
      </c>
      <c r="Y730" s="214">
        <f>ROUND(C279,0)</f>
        <v>0</v>
      </c>
      <c r="Z730" s="214">
        <f>ROUND(C280,0)</f>
        <v>0</v>
      </c>
      <c r="AA730" s="214">
        <f>ROUND(C281,0)</f>
        <v>161590</v>
      </c>
      <c r="AB730" s="214">
        <f>ROUND(C282,0)</f>
        <v>0</v>
      </c>
      <c r="AC730" s="214">
        <f>ROUND(C286,0)</f>
        <v>22280144</v>
      </c>
      <c r="AD730" s="214">
        <f>ROUND(C287,0)</f>
        <v>0</v>
      </c>
      <c r="AE730" s="214">
        <f>ROUND(C288,0)</f>
        <v>0</v>
      </c>
      <c r="AF730" s="214">
        <f>ROUND(C289,0)</f>
        <v>0</v>
      </c>
      <c r="AG730" s="214">
        <f>ROUND(C304,0)</f>
        <v>0</v>
      </c>
      <c r="AH730" s="214">
        <f>ROUND(C305,0)</f>
        <v>7727248</v>
      </c>
      <c r="AI730" s="214">
        <f>ROUND(C306,0)</f>
        <v>9641030</v>
      </c>
      <c r="AJ730" s="214">
        <f>ROUND(C307,0)</f>
        <v>0</v>
      </c>
      <c r="AK730" s="214">
        <f>ROUND(C308,0)</f>
        <v>0</v>
      </c>
      <c r="AL730" s="214">
        <f>ROUND(C309,0)</f>
        <v>439705</v>
      </c>
      <c r="AM730" s="214">
        <f>ROUND(C310,0)</f>
        <v>0</v>
      </c>
      <c r="AN730" s="214">
        <f>ROUND(C311,0)</f>
        <v>0</v>
      </c>
      <c r="AO730" s="214">
        <f>ROUND(C312,0)</f>
        <v>0</v>
      </c>
      <c r="AP730" s="214">
        <f>ROUND(C313,0)</f>
        <v>309718</v>
      </c>
      <c r="AQ730" s="214">
        <f>ROUND(C316,0)</f>
        <v>0</v>
      </c>
      <c r="AR730" s="214">
        <f>ROUND(C317,0)</f>
        <v>0</v>
      </c>
      <c r="AS730" s="214">
        <f>ROUND(C318,0)</f>
        <v>575413</v>
      </c>
      <c r="AT730" s="214">
        <f>ROUND(C321,0)</f>
        <v>0</v>
      </c>
      <c r="AU730" s="214">
        <f>ROUND(C322,0)</f>
        <v>0</v>
      </c>
      <c r="AV730" s="214">
        <f>ROUND(C323,0)</f>
        <v>0</v>
      </c>
      <c r="AW730" s="214">
        <f>ROUND(C324,0)</f>
        <v>33513878</v>
      </c>
      <c r="AX730" s="214">
        <f>ROUND(C325,0)</f>
        <v>0</v>
      </c>
      <c r="AY730" s="214">
        <f>ROUND(C326,0)</f>
        <v>45973460</v>
      </c>
      <c r="AZ730" s="214">
        <f>ROUND(C327,0)</f>
        <v>0</v>
      </c>
      <c r="BA730" s="214">
        <f>ROUND(C328,0)</f>
        <v>0</v>
      </c>
      <c r="BB730" s="214">
        <f>ROUND(C332,0)</f>
        <v>26122476</v>
      </c>
      <c r="BC730" s="214"/>
      <c r="BD730" s="214"/>
      <c r="BE730" s="214">
        <f>ROUND(C337,0)</f>
        <v>-3613301</v>
      </c>
      <c r="BF730" s="214">
        <f>ROUND(C336,0)</f>
        <v>0</v>
      </c>
      <c r="BG730" s="214"/>
      <c r="BH730" s="214"/>
      <c r="BI730" s="214">
        <f>ROUND(CE60,2)</f>
        <v>766.07</v>
      </c>
      <c r="BJ730" s="214">
        <f>ROUND(C359,0)</f>
        <v>215234725</v>
      </c>
      <c r="BK730" s="214">
        <f>ROUND(C360,0)</f>
        <v>385998161</v>
      </c>
      <c r="BL730" s="214">
        <f>ROUND(C364,0)</f>
        <v>425290574</v>
      </c>
      <c r="BM730" s="214">
        <f>ROUND(C365,0)</f>
        <v>9392753</v>
      </c>
      <c r="BN730" s="214">
        <f>ROUND(C366,0)</f>
        <v>1747566</v>
      </c>
      <c r="BO730" s="214">
        <f>ROUND(C370,0)</f>
        <v>1689480</v>
      </c>
      <c r="BP730" s="214">
        <f>ROUND(C371,0)</f>
        <v>0</v>
      </c>
      <c r="BQ730" s="214">
        <f>ROUND(C378,0)</f>
        <v>73357192</v>
      </c>
      <c r="BR730" s="214">
        <f>ROUND(C379,0)</f>
        <v>13971563</v>
      </c>
      <c r="BS730" s="214">
        <f>ROUND(C380,0)</f>
        <v>12377772</v>
      </c>
      <c r="BT730" s="214">
        <f>ROUND(C381,0)</f>
        <v>34200152</v>
      </c>
      <c r="BU730" s="214">
        <f>ROUND(C382,0)</f>
        <v>2309697</v>
      </c>
      <c r="BV730" s="214">
        <f>ROUND(C383,0)</f>
        <v>16251996</v>
      </c>
      <c r="BW730" s="214">
        <f>ROUND(C384,0)</f>
        <v>5756291</v>
      </c>
      <c r="BX730" s="214">
        <f>ROUND(C385,0)</f>
        <v>-417432</v>
      </c>
      <c r="BY730" s="214">
        <f>ROUND(C386,0)</f>
        <v>1450874</v>
      </c>
      <c r="BZ730" s="214">
        <f>ROUND(C387,0)</f>
        <v>7594165</v>
      </c>
      <c r="CA730" s="214">
        <f>ROUND(C388,0)</f>
        <v>3355651</v>
      </c>
      <c r="CB730" s="214">
        <f>C363</f>
        <v>-1806529</v>
      </c>
      <c r="CC730" s="214">
        <f>ROUND(C389,0)</f>
        <v>1681611</v>
      </c>
      <c r="CD730" s="214">
        <f>ROUND(C392,0)</f>
        <v>-5989071</v>
      </c>
      <c r="CE730" s="214">
        <f>ROUND(C394,0)</f>
        <v>5967300</v>
      </c>
      <c r="CF730" s="152">
        <f>ROUND(C395,0)</f>
        <v>0</v>
      </c>
    </row>
    <row r="731" spans="1:84" ht="12.65" customHeight="1" x14ac:dyDescent="0.3"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  <c r="BC731" s="215"/>
      <c r="BD731" s="215"/>
      <c r="BE731" s="215"/>
      <c r="BF731" s="215"/>
      <c r="BG731" s="215"/>
      <c r="BH731" s="215"/>
      <c r="BI731" s="215"/>
      <c r="BJ731" s="215"/>
      <c r="BK731" s="215"/>
      <c r="BL731" s="215"/>
      <c r="BM731" s="215"/>
      <c r="BN731" s="215"/>
      <c r="BO731" s="215"/>
      <c r="BP731" s="215"/>
      <c r="BQ731" s="215"/>
      <c r="BR731" s="215"/>
      <c r="BS731" s="215"/>
      <c r="BT731" s="215"/>
      <c r="BU731" s="215"/>
      <c r="BV731" s="215"/>
      <c r="BW731" s="215"/>
      <c r="BX731" s="215"/>
      <c r="BY731" s="215"/>
      <c r="BZ731" s="215"/>
      <c r="CA731" s="215"/>
      <c r="CB731" s="215"/>
      <c r="CC731" s="215"/>
      <c r="CD731" s="215"/>
      <c r="CE731" s="215"/>
    </row>
    <row r="732" spans="1:84" s="152" customFormat="1" ht="12.65" customHeight="1" x14ac:dyDescent="0.3">
      <c r="A732" s="152" t="s">
        <v>979</v>
      </c>
      <c r="B732" s="214"/>
      <c r="C732" s="214"/>
      <c r="D732" s="214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  <c r="AA732" s="214"/>
      <c r="AB732" s="214"/>
      <c r="AC732" s="214"/>
      <c r="AD732" s="214"/>
      <c r="AE732" s="214"/>
      <c r="AF732" s="214"/>
      <c r="AG732" s="214"/>
      <c r="AH732" s="214"/>
      <c r="AI732" s="214"/>
      <c r="AJ732" s="214"/>
      <c r="AK732" s="214"/>
      <c r="AL732" s="214"/>
      <c r="AM732" s="214"/>
      <c r="AN732" s="214"/>
      <c r="AO732" s="214"/>
      <c r="AP732" s="214"/>
      <c r="AQ732" s="214"/>
      <c r="AR732" s="214"/>
      <c r="AS732" s="214"/>
      <c r="AT732" s="214"/>
      <c r="AU732" s="214"/>
      <c r="AV732" s="214"/>
      <c r="AW732" s="214"/>
      <c r="AX732" s="214"/>
      <c r="AY732" s="214"/>
      <c r="AZ732" s="214"/>
      <c r="BA732" s="214"/>
      <c r="BB732" s="214"/>
      <c r="BC732" s="214"/>
      <c r="BD732" s="214"/>
      <c r="BE732" s="214"/>
      <c r="BF732" s="214"/>
      <c r="BG732" s="214"/>
      <c r="BH732" s="214"/>
      <c r="BI732" s="214"/>
      <c r="BJ732" s="214"/>
      <c r="BK732" s="214"/>
      <c r="BL732" s="214"/>
      <c r="BM732" s="214"/>
      <c r="BN732" s="214"/>
      <c r="BO732" s="214"/>
      <c r="BP732" s="214"/>
      <c r="BQ732" s="214"/>
      <c r="BR732" s="214"/>
      <c r="BS732" s="214"/>
      <c r="BT732" s="214"/>
      <c r="BU732" s="214"/>
      <c r="BV732" s="214"/>
      <c r="BW732" s="214"/>
      <c r="BX732" s="214"/>
      <c r="BY732" s="214"/>
      <c r="BZ732" s="214"/>
      <c r="CA732" s="214"/>
      <c r="CB732" s="214"/>
      <c r="CC732" s="214"/>
      <c r="CD732" s="214"/>
      <c r="CE732" s="214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039*2021*6010*A</v>
      </c>
      <c r="B734" s="214">
        <f>ROUND(C59,0)</f>
        <v>4427</v>
      </c>
      <c r="C734" s="214">
        <f>ROUND(C60,2)</f>
        <v>36.49</v>
      </c>
      <c r="D734" s="214">
        <f>ROUND(C61,0)</f>
        <v>3174938</v>
      </c>
      <c r="E734" s="214">
        <f>ROUND(C62,0)</f>
        <v>604697</v>
      </c>
      <c r="F734" s="214">
        <f>ROUND(C63,0)</f>
        <v>3052526</v>
      </c>
      <c r="G734" s="214">
        <f>ROUND(C64,0)</f>
        <v>940597</v>
      </c>
      <c r="H734" s="214">
        <f>ROUND(C65,0)</f>
        <v>0</v>
      </c>
      <c r="I734" s="214">
        <f>ROUND(C66,0)</f>
        <v>22989</v>
      </c>
      <c r="J734" s="214">
        <f>ROUND(C67,0)</f>
        <v>95978</v>
      </c>
      <c r="K734" s="214">
        <f>ROUND(C68,0)</f>
        <v>16487</v>
      </c>
      <c r="L734" s="214">
        <f>ROUND(C69,0)</f>
        <v>432</v>
      </c>
      <c r="M734" s="214">
        <f>ROUND(C70,0)</f>
        <v>0</v>
      </c>
      <c r="N734" s="214">
        <f>ROUND(C75,0)</f>
        <v>17082070</v>
      </c>
      <c r="O734" s="214">
        <f>ROUND(C73,0)</f>
        <v>16578943</v>
      </c>
      <c r="P734" s="214">
        <f>IF(C76&gt;0,ROUND(C76,0),0)</f>
        <v>8232</v>
      </c>
      <c r="Q734" s="214">
        <f>IF(C77&gt;0,ROUND(C77,0),0)</f>
        <v>8060</v>
      </c>
      <c r="R734" s="214">
        <f>IF(C78&gt;0,ROUND(C78,0),0)</f>
        <v>1144</v>
      </c>
      <c r="S734" s="214">
        <f>IF(C79&gt;0,ROUND(C79,0),0)</f>
        <v>60313</v>
      </c>
      <c r="T734" s="214">
        <f>IF(C80&gt;0,ROUND(C80,2),0)</f>
        <v>29.25</v>
      </c>
      <c r="U734" s="214"/>
      <c r="V734" s="214"/>
      <c r="W734" s="214"/>
      <c r="X734" s="214"/>
      <c r="Y734" s="214">
        <f>IF(M668&lt;&gt;0,ROUND(M668,0),0)</f>
        <v>2081282</v>
      </c>
      <c r="Z734" s="214"/>
      <c r="AA734" s="214"/>
      <c r="AB734" s="214"/>
      <c r="AC734" s="214"/>
      <c r="AD734" s="214"/>
      <c r="AE734" s="214"/>
      <c r="AF734" s="214"/>
      <c r="AG734" s="214"/>
      <c r="AH734" s="214"/>
      <c r="AI734" s="214"/>
      <c r="AJ734" s="214"/>
      <c r="AK734" s="214"/>
      <c r="AL734" s="214"/>
      <c r="AM734" s="214"/>
      <c r="AN734" s="214"/>
      <c r="AO734" s="214"/>
      <c r="AP734" s="214"/>
      <c r="AQ734" s="214"/>
      <c r="AR734" s="214"/>
      <c r="AS734" s="214"/>
      <c r="AT734" s="214"/>
      <c r="AU734" s="214"/>
      <c r="AV734" s="214"/>
      <c r="AW734" s="214"/>
      <c r="AX734" s="214"/>
      <c r="AY734" s="214"/>
      <c r="AZ734" s="214"/>
      <c r="BA734" s="214"/>
      <c r="BB734" s="214"/>
      <c r="BC734" s="214"/>
      <c r="BD734" s="214"/>
      <c r="BE734" s="214"/>
      <c r="BF734" s="214"/>
      <c r="BG734" s="214"/>
      <c r="BH734" s="214"/>
      <c r="BI734" s="214"/>
      <c r="BJ734" s="214"/>
      <c r="BK734" s="214"/>
      <c r="BL734" s="214"/>
      <c r="BM734" s="214"/>
      <c r="BN734" s="214"/>
      <c r="BO734" s="214"/>
      <c r="BP734" s="214"/>
      <c r="BQ734" s="214"/>
      <c r="BR734" s="214"/>
      <c r="BS734" s="214"/>
      <c r="BT734" s="214"/>
      <c r="BU734" s="214"/>
      <c r="BV734" s="214"/>
      <c r="BW734" s="214"/>
      <c r="BX734" s="214"/>
      <c r="BY734" s="214"/>
      <c r="BZ734" s="214"/>
      <c r="CA734" s="214"/>
      <c r="CB734" s="214"/>
      <c r="CC734" s="214"/>
      <c r="CD734" s="214"/>
      <c r="CE734" s="214"/>
    </row>
    <row r="735" spans="1:84" ht="12.65" customHeight="1" x14ac:dyDescent="0.3">
      <c r="A735" s="160" t="str">
        <f>RIGHT($C$83,3)&amp;"*"&amp;RIGHT($C$82,4)&amp;"*"&amp;D$55&amp;"*"&amp;"A"</f>
        <v>039*2021*6030*A</v>
      </c>
      <c r="B735" s="214">
        <f>ROUND(D59,0)</f>
        <v>0</v>
      </c>
      <c r="C735" s="216">
        <f>ROUND(D60,2)</f>
        <v>0</v>
      </c>
      <c r="D735" s="214">
        <f>ROUND(D61,0)</f>
        <v>0</v>
      </c>
      <c r="E735" s="214">
        <f>ROUND(D62,0)</f>
        <v>0</v>
      </c>
      <c r="F735" s="214">
        <f>ROUND(D63,0)</f>
        <v>0</v>
      </c>
      <c r="G735" s="214">
        <f>ROUND(D64,0)</f>
        <v>0</v>
      </c>
      <c r="H735" s="214">
        <f>ROUND(D65,0)</f>
        <v>0</v>
      </c>
      <c r="I735" s="214">
        <f>ROUND(D66,0)</f>
        <v>0</v>
      </c>
      <c r="J735" s="214">
        <f>ROUND(D67,0)</f>
        <v>0</v>
      </c>
      <c r="K735" s="214">
        <f>ROUND(D68,0)</f>
        <v>0</v>
      </c>
      <c r="L735" s="214">
        <f>ROUND(D69,0)</f>
        <v>0</v>
      </c>
      <c r="M735" s="214">
        <f>ROUND(D70,0)</f>
        <v>0</v>
      </c>
      <c r="N735" s="214">
        <f>ROUND(D75,0)</f>
        <v>0</v>
      </c>
      <c r="O735" s="214">
        <f>ROUND(D73,0)</f>
        <v>0</v>
      </c>
      <c r="P735" s="214">
        <f>IF(D76&gt;0,ROUND(D76,0),0)</f>
        <v>0</v>
      </c>
      <c r="Q735" s="214">
        <f>IF(D77&gt;0,ROUND(D77,0),0)</f>
        <v>0</v>
      </c>
      <c r="R735" s="214">
        <f>IF(D78&gt;0,ROUND(D78,0),0)</f>
        <v>0</v>
      </c>
      <c r="S735" s="214">
        <f>IF(D79&gt;0,ROUND(D79,0),0)</f>
        <v>0</v>
      </c>
      <c r="T735" s="216">
        <f>IF(D80&gt;0,ROUND(D80,2),0)</f>
        <v>0</v>
      </c>
      <c r="U735" s="214"/>
      <c r="V735" s="215"/>
      <c r="W735" s="214"/>
      <c r="X735" s="214"/>
      <c r="Y735" s="214">
        <f t="shared" ref="Y735:Y779" si="23">IF(M669&lt;&gt;0,ROUND(M669,0),0)</f>
        <v>0</v>
      </c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5"/>
      <c r="BN735" s="215"/>
      <c r="BO735" s="215"/>
      <c r="BP735" s="215"/>
      <c r="BQ735" s="215"/>
      <c r="BR735" s="215"/>
      <c r="BS735" s="215"/>
      <c r="BT735" s="215"/>
      <c r="BU735" s="215"/>
      <c r="BV735" s="215"/>
      <c r="BW735" s="215"/>
      <c r="BX735" s="215"/>
      <c r="BY735" s="215"/>
      <c r="BZ735" s="215"/>
      <c r="CA735" s="215"/>
      <c r="CB735" s="215"/>
      <c r="CC735" s="215"/>
      <c r="CD735" s="215"/>
      <c r="CE735" s="215"/>
    </row>
    <row r="736" spans="1:84" ht="12.65" customHeight="1" x14ac:dyDescent="0.3">
      <c r="A736" s="160" t="str">
        <f>RIGHT($C$83,3)&amp;"*"&amp;RIGHT($C$82,4)&amp;"*"&amp;E$55&amp;"*"&amp;"A"</f>
        <v>039*2021*6070*A</v>
      </c>
      <c r="B736" s="214">
        <f>ROUND(E59,0)</f>
        <v>14217</v>
      </c>
      <c r="C736" s="216">
        <f>ROUND(E60,2)</f>
        <v>65.28</v>
      </c>
      <c r="D736" s="214">
        <f>ROUND(E61,0)</f>
        <v>5458893</v>
      </c>
      <c r="E736" s="214">
        <f>ROUND(E62,0)</f>
        <v>1039697</v>
      </c>
      <c r="F736" s="214">
        <f>ROUND(E63,0)</f>
        <v>701773</v>
      </c>
      <c r="G736" s="214">
        <f>ROUND(E64,0)</f>
        <v>844209</v>
      </c>
      <c r="H736" s="214">
        <f>ROUND(E65,0)</f>
        <v>0</v>
      </c>
      <c r="I736" s="214">
        <f>ROUND(E66,0)</f>
        <v>484973</v>
      </c>
      <c r="J736" s="214">
        <f>ROUND(E67,0)</f>
        <v>324498</v>
      </c>
      <c r="K736" s="214">
        <f>ROUND(E68,0)</f>
        <v>4347</v>
      </c>
      <c r="L736" s="214">
        <f>ROUND(E69,0)</f>
        <v>0</v>
      </c>
      <c r="M736" s="214">
        <f>ROUND(E70,0)</f>
        <v>0</v>
      </c>
      <c r="N736" s="214">
        <f>ROUND(E75,0)</f>
        <v>29017957</v>
      </c>
      <c r="O736" s="214">
        <f>ROUND(E73,0)</f>
        <v>23969273</v>
      </c>
      <c r="P736" s="214">
        <f>IF(E76&gt;0,ROUND(E76,0),0)</f>
        <v>27832</v>
      </c>
      <c r="Q736" s="214">
        <f>IF(E77&gt;0,ROUND(E77,0),0)</f>
        <v>36042</v>
      </c>
      <c r="R736" s="214">
        <f>IF(E78&gt;0,ROUND(E78,0),0)</f>
        <v>3866</v>
      </c>
      <c r="S736" s="214">
        <f>IF(E79&gt;0,ROUND(E79,0),0)</f>
        <v>118369</v>
      </c>
      <c r="T736" s="216">
        <f>IF(E80&gt;0,ROUND(E80,2),0)</f>
        <v>52.5</v>
      </c>
      <c r="U736" s="214"/>
      <c r="V736" s="215"/>
      <c r="W736" s="214"/>
      <c r="X736" s="214"/>
      <c r="Y736" s="214">
        <f t="shared" si="23"/>
        <v>4463308</v>
      </c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5"/>
      <c r="BN736" s="215"/>
      <c r="BO736" s="215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</row>
    <row r="737" spans="1:83" ht="12.65" customHeight="1" x14ac:dyDescent="0.3">
      <c r="A737" s="160" t="str">
        <f>RIGHT($C$83,3)&amp;"*"&amp;RIGHT($C$82,4)&amp;"*"&amp;F$55&amp;"*"&amp;"A"</f>
        <v>039*2021*6100*A</v>
      </c>
      <c r="B737" s="214">
        <f>ROUND(F59,0)</f>
        <v>2789</v>
      </c>
      <c r="C737" s="216">
        <f>ROUND(F60,2)</f>
        <v>48.95</v>
      </c>
      <c r="D737" s="214">
        <f>ROUND(F61,0)</f>
        <v>4746297</v>
      </c>
      <c r="E737" s="214">
        <f>ROUND(F62,0)</f>
        <v>903977</v>
      </c>
      <c r="F737" s="214">
        <f>ROUND(F63,0)</f>
        <v>215238</v>
      </c>
      <c r="G737" s="214">
        <f>ROUND(F64,0)</f>
        <v>562995</v>
      </c>
      <c r="H737" s="214">
        <f>ROUND(F65,0)</f>
        <v>0</v>
      </c>
      <c r="I737" s="214">
        <f>ROUND(F66,0)</f>
        <v>43294</v>
      </c>
      <c r="J737" s="214">
        <f>ROUND(F67,0)</f>
        <v>153925</v>
      </c>
      <c r="K737" s="214">
        <f>ROUND(F68,0)</f>
        <v>-100</v>
      </c>
      <c r="L737" s="214">
        <f>ROUND(F69,0)</f>
        <v>8000</v>
      </c>
      <c r="M737" s="214">
        <f>ROUND(F70,0)</f>
        <v>0</v>
      </c>
      <c r="N737" s="214">
        <f>ROUND(F75,0)</f>
        <v>24133904</v>
      </c>
      <c r="O737" s="214">
        <f>ROUND(F73,0)</f>
        <v>22318546</v>
      </c>
      <c r="P737" s="214">
        <f>IF(F76&gt;0,ROUND(F76,0),0)</f>
        <v>13202</v>
      </c>
      <c r="Q737" s="214">
        <f>IF(F77&gt;0,ROUND(F77,0),0)</f>
        <v>8455</v>
      </c>
      <c r="R737" s="214">
        <f>IF(F78&gt;0,ROUND(F78,0),0)</f>
        <v>1834</v>
      </c>
      <c r="S737" s="214">
        <f>IF(F79&gt;0,ROUND(F79,0),0)</f>
        <v>66084</v>
      </c>
      <c r="T737" s="216">
        <f>IF(F80&gt;0,ROUND(F80,2),0)</f>
        <v>35.25</v>
      </c>
      <c r="U737" s="214"/>
      <c r="V737" s="215"/>
      <c r="W737" s="214"/>
      <c r="X737" s="214"/>
      <c r="Y737" s="214">
        <f t="shared" si="23"/>
        <v>2398672</v>
      </c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5"/>
      <c r="BN737" s="215"/>
      <c r="BO737" s="215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</row>
    <row r="738" spans="1:83" ht="12.65" customHeight="1" x14ac:dyDescent="0.3">
      <c r="A738" s="160" t="str">
        <f>RIGHT($C$83,3)&amp;"*"&amp;RIGHT($C$82,4)&amp;"*"&amp;G$55&amp;"*"&amp;"A"</f>
        <v>039*2021*6120*A</v>
      </c>
      <c r="B738" s="214">
        <f>ROUND(G59,0)</f>
        <v>0</v>
      </c>
      <c r="C738" s="216">
        <f>ROUND(G60,2)</f>
        <v>0</v>
      </c>
      <c r="D738" s="214">
        <f>ROUND(G61,0)</f>
        <v>0</v>
      </c>
      <c r="E738" s="214">
        <f>ROUND(G62,0)</f>
        <v>0</v>
      </c>
      <c r="F738" s="214">
        <f>ROUND(G63,0)</f>
        <v>0</v>
      </c>
      <c r="G738" s="214">
        <f>ROUND(G64,0)</f>
        <v>0</v>
      </c>
      <c r="H738" s="214">
        <f>ROUND(G65,0)</f>
        <v>0</v>
      </c>
      <c r="I738" s="214">
        <f>ROUND(G66,0)</f>
        <v>0</v>
      </c>
      <c r="J738" s="214">
        <f>ROUND(G67,0)</f>
        <v>0</v>
      </c>
      <c r="K738" s="214">
        <f>ROUND(G68,0)</f>
        <v>0</v>
      </c>
      <c r="L738" s="214">
        <f>ROUND(G69,0)</f>
        <v>0</v>
      </c>
      <c r="M738" s="214">
        <f>ROUND(G70,0)</f>
        <v>0</v>
      </c>
      <c r="N738" s="214">
        <f>ROUND(G75,0)</f>
        <v>0</v>
      </c>
      <c r="O738" s="214">
        <f>ROUND(G73,0)</f>
        <v>0</v>
      </c>
      <c r="P738" s="214">
        <f>IF(G76&gt;0,ROUND(G76,0),0)</f>
        <v>0</v>
      </c>
      <c r="Q738" s="214">
        <f>IF(G77&gt;0,ROUND(G77,0),0)</f>
        <v>0</v>
      </c>
      <c r="R738" s="214">
        <f>IF(G78&gt;0,ROUND(G78,0),0)</f>
        <v>0</v>
      </c>
      <c r="S738" s="214">
        <f>IF(G79&gt;0,ROUND(G79,0),0)</f>
        <v>0</v>
      </c>
      <c r="T738" s="216">
        <f>IF(G80&gt;0,ROUND(G80,2),0)</f>
        <v>0</v>
      </c>
      <c r="U738" s="214"/>
      <c r="V738" s="215"/>
      <c r="W738" s="214"/>
      <c r="X738" s="214"/>
      <c r="Y738" s="214">
        <f t="shared" si="23"/>
        <v>0</v>
      </c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  <c r="BI738" s="215"/>
      <c r="BJ738" s="215"/>
      <c r="BK738" s="215"/>
      <c r="BL738" s="215"/>
      <c r="BM738" s="215"/>
      <c r="BN738" s="215"/>
      <c r="BO738" s="215"/>
      <c r="BP738" s="215"/>
      <c r="BQ738" s="215"/>
      <c r="BR738" s="215"/>
      <c r="BS738" s="215"/>
      <c r="BT738" s="215"/>
      <c r="BU738" s="215"/>
      <c r="BV738" s="215"/>
      <c r="BW738" s="215"/>
      <c r="BX738" s="215"/>
      <c r="BY738" s="215"/>
      <c r="BZ738" s="215"/>
      <c r="CA738" s="215"/>
      <c r="CB738" s="215"/>
      <c r="CC738" s="215"/>
      <c r="CD738" s="215"/>
      <c r="CE738" s="215"/>
    </row>
    <row r="739" spans="1:83" ht="12.65" customHeight="1" x14ac:dyDescent="0.3">
      <c r="A739" s="160" t="str">
        <f>RIGHT($C$83,3)&amp;"*"&amp;RIGHT($C$82,4)&amp;"*"&amp;H$55&amp;"*"&amp;"A"</f>
        <v>039*2021*6140*A</v>
      </c>
      <c r="B739" s="214">
        <f>ROUND(H59,0)</f>
        <v>0</v>
      </c>
      <c r="C739" s="216">
        <f>ROUND(H60,2)</f>
        <v>0</v>
      </c>
      <c r="D739" s="214">
        <f>ROUND(H61,0)</f>
        <v>0</v>
      </c>
      <c r="E739" s="214">
        <f>ROUND(H62,0)</f>
        <v>0</v>
      </c>
      <c r="F739" s="214">
        <f>ROUND(H63,0)</f>
        <v>0</v>
      </c>
      <c r="G739" s="214">
        <f>ROUND(H64,0)</f>
        <v>0</v>
      </c>
      <c r="H739" s="214">
        <f>ROUND(H65,0)</f>
        <v>0</v>
      </c>
      <c r="I739" s="214">
        <f>ROUND(H66,0)</f>
        <v>0</v>
      </c>
      <c r="J739" s="214">
        <f>ROUND(H67,0)</f>
        <v>0</v>
      </c>
      <c r="K739" s="214">
        <f>ROUND(H68,0)</f>
        <v>0</v>
      </c>
      <c r="L739" s="214">
        <f>ROUND(H69,0)</f>
        <v>0</v>
      </c>
      <c r="M739" s="214">
        <f>ROUND(H70,0)</f>
        <v>0</v>
      </c>
      <c r="N739" s="214">
        <f>ROUND(H75,0)</f>
        <v>0</v>
      </c>
      <c r="O739" s="214">
        <f>ROUND(H73,0)</f>
        <v>0</v>
      </c>
      <c r="P739" s="214">
        <f>IF(H76&gt;0,ROUND(H76,0),0)</f>
        <v>0</v>
      </c>
      <c r="Q739" s="214">
        <f>IF(H77&gt;0,ROUND(H77,0),0)</f>
        <v>0</v>
      </c>
      <c r="R739" s="214">
        <f>IF(H78&gt;0,ROUND(H78,0),0)</f>
        <v>0</v>
      </c>
      <c r="S739" s="214">
        <f>IF(H79&gt;0,ROUND(H79,0),0)</f>
        <v>0</v>
      </c>
      <c r="T739" s="216">
        <f>IF(H80&gt;0,ROUND(H80,2),0)</f>
        <v>0</v>
      </c>
      <c r="U739" s="214"/>
      <c r="V739" s="215"/>
      <c r="W739" s="214"/>
      <c r="X739" s="214"/>
      <c r="Y739" s="214">
        <f t="shared" si="23"/>
        <v>0</v>
      </c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5"/>
      <c r="BN739" s="215"/>
      <c r="BO739" s="215"/>
      <c r="BP739" s="215"/>
      <c r="BQ739" s="215"/>
      <c r="BR739" s="215"/>
      <c r="BS739" s="215"/>
      <c r="BT739" s="215"/>
      <c r="BU739" s="215"/>
      <c r="BV739" s="215"/>
      <c r="BW739" s="215"/>
      <c r="BX739" s="215"/>
      <c r="BY739" s="215"/>
      <c r="BZ739" s="215"/>
      <c r="CA739" s="215"/>
      <c r="CB739" s="215"/>
      <c r="CC739" s="215"/>
      <c r="CD739" s="215"/>
      <c r="CE739" s="215"/>
    </row>
    <row r="740" spans="1:83" ht="12.65" customHeight="1" x14ac:dyDescent="0.3">
      <c r="A740" s="160" t="str">
        <f>RIGHT($C$83,3)&amp;"*"&amp;RIGHT($C$82,4)&amp;"*"&amp;I$55&amp;"*"&amp;"A"</f>
        <v>039*2021*6150*A</v>
      </c>
      <c r="B740" s="214">
        <f>ROUND(I59,0)</f>
        <v>0</v>
      </c>
      <c r="C740" s="216">
        <f>ROUND(I60,2)</f>
        <v>0</v>
      </c>
      <c r="D740" s="214">
        <f>ROUND(I61,0)</f>
        <v>0</v>
      </c>
      <c r="E740" s="214">
        <f>ROUND(I62,0)</f>
        <v>0</v>
      </c>
      <c r="F740" s="214">
        <f>ROUND(I63,0)</f>
        <v>0</v>
      </c>
      <c r="G740" s="214">
        <f>ROUND(I64,0)</f>
        <v>0</v>
      </c>
      <c r="H740" s="214">
        <f>ROUND(I65,0)</f>
        <v>0</v>
      </c>
      <c r="I740" s="214">
        <f>ROUND(I66,0)</f>
        <v>0</v>
      </c>
      <c r="J740" s="214">
        <f>ROUND(I67,0)</f>
        <v>0</v>
      </c>
      <c r="K740" s="214">
        <f>ROUND(I68,0)</f>
        <v>0</v>
      </c>
      <c r="L740" s="214">
        <f>ROUND(I69,0)</f>
        <v>0</v>
      </c>
      <c r="M740" s="214">
        <f>ROUND(I70,0)</f>
        <v>0</v>
      </c>
      <c r="N740" s="214">
        <f>ROUND(I75,0)</f>
        <v>0</v>
      </c>
      <c r="O740" s="214">
        <f>ROUND(I73,0)</f>
        <v>0</v>
      </c>
      <c r="P740" s="214">
        <f>IF(I76&gt;0,ROUND(I76,0),0)</f>
        <v>0</v>
      </c>
      <c r="Q740" s="214">
        <f>IF(I77&gt;0,ROUND(I77,0),0)</f>
        <v>0</v>
      </c>
      <c r="R740" s="214">
        <f>IF(I78&gt;0,ROUND(I78,0),0)</f>
        <v>0</v>
      </c>
      <c r="S740" s="214">
        <f>IF(I79&gt;0,ROUND(I79,0),0)</f>
        <v>0</v>
      </c>
      <c r="T740" s="216">
        <f>IF(I80&gt;0,ROUND(I80,2),0)</f>
        <v>0</v>
      </c>
      <c r="U740" s="214"/>
      <c r="V740" s="215"/>
      <c r="W740" s="214"/>
      <c r="X740" s="214"/>
      <c r="Y740" s="214">
        <f t="shared" si="23"/>
        <v>0</v>
      </c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5"/>
      <c r="BN740" s="215"/>
      <c r="BO740" s="215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</row>
    <row r="741" spans="1:83" ht="12.65" customHeight="1" x14ac:dyDescent="0.3">
      <c r="A741" s="160" t="str">
        <f>RIGHT($C$83,3)&amp;"*"&amp;RIGHT($C$82,4)&amp;"*"&amp;J$55&amp;"*"&amp;"A"</f>
        <v>039*2021*6170*A</v>
      </c>
      <c r="B741" s="214">
        <f>ROUND(J59,0)</f>
        <v>2032</v>
      </c>
      <c r="C741" s="216">
        <f>ROUND(J60,2)</f>
        <v>10.01</v>
      </c>
      <c r="D741" s="214">
        <f>ROUND(J61,0)</f>
        <v>1065079</v>
      </c>
      <c r="E741" s="214">
        <f>ROUND(J62,0)</f>
        <v>202854</v>
      </c>
      <c r="F741" s="214">
        <f>ROUND(J63,0)</f>
        <v>449473</v>
      </c>
      <c r="G741" s="214">
        <f>ROUND(J64,0)</f>
        <v>253043</v>
      </c>
      <c r="H741" s="214">
        <f>ROUND(J65,0)</f>
        <v>0</v>
      </c>
      <c r="I741" s="214">
        <f>ROUND(J66,0)</f>
        <v>-1600</v>
      </c>
      <c r="J741" s="214">
        <f>ROUND(J67,0)</f>
        <v>39478</v>
      </c>
      <c r="K741" s="214">
        <f>ROUND(J68,0)</f>
        <v>0</v>
      </c>
      <c r="L741" s="214">
        <f>ROUND(J69,0)</f>
        <v>0</v>
      </c>
      <c r="M741" s="214">
        <f>ROUND(J70,0)</f>
        <v>0</v>
      </c>
      <c r="N741" s="214">
        <f>ROUND(J75,0)</f>
        <v>4577435</v>
      </c>
      <c r="O741" s="214">
        <f>ROUND(J73,0)</f>
        <v>4577435</v>
      </c>
      <c r="P741" s="214">
        <f>IF(J76&gt;0,ROUND(J76,0),0)</f>
        <v>3386</v>
      </c>
      <c r="Q741" s="214">
        <f>IF(J77&gt;0,ROUND(J77,0),0)</f>
        <v>251</v>
      </c>
      <c r="R741" s="214">
        <f>IF(J78&gt;0,ROUND(J78,0),0)</f>
        <v>470</v>
      </c>
      <c r="S741" s="214">
        <f>IF(J79&gt;0,ROUND(J79,0),0)</f>
        <v>13947</v>
      </c>
      <c r="T741" s="216">
        <f>IF(J80&gt;0,ROUND(J80,2),0)</f>
        <v>11.4</v>
      </c>
      <c r="U741" s="214"/>
      <c r="V741" s="215"/>
      <c r="W741" s="214"/>
      <c r="X741" s="214"/>
      <c r="Y741" s="214">
        <f t="shared" si="23"/>
        <v>562022</v>
      </c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  <c r="BI741" s="215"/>
      <c r="BJ741" s="215"/>
      <c r="BK741" s="215"/>
      <c r="BL741" s="215"/>
      <c r="BM741" s="215"/>
      <c r="BN741" s="215"/>
      <c r="BO741" s="215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</row>
    <row r="742" spans="1:83" ht="12.65" customHeight="1" x14ac:dyDescent="0.3">
      <c r="A742" s="160" t="str">
        <f>RIGHT($C$83,3)&amp;"*"&amp;RIGHT($C$82,4)&amp;"*"&amp;K$55&amp;"*"&amp;"A"</f>
        <v>039*2021*6200*A</v>
      </c>
      <c r="B742" s="214">
        <f>ROUND(K59,0)</f>
        <v>0</v>
      </c>
      <c r="C742" s="216">
        <f>ROUND(K60,2)</f>
        <v>0</v>
      </c>
      <c r="D742" s="214">
        <f>ROUND(K61,0)</f>
        <v>0</v>
      </c>
      <c r="E742" s="214">
        <f>ROUND(K62,0)</f>
        <v>0</v>
      </c>
      <c r="F742" s="214">
        <f>ROUND(K63,0)</f>
        <v>0</v>
      </c>
      <c r="G742" s="214">
        <f>ROUND(K64,0)</f>
        <v>0</v>
      </c>
      <c r="H742" s="214">
        <f>ROUND(K65,0)</f>
        <v>0</v>
      </c>
      <c r="I742" s="214">
        <f>ROUND(K66,0)</f>
        <v>0</v>
      </c>
      <c r="J742" s="214">
        <f>ROUND(K67,0)</f>
        <v>0</v>
      </c>
      <c r="K742" s="214">
        <f>ROUND(K68,0)</f>
        <v>0</v>
      </c>
      <c r="L742" s="214">
        <f>ROUND(K69,0)</f>
        <v>0</v>
      </c>
      <c r="M742" s="214">
        <f>ROUND(K70,0)</f>
        <v>0</v>
      </c>
      <c r="N742" s="214">
        <f>ROUND(K75,0)</f>
        <v>0</v>
      </c>
      <c r="O742" s="214">
        <f>ROUND(K73,0)</f>
        <v>0</v>
      </c>
      <c r="P742" s="214">
        <f>IF(K76&gt;0,ROUND(K76,0),0)</f>
        <v>0</v>
      </c>
      <c r="Q742" s="214">
        <f>IF(K77&gt;0,ROUND(K77,0),0)</f>
        <v>0</v>
      </c>
      <c r="R742" s="214">
        <f>IF(K78&gt;0,ROUND(K78,0),0)</f>
        <v>0</v>
      </c>
      <c r="S742" s="214">
        <f>IF(K79&gt;0,ROUND(K79,0),0)</f>
        <v>0</v>
      </c>
      <c r="T742" s="216">
        <f>IF(K80&gt;0,ROUND(K80,2),0)</f>
        <v>0</v>
      </c>
      <c r="U742" s="214"/>
      <c r="V742" s="215"/>
      <c r="W742" s="214"/>
      <c r="X742" s="214"/>
      <c r="Y742" s="214">
        <f t="shared" si="23"/>
        <v>0</v>
      </c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  <c r="BI742" s="215"/>
      <c r="BJ742" s="215"/>
      <c r="BK742" s="215"/>
      <c r="BL742" s="215"/>
      <c r="BM742" s="215"/>
      <c r="BN742" s="215"/>
      <c r="BO742" s="215"/>
      <c r="BP742" s="215"/>
      <c r="BQ742" s="215"/>
      <c r="BR742" s="215"/>
      <c r="BS742" s="215"/>
      <c r="BT742" s="215"/>
      <c r="BU742" s="215"/>
      <c r="BV742" s="215"/>
      <c r="BW742" s="215"/>
      <c r="BX742" s="215"/>
      <c r="BY742" s="215"/>
      <c r="BZ742" s="215"/>
      <c r="CA742" s="215"/>
      <c r="CB742" s="215"/>
      <c r="CC742" s="215"/>
      <c r="CD742" s="215"/>
      <c r="CE742" s="215"/>
    </row>
    <row r="743" spans="1:83" ht="12.65" customHeight="1" x14ac:dyDescent="0.3">
      <c r="A743" s="160" t="str">
        <f>RIGHT($C$83,3)&amp;"*"&amp;RIGHT($C$82,4)&amp;"*"&amp;L$55&amp;"*"&amp;"A"</f>
        <v>039*2021*6210*A</v>
      </c>
      <c r="B743" s="214">
        <f>ROUND(L59,0)</f>
        <v>0</v>
      </c>
      <c r="C743" s="216">
        <f>ROUND(L60,2)</f>
        <v>0</v>
      </c>
      <c r="D743" s="214">
        <f>ROUND(L61,0)</f>
        <v>0</v>
      </c>
      <c r="E743" s="214">
        <f>ROUND(L62,0)</f>
        <v>0</v>
      </c>
      <c r="F743" s="214">
        <f>ROUND(L63,0)</f>
        <v>0</v>
      </c>
      <c r="G743" s="214">
        <f>ROUND(L64,0)</f>
        <v>0</v>
      </c>
      <c r="H743" s="214">
        <f>ROUND(L65,0)</f>
        <v>0</v>
      </c>
      <c r="I743" s="214">
        <f>ROUND(L66,0)</f>
        <v>0</v>
      </c>
      <c r="J743" s="214">
        <f>ROUND(L67,0)</f>
        <v>0</v>
      </c>
      <c r="K743" s="214">
        <f>ROUND(L68,0)</f>
        <v>0</v>
      </c>
      <c r="L743" s="214">
        <f>ROUND(L69,0)</f>
        <v>0</v>
      </c>
      <c r="M743" s="214">
        <f>ROUND(L70,0)</f>
        <v>0</v>
      </c>
      <c r="N743" s="214">
        <f>ROUND(L75,0)</f>
        <v>0</v>
      </c>
      <c r="O743" s="214">
        <f>ROUND(L73,0)</f>
        <v>0</v>
      </c>
      <c r="P743" s="214">
        <f>IF(L76&gt;0,ROUND(L76,0),0)</f>
        <v>0</v>
      </c>
      <c r="Q743" s="214">
        <f>IF(L77&gt;0,ROUND(L77,0),0)</f>
        <v>0</v>
      </c>
      <c r="R743" s="214">
        <f>IF(L78&gt;0,ROUND(L78,0),0)</f>
        <v>0</v>
      </c>
      <c r="S743" s="214">
        <f>IF(L79&gt;0,ROUND(L79,0),0)</f>
        <v>0</v>
      </c>
      <c r="T743" s="216">
        <f>IF(L80&gt;0,ROUND(L80,2),0)</f>
        <v>0</v>
      </c>
      <c r="U743" s="214"/>
      <c r="V743" s="215"/>
      <c r="W743" s="214"/>
      <c r="X743" s="214"/>
      <c r="Y743" s="214">
        <f t="shared" si="23"/>
        <v>0</v>
      </c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  <c r="BI743" s="215"/>
      <c r="BJ743" s="215"/>
      <c r="BK743" s="215"/>
      <c r="BL743" s="215"/>
      <c r="BM743" s="215"/>
      <c r="BN743" s="215"/>
      <c r="BO743" s="215"/>
      <c r="BP743" s="215"/>
      <c r="BQ743" s="215"/>
      <c r="BR743" s="215"/>
      <c r="BS743" s="215"/>
      <c r="BT743" s="215"/>
      <c r="BU743" s="215"/>
      <c r="BV743" s="215"/>
      <c r="BW743" s="215"/>
      <c r="BX743" s="215"/>
      <c r="BY743" s="215"/>
      <c r="BZ743" s="215"/>
      <c r="CA743" s="215"/>
      <c r="CB743" s="215"/>
      <c r="CC743" s="215"/>
      <c r="CD743" s="215"/>
      <c r="CE743" s="215"/>
    </row>
    <row r="744" spans="1:83" ht="12.65" customHeight="1" x14ac:dyDescent="0.3">
      <c r="A744" s="160" t="str">
        <f>RIGHT($C$83,3)&amp;"*"&amp;RIGHT($C$82,4)&amp;"*"&amp;M$55&amp;"*"&amp;"A"</f>
        <v>039*2021*6330*A</v>
      </c>
      <c r="B744" s="214">
        <f>ROUND(M59,0)</f>
        <v>0</v>
      </c>
      <c r="C744" s="216">
        <f>ROUND(M60,2)</f>
        <v>0</v>
      </c>
      <c r="D744" s="214">
        <f>ROUND(M61,0)</f>
        <v>0</v>
      </c>
      <c r="E744" s="214">
        <f>ROUND(M62,0)</f>
        <v>0</v>
      </c>
      <c r="F744" s="214">
        <f>ROUND(M63,0)</f>
        <v>0</v>
      </c>
      <c r="G744" s="214">
        <f>ROUND(M64,0)</f>
        <v>0</v>
      </c>
      <c r="H744" s="214">
        <f>ROUND(M65,0)</f>
        <v>0</v>
      </c>
      <c r="I744" s="214">
        <f>ROUND(M66,0)</f>
        <v>0</v>
      </c>
      <c r="J744" s="214">
        <f>ROUND(M67,0)</f>
        <v>0</v>
      </c>
      <c r="K744" s="214">
        <f>ROUND(M68,0)</f>
        <v>0</v>
      </c>
      <c r="L744" s="214">
        <f>ROUND(M69,0)</f>
        <v>0</v>
      </c>
      <c r="M744" s="214">
        <f>ROUND(M70,0)</f>
        <v>0</v>
      </c>
      <c r="N744" s="214">
        <f>ROUND(M75,0)</f>
        <v>0</v>
      </c>
      <c r="O744" s="214">
        <f>ROUND(M73,0)</f>
        <v>0</v>
      </c>
      <c r="P744" s="214">
        <f>IF(M76&gt;0,ROUND(M76,0),0)</f>
        <v>0</v>
      </c>
      <c r="Q744" s="214">
        <f>IF(M77&gt;0,ROUND(M77,0),0)</f>
        <v>0</v>
      </c>
      <c r="R744" s="214">
        <f>IF(M78&gt;0,ROUND(M78,0),0)</f>
        <v>0</v>
      </c>
      <c r="S744" s="214">
        <f>IF(M79&gt;0,ROUND(M79,0),0)</f>
        <v>0</v>
      </c>
      <c r="T744" s="216">
        <f>IF(M80&gt;0,ROUND(M80,2),0)</f>
        <v>0</v>
      </c>
      <c r="U744" s="214"/>
      <c r="V744" s="215"/>
      <c r="W744" s="214"/>
      <c r="X744" s="214"/>
      <c r="Y744" s="214">
        <f t="shared" si="23"/>
        <v>0</v>
      </c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5"/>
      <c r="BN744" s="215"/>
      <c r="BO744" s="215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</row>
    <row r="745" spans="1:83" ht="12.65" customHeight="1" x14ac:dyDescent="0.3">
      <c r="A745" s="160" t="str">
        <f>RIGHT($C$83,3)&amp;"*"&amp;RIGHT($C$82,4)&amp;"*"&amp;N$55&amp;"*"&amp;"A"</f>
        <v>039*2021*6400*A</v>
      </c>
      <c r="B745" s="214">
        <f>ROUND(N59,0)</f>
        <v>0</v>
      </c>
      <c r="C745" s="216">
        <f>ROUND(N60,2)</f>
        <v>0</v>
      </c>
      <c r="D745" s="214">
        <f>ROUND(N61,0)</f>
        <v>0</v>
      </c>
      <c r="E745" s="214">
        <f>ROUND(N62,0)</f>
        <v>0</v>
      </c>
      <c r="F745" s="214">
        <f>ROUND(N63,0)</f>
        <v>0</v>
      </c>
      <c r="G745" s="214">
        <f>ROUND(N64,0)</f>
        <v>0</v>
      </c>
      <c r="H745" s="214">
        <f>ROUND(N65,0)</f>
        <v>0</v>
      </c>
      <c r="I745" s="214">
        <f>ROUND(N66,0)</f>
        <v>0</v>
      </c>
      <c r="J745" s="214">
        <f>ROUND(N67,0)</f>
        <v>0</v>
      </c>
      <c r="K745" s="214">
        <f>ROUND(N68,0)</f>
        <v>0</v>
      </c>
      <c r="L745" s="214">
        <f>ROUND(N69,0)</f>
        <v>0</v>
      </c>
      <c r="M745" s="214">
        <f>ROUND(N70,0)</f>
        <v>0</v>
      </c>
      <c r="N745" s="214">
        <f>ROUND(N75,0)</f>
        <v>0</v>
      </c>
      <c r="O745" s="214">
        <f>ROUND(N73,0)</f>
        <v>0</v>
      </c>
      <c r="P745" s="214">
        <f>IF(N76&gt;0,ROUND(N76,0),0)</f>
        <v>0</v>
      </c>
      <c r="Q745" s="214">
        <f>IF(N77&gt;0,ROUND(N77,0),0)</f>
        <v>0</v>
      </c>
      <c r="R745" s="214">
        <f>IF(N78&gt;0,ROUND(N78,0),0)</f>
        <v>0</v>
      </c>
      <c r="S745" s="214">
        <f>IF(N79&gt;0,ROUND(N79,0),0)</f>
        <v>0</v>
      </c>
      <c r="T745" s="216">
        <f>IF(N80&gt;0,ROUND(N80,2),0)</f>
        <v>0</v>
      </c>
      <c r="U745" s="214"/>
      <c r="V745" s="215"/>
      <c r="W745" s="214"/>
      <c r="X745" s="214"/>
      <c r="Y745" s="214">
        <f t="shared" si="23"/>
        <v>0</v>
      </c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5"/>
      <c r="BN745" s="215"/>
      <c r="BO745" s="215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</row>
    <row r="746" spans="1:83" ht="12.65" customHeight="1" x14ac:dyDescent="0.3">
      <c r="A746" s="160" t="str">
        <f>RIGHT($C$83,3)&amp;"*"&amp;RIGHT($C$82,4)&amp;"*"&amp;O$55&amp;"*"&amp;"A"</f>
        <v>039*2021*7010*A</v>
      </c>
      <c r="B746" s="214">
        <f>ROUND(O59,0)</f>
        <v>0</v>
      </c>
      <c r="C746" s="216">
        <f>ROUND(O60,2)</f>
        <v>0</v>
      </c>
      <c r="D746" s="214">
        <f>ROUND(O61,0)</f>
        <v>0</v>
      </c>
      <c r="E746" s="214">
        <f>ROUND(O62,0)</f>
        <v>0</v>
      </c>
      <c r="F746" s="214">
        <f>ROUND(O63,0)</f>
        <v>0</v>
      </c>
      <c r="G746" s="214">
        <f>ROUND(O64,0)</f>
        <v>0</v>
      </c>
      <c r="H746" s="214">
        <f>ROUND(O65,0)</f>
        <v>0</v>
      </c>
      <c r="I746" s="214">
        <f>ROUND(O66,0)</f>
        <v>0</v>
      </c>
      <c r="J746" s="214">
        <f>ROUND(O67,0)</f>
        <v>0</v>
      </c>
      <c r="K746" s="214">
        <f>ROUND(O68,0)</f>
        <v>0</v>
      </c>
      <c r="L746" s="214">
        <f>ROUND(O69,0)</f>
        <v>0</v>
      </c>
      <c r="M746" s="214">
        <f>ROUND(O70,0)</f>
        <v>0</v>
      </c>
      <c r="N746" s="214">
        <f>ROUND(O75,0)</f>
        <v>0</v>
      </c>
      <c r="O746" s="214">
        <f>ROUND(O73,0)</f>
        <v>0</v>
      </c>
      <c r="P746" s="214">
        <f>IF(O76&gt;0,ROUND(O76,0),0)</f>
        <v>0</v>
      </c>
      <c r="Q746" s="214">
        <f>IF(O77&gt;0,ROUND(O77,0),0)</f>
        <v>0</v>
      </c>
      <c r="R746" s="214">
        <f>IF(O78&gt;0,ROUND(O78,0),0)</f>
        <v>0</v>
      </c>
      <c r="S746" s="214">
        <f>IF(O79&gt;0,ROUND(O79,0),0)</f>
        <v>0</v>
      </c>
      <c r="T746" s="216">
        <f>IF(O80&gt;0,ROUND(O80,2),0)</f>
        <v>0</v>
      </c>
      <c r="U746" s="214"/>
      <c r="V746" s="215"/>
      <c r="W746" s="214"/>
      <c r="X746" s="214"/>
      <c r="Y746" s="214">
        <f t="shared" si="23"/>
        <v>0</v>
      </c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5"/>
      <c r="BN746" s="215"/>
      <c r="BO746" s="215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</row>
    <row r="747" spans="1:83" ht="12.65" customHeight="1" x14ac:dyDescent="0.3">
      <c r="A747" s="160" t="str">
        <f>RIGHT($C$83,3)&amp;"*"&amp;RIGHT($C$82,4)&amp;"*"&amp;P$55&amp;"*"&amp;"A"</f>
        <v>039*2021*7020*A</v>
      </c>
      <c r="B747" s="214">
        <f>ROUND(P59,0)</f>
        <v>269125</v>
      </c>
      <c r="C747" s="216">
        <f>ROUND(P60,2)</f>
        <v>19.29</v>
      </c>
      <c r="D747" s="214">
        <f>ROUND(P61,0)</f>
        <v>1603799</v>
      </c>
      <c r="E747" s="214">
        <f>ROUND(P62,0)</f>
        <v>305459</v>
      </c>
      <c r="F747" s="214">
        <f>ROUND(P63,0)</f>
        <v>221837</v>
      </c>
      <c r="G747" s="214">
        <f>ROUND(P64,0)</f>
        <v>6324497</v>
      </c>
      <c r="H747" s="214">
        <f>ROUND(P65,0)</f>
        <v>0</v>
      </c>
      <c r="I747" s="214">
        <f>ROUND(P66,0)</f>
        <v>308413</v>
      </c>
      <c r="J747" s="214">
        <f>ROUND(P67,0)</f>
        <v>253844</v>
      </c>
      <c r="K747" s="214">
        <f>ROUND(P68,0)</f>
        <v>8333</v>
      </c>
      <c r="L747" s="214">
        <f>ROUND(P69,0)</f>
        <v>4410</v>
      </c>
      <c r="M747" s="214">
        <f>ROUND(P70,0)</f>
        <v>0</v>
      </c>
      <c r="N747" s="214">
        <f>ROUND(P75,0)</f>
        <v>59218286</v>
      </c>
      <c r="O747" s="214">
        <f>ROUND(P73,0)</f>
        <v>24328375</v>
      </c>
      <c r="P747" s="214">
        <f>IF(P76&gt;0,ROUND(P76,0),0)</f>
        <v>21772</v>
      </c>
      <c r="Q747" s="214">
        <f>IF(P77&gt;0,ROUND(P77,0),0)</f>
        <v>0</v>
      </c>
      <c r="R747" s="214">
        <f>IF(P78&gt;0,ROUND(P78,0),0)</f>
        <v>3024</v>
      </c>
      <c r="S747" s="214">
        <f>IF(P79&gt;0,ROUND(P79,0),0)</f>
        <v>44345</v>
      </c>
      <c r="T747" s="216">
        <f>IF(P80&gt;0,ROUND(P80,2),0)</f>
        <v>6</v>
      </c>
      <c r="U747" s="214"/>
      <c r="V747" s="215"/>
      <c r="W747" s="214"/>
      <c r="X747" s="214"/>
      <c r="Y747" s="214">
        <f t="shared" si="23"/>
        <v>3442643</v>
      </c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5"/>
      <c r="BN747" s="215"/>
      <c r="BO747" s="215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</row>
    <row r="748" spans="1:83" ht="12.65" customHeight="1" x14ac:dyDescent="0.3">
      <c r="A748" s="160" t="str">
        <f>RIGHT($C$83,3)&amp;"*"&amp;RIGHT($C$82,4)&amp;"*"&amp;Q$55&amp;"*"&amp;"A"</f>
        <v>039*2021*7030*A</v>
      </c>
      <c r="B748" s="214">
        <f>ROUND(Q59,0)</f>
        <v>116970</v>
      </c>
      <c r="C748" s="216">
        <f>ROUND(Q60,2)</f>
        <v>4.8600000000000003</v>
      </c>
      <c r="D748" s="214">
        <f>ROUND(Q61,0)</f>
        <v>724556</v>
      </c>
      <c r="E748" s="214">
        <f>ROUND(Q62,0)</f>
        <v>137998</v>
      </c>
      <c r="F748" s="214">
        <f>ROUND(Q63,0)</f>
        <v>0</v>
      </c>
      <c r="G748" s="214">
        <f>ROUND(Q64,0)</f>
        <v>23615</v>
      </c>
      <c r="H748" s="214">
        <f>ROUND(Q65,0)</f>
        <v>0</v>
      </c>
      <c r="I748" s="214">
        <f>ROUND(Q66,0)</f>
        <v>284</v>
      </c>
      <c r="J748" s="214">
        <f>ROUND(Q67,0)</f>
        <v>39175</v>
      </c>
      <c r="K748" s="214">
        <f>ROUND(Q68,0)</f>
        <v>0</v>
      </c>
      <c r="L748" s="214">
        <f>ROUND(Q69,0)</f>
        <v>0</v>
      </c>
      <c r="M748" s="214">
        <f>ROUND(Q70,0)</f>
        <v>0</v>
      </c>
      <c r="N748" s="214">
        <f>ROUND(Q75,0)</f>
        <v>3390466</v>
      </c>
      <c r="O748" s="214">
        <f>ROUND(Q73,0)</f>
        <v>925993</v>
      </c>
      <c r="P748" s="214">
        <f>IF(Q76&gt;0,ROUND(Q76,0),0)</f>
        <v>3360</v>
      </c>
      <c r="Q748" s="214">
        <f>IF(Q77&gt;0,ROUND(Q77,0),0)</f>
        <v>0</v>
      </c>
      <c r="R748" s="214">
        <f>IF(Q78&gt;0,ROUND(Q78,0),0)</f>
        <v>467</v>
      </c>
      <c r="S748" s="214">
        <f>IF(Q79&gt;0,ROUND(Q79,0),0)</f>
        <v>0</v>
      </c>
      <c r="T748" s="216">
        <f>IF(Q80&gt;0,ROUND(Q80,2),0)</f>
        <v>5.5</v>
      </c>
      <c r="U748" s="214"/>
      <c r="V748" s="215"/>
      <c r="W748" s="214"/>
      <c r="X748" s="214"/>
      <c r="Y748" s="214">
        <f t="shared" si="23"/>
        <v>347792</v>
      </c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5"/>
      <c r="BN748" s="215"/>
      <c r="BO748" s="215"/>
      <c r="BP748" s="215"/>
      <c r="BQ748" s="215"/>
      <c r="BR748" s="215"/>
      <c r="BS748" s="215"/>
      <c r="BT748" s="215"/>
      <c r="BU748" s="215"/>
      <c r="BV748" s="215"/>
      <c r="BW748" s="215"/>
      <c r="BX748" s="215"/>
      <c r="BY748" s="215"/>
      <c r="BZ748" s="215"/>
      <c r="CA748" s="215"/>
      <c r="CB748" s="215"/>
      <c r="CC748" s="215"/>
      <c r="CD748" s="215"/>
      <c r="CE748" s="215"/>
    </row>
    <row r="749" spans="1:83" ht="12.65" customHeight="1" x14ac:dyDescent="0.3">
      <c r="A749" s="160" t="str">
        <f>RIGHT($C$83,3)&amp;"*"&amp;RIGHT($C$82,4)&amp;"*"&amp;R$55&amp;"*"&amp;"A"</f>
        <v>039*2021*7040*A</v>
      </c>
      <c r="B749" s="214">
        <f>ROUND(R59,0)</f>
        <v>0</v>
      </c>
      <c r="C749" s="216">
        <f>ROUND(R60,2)</f>
        <v>2.4500000000000002</v>
      </c>
      <c r="D749" s="214">
        <f>ROUND(R61,0)</f>
        <v>171510</v>
      </c>
      <c r="E749" s="214">
        <f>ROUND(R62,0)</f>
        <v>32666</v>
      </c>
      <c r="F749" s="214">
        <f>ROUND(R63,0)</f>
        <v>337583</v>
      </c>
      <c r="G749" s="214">
        <f>ROUND(R64,0)</f>
        <v>239741</v>
      </c>
      <c r="H749" s="214">
        <f>ROUND(R65,0)</f>
        <v>0</v>
      </c>
      <c r="I749" s="214">
        <f>ROUND(R66,0)</f>
        <v>128</v>
      </c>
      <c r="J749" s="214">
        <f>ROUND(R67,0)</f>
        <v>6436</v>
      </c>
      <c r="K749" s="214">
        <f>ROUND(R68,0)</f>
        <v>0</v>
      </c>
      <c r="L749" s="214">
        <f>ROUND(R69,0)</f>
        <v>32</v>
      </c>
      <c r="M749" s="214">
        <f>ROUND(R70,0)</f>
        <v>0</v>
      </c>
      <c r="N749" s="214">
        <f>ROUND(R75,0)</f>
        <v>8042775</v>
      </c>
      <c r="O749" s="214">
        <f>ROUND(R73,0)</f>
        <v>2506750</v>
      </c>
      <c r="P749" s="214">
        <f>IF(R76&gt;0,ROUND(R76,0),0)</f>
        <v>552</v>
      </c>
      <c r="Q749" s="214">
        <f>IF(R77&gt;0,ROUND(R77,0),0)</f>
        <v>0</v>
      </c>
      <c r="R749" s="214">
        <f>IF(R78&gt;0,ROUND(R78,0),0)</f>
        <v>77</v>
      </c>
      <c r="S749" s="214">
        <f>IF(R79&gt;0,ROUND(R79,0),0)</f>
        <v>0</v>
      </c>
      <c r="T749" s="216">
        <f>IF(R80&gt;0,ROUND(R80,2),0)</f>
        <v>1</v>
      </c>
      <c r="U749" s="214"/>
      <c r="V749" s="215"/>
      <c r="W749" s="214"/>
      <c r="X749" s="214"/>
      <c r="Y749" s="214">
        <f t="shared" si="23"/>
        <v>290062</v>
      </c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5"/>
      <c r="BN749" s="215"/>
      <c r="BO749" s="215"/>
      <c r="BP749" s="215"/>
      <c r="BQ749" s="215"/>
      <c r="BR749" s="215"/>
      <c r="BS749" s="215"/>
      <c r="BT749" s="215"/>
      <c r="BU749" s="215"/>
      <c r="BV749" s="215"/>
      <c r="BW749" s="215"/>
      <c r="BX749" s="215"/>
      <c r="BY749" s="215"/>
      <c r="BZ749" s="215"/>
      <c r="CA749" s="215"/>
      <c r="CB749" s="215"/>
      <c r="CC749" s="215"/>
      <c r="CD749" s="215"/>
      <c r="CE749" s="215"/>
    </row>
    <row r="750" spans="1:83" ht="12.65" customHeight="1" x14ac:dyDescent="0.3">
      <c r="A750" s="160" t="str">
        <f>RIGHT($C$83,3)&amp;"*"&amp;RIGHT($C$82,4)&amp;"*"&amp;S$55&amp;"*"&amp;"A"</f>
        <v>039*2021*7050*A</v>
      </c>
      <c r="B750" s="214"/>
      <c r="C750" s="216">
        <f>ROUND(S60,2)</f>
        <v>9.74</v>
      </c>
      <c r="D750" s="214">
        <f>ROUND(S61,0)</f>
        <v>427946</v>
      </c>
      <c r="E750" s="214">
        <f>ROUND(S62,0)</f>
        <v>81506</v>
      </c>
      <c r="F750" s="214">
        <f>ROUND(S63,0)</f>
        <v>0</v>
      </c>
      <c r="G750" s="214">
        <f>ROUND(S64,0)</f>
        <v>332453</v>
      </c>
      <c r="H750" s="214">
        <f>ROUND(S65,0)</f>
        <v>0</v>
      </c>
      <c r="I750" s="214">
        <f>ROUND(S66,0)</f>
        <v>37809</v>
      </c>
      <c r="J750" s="214">
        <f>ROUND(S67,0)</f>
        <v>56722</v>
      </c>
      <c r="K750" s="214">
        <f>ROUND(S68,0)</f>
        <v>0</v>
      </c>
      <c r="L750" s="214">
        <f>ROUND(S69,0)</f>
        <v>87463</v>
      </c>
      <c r="M750" s="214">
        <f>ROUND(S70,0)</f>
        <v>0</v>
      </c>
      <c r="N750" s="214">
        <f>ROUND(S75,0)</f>
        <v>8336316</v>
      </c>
      <c r="O750" s="214">
        <f>ROUND(S73,0)</f>
        <v>3511959</v>
      </c>
      <c r="P750" s="214">
        <f>IF(S76&gt;0,ROUND(S76,0),0)</f>
        <v>4865</v>
      </c>
      <c r="Q750" s="214">
        <f>IF(S77&gt;0,ROUND(S77,0),0)</f>
        <v>0</v>
      </c>
      <c r="R750" s="214">
        <f>IF(S78&gt;0,ROUND(S78,0),0)</f>
        <v>676</v>
      </c>
      <c r="S750" s="214">
        <f>IF(S79&gt;0,ROUND(S79,0),0)</f>
        <v>0</v>
      </c>
      <c r="T750" s="216">
        <f>IF(S80&gt;0,ROUND(S80,2),0)</f>
        <v>0</v>
      </c>
      <c r="U750" s="214"/>
      <c r="V750" s="215"/>
      <c r="W750" s="214"/>
      <c r="X750" s="214"/>
      <c r="Y750" s="214">
        <f t="shared" si="23"/>
        <v>503966</v>
      </c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5"/>
      <c r="BN750" s="215"/>
      <c r="BO750" s="215"/>
      <c r="BP750" s="215"/>
      <c r="BQ750" s="215"/>
      <c r="BR750" s="215"/>
      <c r="BS750" s="215"/>
      <c r="BT750" s="215"/>
      <c r="BU750" s="215"/>
      <c r="BV750" s="215"/>
      <c r="BW750" s="215"/>
      <c r="BX750" s="215"/>
      <c r="BY750" s="215"/>
      <c r="BZ750" s="215"/>
      <c r="CA750" s="215"/>
      <c r="CB750" s="215"/>
      <c r="CC750" s="215"/>
      <c r="CD750" s="215"/>
      <c r="CE750" s="215"/>
    </row>
    <row r="751" spans="1:83" ht="12.65" customHeight="1" x14ac:dyDescent="0.3">
      <c r="A751" s="160" t="str">
        <f>RIGHT($C$83,3)&amp;"*"&amp;RIGHT($C$82,4)&amp;"*"&amp;T$55&amp;"*"&amp;"A"</f>
        <v>039*2021*7060*A</v>
      </c>
      <c r="B751" s="214"/>
      <c r="C751" s="216">
        <f>ROUND(T60,2)</f>
        <v>0</v>
      </c>
      <c r="D751" s="214">
        <f>ROUND(T61,0)</f>
        <v>0</v>
      </c>
      <c r="E751" s="214">
        <f>ROUND(T62,0)</f>
        <v>0</v>
      </c>
      <c r="F751" s="214">
        <f>ROUND(T63,0)</f>
        <v>0</v>
      </c>
      <c r="G751" s="214">
        <f>ROUND(T64,0)</f>
        <v>117040</v>
      </c>
      <c r="H751" s="214">
        <f>ROUND(T65,0)</f>
        <v>0</v>
      </c>
      <c r="I751" s="214">
        <f>ROUND(T66,0)</f>
        <v>0</v>
      </c>
      <c r="J751" s="214">
        <f>ROUND(T67,0)</f>
        <v>0</v>
      </c>
      <c r="K751" s="214">
        <f>ROUND(T68,0)</f>
        <v>0</v>
      </c>
      <c r="L751" s="214">
        <f>ROUND(T69,0)</f>
        <v>0</v>
      </c>
      <c r="M751" s="214">
        <f>ROUND(T70,0)</f>
        <v>0</v>
      </c>
      <c r="N751" s="214">
        <f>ROUND(T75,0)</f>
        <v>10686339</v>
      </c>
      <c r="O751" s="214">
        <f>ROUND(T73,0)</f>
        <v>4422329</v>
      </c>
      <c r="P751" s="214">
        <f>IF(T76&gt;0,ROUND(T76,0),0)</f>
        <v>0</v>
      </c>
      <c r="Q751" s="214">
        <f>IF(T77&gt;0,ROUND(T77,0),0)</f>
        <v>0</v>
      </c>
      <c r="R751" s="214">
        <f>IF(T78&gt;0,ROUND(T78,0),0)</f>
        <v>0</v>
      </c>
      <c r="S751" s="214">
        <f>IF(T79&gt;0,ROUND(T79,0),0)</f>
        <v>0</v>
      </c>
      <c r="T751" s="216">
        <f>IF(T80&gt;0,ROUND(T80,2),0)</f>
        <v>0</v>
      </c>
      <c r="U751" s="214"/>
      <c r="V751" s="215"/>
      <c r="W751" s="214"/>
      <c r="X751" s="214"/>
      <c r="Y751" s="214">
        <f t="shared" si="23"/>
        <v>246537</v>
      </c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5"/>
      <c r="BN751" s="215"/>
      <c r="BO751" s="215"/>
      <c r="BP751" s="215"/>
      <c r="BQ751" s="215"/>
      <c r="BR751" s="215"/>
      <c r="BS751" s="215"/>
      <c r="BT751" s="215"/>
      <c r="BU751" s="215"/>
      <c r="BV751" s="215"/>
      <c r="BW751" s="215"/>
      <c r="BX751" s="215"/>
      <c r="BY751" s="215"/>
      <c r="BZ751" s="215"/>
      <c r="CA751" s="215"/>
      <c r="CB751" s="215"/>
      <c r="CC751" s="215"/>
      <c r="CD751" s="215"/>
      <c r="CE751" s="215"/>
    </row>
    <row r="752" spans="1:83" ht="12.65" customHeight="1" x14ac:dyDescent="0.3">
      <c r="A752" s="160" t="str">
        <f>RIGHT($C$83,3)&amp;"*"&amp;RIGHT($C$82,4)&amp;"*"&amp;U$55&amp;"*"&amp;"A"</f>
        <v>039*2021*7070*A</v>
      </c>
      <c r="B752" s="214">
        <f>ROUND(U59,0)</f>
        <v>365576</v>
      </c>
      <c r="C752" s="216">
        <f>ROUND(U60,2)</f>
        <v>27.62</v>
      </c>
      <c r="D752" s="214">
        <f>ROUND(U61,0)</f>
        <v>1629453</v>
      </c>
      <c r="E752" s="214">
        <f>ROUND(U62,0)</f>
        <v>310345</v>
      </c>
      <c r="F752" s="214">
        <f>ROUND(U63,0)</f>
        <v>236229</v>
      </c>
      <c r="G752" s="214">
        <f>ROUND(U64,0)</f>
        <v>2158347</v>
      </c>
      <c r="H752" s="214">
        <f>ROUND(U65,0)</f>
        <v>0</v>
      </c>
      <c r="I752" s="214">
        <f>ROUND(U66,0)</f>
        <v>1782340</v>
      </c>
      <c r="J752" s="214">
        <f>ROUND(U67,0)</f>
        <v>153540</v>
      </c>
      <c r="K752" s="214">
        <f>ROUND(U68,0)</f>
        <v>127145</v>
      </c>
      <c r="L752" s="214">
        <f>ROUND(U69,0)</f>
        <v>12909</v>
      </c>
      <c r="M752" s="214">
        <f>ROUND(U70,0)</f>
        <v>0</v>
      </c>
      <c r="N752" s="214">
        <f>ROUND(U75,0)</f>
        <v>61412320</v>
      </c>
      <c r="O752" s="214">
        <f>ROUND(U73,0)</f>
        <v>27287912</v>
      </c>
      <c r="P752" s="214">
        <f>IF(U76&gt;0,ROUND(U76,0),0)</f>
        <v>13169</v>
      </c>
      <c r="Q752" s="214">
        <f>IF(U77&gt;0,ROUND(U77,0),0)</f>
        <v>0</v>
      </c>
      <c r="R752" s="214">
        <f>IF(U78&gt;0,ROUND(U78,0),0)</f>
        <v>1829</v>
      </c>
      <c r="S752" s="214">
        <f>IF(U79&gt;0,ROUND(U79,0),0)</f>
        <v>0</v>
      </c>
      <c r="T752" s="216">
        <f>IF(U80&gt;0,ROUND(U80,2),0)</f>
        <v>0</v>
      </c>
      <c r="U752" s="214"/>
      <c r="V752" s="215"/>
      <c r="W752" s="214"/>
      <c r="X752" s="214"/>
      <c r="Y752" s="214">
        <f t="shared" si="23"/>
        <v>2586552</v>
      </c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5"/>
      <c r="BN752" s="215"/>
      <c r="BO752" s="215"/>
      <c r="BP752" s="215"/>
      <c r="BQ752" s="215"/>
      <c r="BR752" s="215"/>
      <c r="BS752" s="215"/>
      <c r="BT752" s="215"/>
      <c r="BU752" s="215"/>
      <c r="BV752" s="215"/>
      <c r="BW752" s="215"/>
      <c r="BX752" s="215"/>
      <c r="BY752" s="215"/>
      <c r="BZ752" s="215"/>
      <c r="CA752" s="215"/>
      <c r="CB752" s="215"/>
      <c r="CC752" s="215"/>
      <c r="CD752" s="215"/>
      <c r="CE752" s="215"/>
    </row>
    <row r="753" spans="1:83" ht="12.65" customHeight="1" x14ac:dyDescent="0.3">
      <c r="A753" s="160" t="str">
        <f>RIGHT($C$83,3)&amp;"*"&amp;RIGHT($C$82,4)&amp;"*"&amp;V$55&amp;"*"&amp;"A"</f>
        <v>039*2021*7110*A</v>
      </c>
      <c r="B753" s="214">
        <f>ROUND(V59,0)</f>
        <v>326</v>
      </c>
      <c r="C753" s="216">
        <f>ROUND(V60,2)</f>
        <v>0.67</v>
      </c>
      <c r="D753" s="214">
        <f>ROUND(V61,0)</f>
        <v>44246</v>
      </c>
      <c r="E753" s="214">
        <f>ROUND(V62,0)</f>
        <v>8427</v>
      </c>
      <c r="F753" s="214">
        <f>ROUND(V63,0)</f>
        <v>21722</v>
      </c>
      <c r="G753" s="214">
        <f>ROUND(V64,0)</f>
        <v>0</v>
      </c>
      <c r="H753" s="214">
        <f>ROUND(V65,0)</f>
        <v>0</v>
      </c>
      <c r="I753" s="214">
        <f>ROUND(V66,0)</f>
        <v>0</v>
      </c>
      <c r="J753" s="214">
        <f>ROUND(V67,0)</f>
        <v>1749</v>
      </c>
      <c r="K753" s="214">
        <f>ROUND(V68,0)</f>
        <v>0</v>
      </c>
      <c r="L753" s="214">
        <f>ROUND(V69,0)</f>
        <v>0</v>
      </c>
      <c r="M753" s="214">
        <f>ROUND(V70,0)</f>
        <v>0</v>
      </c>
      <c r="N753" s="214">
        <f>ROUND(V75,0)</f>
        <v>380077</v>
      </c>
      <c r="O753" s="214">
        <f>ROUND(V73,0)</f>
        <v>185070</v>
      </c>
      <c r="P753" s="214">
        <f>IF(V76&gt;0,ROUND(V76,0),0)</f>
        <v>150</v>
      </c>
      <c r="Q753" s="214">
        <f>IF(V77&gt;0,ROUND(V77,0),0)</f>
        <v>0</v>
      </c>
      <c r="R753" s="214">
        <f>IF(V78&gt;0,ROUND(V78,0),0)</f>
        <v>21</v>
      </c>
      <c r="S753" s="214">
        <f>IF(V79&gt;0,ROUND(V79,0),0)</f>
        <v>0</v>
      </c>
      <c r="T753" s="216">
        <f>IF(V80&gt;0,ROUND(V80,2),0)</f>
        <v>0</v>
      </c>
      <c r="U753" s="214"/>
      <c r="V753" s="215"/>
      <c r="W753" s="214"/>
      <c r="X753" s="214"/>
      <c r="Y753" s="214">
        <f t="shared" si="23"/>
        <v>22044</v>
      </c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  <c r="BC753" s="215"/>
      <c r="BD753" s="215"/>
      <c r="BE753" s="215"/>
      <c r="BF753" s="215"/>
      <c r="BG753" s="215"/>
      <c r="BH753" s="215"/>
      <c r="BI753" s="215"/>
      <c r="BJ753" s="215"/>
      <c r="BK753" s="215"/>
      <c r="BL753" s="215"/>
      <c r="BM753" s="215"/>
      <c r="BN753" s="215"/>
      <c r="BO753" s="215"/>
      <c r="BP753" s="215"/>
      <c r="BQ753" s="215"/>
      <c r="BR753" s="215"/>
      <c r="BS753" s="215"/>
      <c r="BT753" s="215"/>
      <c r="BU753" s="215"/>
      <c r="BV753" s="215"/>
      <c r="BW753" s="215"/>
      <c r="BX753" s="215"/>
      <c r="BY753" s="215"/>
      <c r="BZ753" s="215"/>
      <c r="CA753" s="215"/>
      <c r="CB753" s="215"/>
      <c r="CC753" s="215"/>
      <c r="CD753" s="215"/>
      <c r="CE753" s="215"/>
    </row>
    <row r="754" spans="1:83" ht="12.65" customHeight="1" x14ac:dyDescent="0.3">
      <c r="A754" s="160" t="str">
        <f>RIGHT($C$83,3)&amp;"*"&amp;RIGHT($C$82,4)&amp;"*"&amp;W$55&amp;"*"&amp;"A"</f>
        <v>039*2021*7120*A</v>
      </c>
      <c r="B754" s="214">
        <f>ROUND(W59,0)</f>
        <v>2535</v>
      </c>
      <c r="C754" s="216">
        <f>ROUND(W60,2)</f>
        <v>3.04</v>
      </c>
      <c r="D754" s="214">
        <f>ROUND(W61,0)</f>
        <v>224918</v>
      </c>
      <c r="E754" s="214">
        <f>ROUND(W62,0)</f>
        <v>42838</v>
      </c>
      <c r="F754" s="214">
        <f>ROUND(W63,0)</f>
        <v>0</v>
      </c>
      <c r="G754" s="214">
        <f>ROUND(W64,0)</f>
        <v>8125</v>
      </c>
      <c r="H754" s="214">
        <f>ROUND(W65,0)</f>
        <v>0</v>
      </c>
      <c r="I754" s="214">
        <f>ROUND(W66,0)</f>
        <v>97643</v>
      </c>
      <c r="J754" s="214">
        <f>ROUND(W67,0)</f>
        <v>64825</v>
      </c>
      <c r="K754" s="214">
        <f>ROUND(W68,0)</f>
        <v>0</v>
      </c>
      <c r="L754" s="214">
        <f>ROUND(W69,0)</f>
        <v>0</v>
      </c>
      <c r="M754" s="214">
        <f>ROUND(W70,0)</f>
        <v>0</v>
      </c>
      <c r="N754" s="214">
        <f>ROUND(W75,0)</f>
        <v>10063953</v>
      </c>
      <c r="O754" s="214">
        <f>ROUND(W73,0)</f>
        <v>1431555</v>
      </c>
      <c r="P754" s="214">
        <f>IF(W76&gt;0,ROUND(W76,0),0)</f>
        <v>5560</v>
      </c>
      <c r="Q754" s="214">
        <f>IF(W77&gt;0,ROUND(W77,0),0)</f>
        <v>0</v>
      </c>
      <c r="R754" s="214">
        <f>IF(W78&gt;0,ROUND(W78,0),0)</f>
        <v>772</v>
      </c>
      <c r="S754" s="214">
        <f>IF(W79&gt;0,ROUND(W79,0),0)</f>
        <v>0</v>
      </c>
      <c r="T754" s="216">
        <f>IF(W80&gt;0,ROUND(W80,2),0)</f>
        <v>0</v>
      </c>
      <c r="U754" s="214"/>
      <c r="V754" s="215"/>
      <c r="W754" s="214"/>
      <c r="X754" s="214"/>
      <c r="Y754" s="214">
        <f t="shared" si="23"/>
        <v>488573</v>
      </c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  <c r="BC754" s="215"/>
      <c r="BD754" s="215"/>
      <c r="BE754" s="215"/>
      <c r="BF754" s="215"/>
      <c r="BG754" s="215"/>
      <c r="BH754" s="215"/>
      <c r="BI754" s="215"/>
      <c r="BJ754" s="215"/>
      <c r="BK754" s="215"/>
      <c r="BL754" s="215"/>
      <c r="BM754" s="215"/>
      <c r="BN754" s="215"/>
      <c r="BO754" s="215"/>
      <c r="BP754" s="215"/>
      <c r="BQ754" s="215"/>
      <c r="BR754" s="215"/>
      <c r="BS754" s="215"/>
      <c r="BT754" s="215"/>
      <c r="BU754" s="215"/>
      <c r="BV754" s="215"/>
      <c r="BW754" s="215"/>
      <c r="BX754" s="215"/>
      <c r="BY754" s="215"/>
      <c r="BZ754" s="215"/>
      <c r="CA754" s="215"/>
      <c r="CB754" s="215"/>
      <c r="CC754" s="215"/>
      <c r="CD754" s="215"/>
      <c r="CE754" s="215"/>
    </row>
    <row r="755" spans="1:83" ht="12.65" customHeight="1" x14ac:dyDescent="0.3">
      <c r="A755" s="160" t="str">
        <f>RIGHT($C$83,3)&amp;"*"&amp;RIGHT($C$82,4)&amp;"*"&amp;X$55&amp;"*"&amp;"A"</f>
        <v>039*2021*7130*A</v>
      </c>
      <c r="B755" s="214">
        <f>ROUND(X59,0)</f>
        <v>12433</v>
      </c>
      <c r="C755" s="216">
        <f>ROUND(X60,2)</f>
        <v>5.66</v>
      </c>
      <c r="D755" s="214">
        <f>ROUND(X61,0)</f>
        <v>432343</v>
      </c>
      <c r="E755" s="214">
        <f>ROUND(X62,0)</f>
        <v>82344</v>
      </c>
      <c r="F755" s="214">
        <f>ROUND(X63,0)</f>
        <v>0</v>
      </c>
      <c r="G755" s="214">
        <f>ROUND(X64,0)</f>
        <v>141335</v>
      </c>
      <c r="H755" s="214">
        <f>ROUND(X65,0)</f>
        <v>0</v>
      </c>
      <c r="I755" s="214">
        <f>ROUND(X66,0)</f>
        <v>248936</v>
      </c>
      <c r="J755" s="214">
        <f>ROUND(X67,0)</f>
        <v>36960</v>
      </c>
      <c r="K755" s="214">
        <f>ROUND(X68,0)</f>
        <v>0</v>
      </c>
      <c r="L755" s="214">
        <f>ROUND(X69,0)</f>
        <v>0</v>
      </c>
      <c r="M755" s="214">
        <f>ROUND(X70,0)</f>
        <v>0</v>
      </c>
      <c r="N755" s="214">
        <f>ROUND(X75,0)</f>
        <v>48117943</v>
      </c>
      <c r="O755" s="214">
        <f>ROUND(X73,0)</f>
        <v>11327428</v>
      </c>
      <c r="P755" s="214">
        <f>IF(X76&gt;0,ROUND(X76,0),0)</f>
        <v>3170</v>
      </c>
      <c r="Q755" s="214">
        <f>IF(X77&gt;0,ROUND(X77,0),0)</f>
        <v>0</v>
      </c>
      <c r="R755" s="214">
        <f>IF(X78&gt;0,ROUND(X78,0),0)</f>
        <v>440</v>
      </c>
      <c r="S755" s="214">
        <f>IF(X79&gt;0,ROUND(X79,0),0)</f>
        <v>6957</v>
      </c>
      <c r="T755" s="216">
        <f>IF(X80&gt;0,ROUND(X80,2),0)</f>
        <v>0</v>
      </c>
      <c r="U755" s="214"/>
      <c r="V755" s="215"/>
      <c r="W755" s="214"/>
      <c r="X755" s="214"/>
      <c r="Y755" s="214">
        <f t="shared" si="23"/>
        <v>1269925</v>
      </c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  <c r="BC755" s="215"/>
      <c r="BD755" s="215"/>
      <c r="BE755" s="215"/>
      <c r="BF755" s="215"/>
      <c r="BG755" s="215"/>
      <c r="BH755" s="215"/>
      <c r="BI755" s="215"/>
      <c r="BJ755" s="215"/>
      <c r="BK755" s="215"/>
      <c r="BL755" s="215"/>
      <c r="BM755" s="215"/>
      <c r="BN755" s="215"/>
      <c r="BO755" s="215"/>
      <c r="BP755" s="215"/>
      <c r="BQ755" s="215"/>
      <c r="BR755" s="215"/>
      <c r="BS755" s="215"/>
      <c r="BT755" s="215"/>
      <c r="BU755" s="215"/>
      <c r="BV755" s="215"/>
      <c r="BW755" s="215"/>
      <c r="BX755" s="215"/>
      <c r="BY755" s="215"/>
      <c r="BZ755" s="215"/>
      <c r="CA755" s="215"/>
      <c r="CB755" s="215"/>
      <c r="CC755" s="215"/>
      <c r="CD755" s="215"/>
      <c r="CE755" s="215"/>
    </row>
    <row r="756" spans="1:83" ht="12.65" customHeight="1" x14ac:dyDescent="0.3">
      <c r="A756" s="160" t="str">
        <f>RIGHT($C$83,3)&amp;"*"&amp;RIGHT($C$82,4)&amp;"*"&amp;Y$55&amp;"*"&amp;"A"</f>
        <v>039*2021*7140*A</v>
      </c>
      <c r="B756" s="214">
        <f>ROUND(Y59,0)</f>
        <v>48421</v>
      </c>
      <c r="C756" s="216">
        <f>ROUND(Y60,2)</f>
        <v>32.380000000000003</v>
      </c>
      <c r="D756" s="214">
        <f>ROUND(Y61,0)</f>
        <v>3005066</v>
      </c>
      <c r="E756" s="214">
        <f>ROUND(Y62,0)</f>
        <v>572343</v>
      </c>
      <c r="F756" s="214">
        <f>ROUND(Y63,0)</f>
        <v>988203</v>
      </c>
      <c r="G756" s="214">
        <f>ROUND(Y64,0)</f>
        <v>5732132</v>
      </c>
      <c r="H756" s="214">
        <f>ROUND(Y65,0)</f>
        <v>1200</v>
      </c>
      <c r="I756" s="214">
        <f>ROUND(Y66,0)</f>
        <v>1146653</v>
      </c>
      <c r="J756" s="214">
        <f>ROUND(Y67,0)</f>
        <v>221525</v>
      </c>
      <c r="K756" s="214">
        <f>ROUND(Y68,0)</f>
        <v>-155</v>
      </c>
      <c r="L756" s="214">
        <f>ROUND(Y69,0)</f>
        <v>7418</v>
      </c>
      <c r="M756" s="214">
        <f>ROUND(Y70,0)</f>
        <v>0</v>
      </c>
      <c r="N756" s="214">
        <f>ROUND(Y75,0)</f>
        <v>44275301</v>
      </c>
      <c r="O756" s="214">
        <f>ROUND(Y73,0)</f>
        <v>13210249</v>
      </c>
      <c r="P756" s="214">
        <f>IF(Y76&gt;0,ROUND(Y76,0),0)</f>
        <v>19000</v>
      </c>
      <c r="Q756" s="214">
        <f>IF(Y77&gt;0,ROUND(Y77,0),0)</f>
        <v>0</v>
      </c>
      <c r="R756" s="214">
        <f>IF(Y78&gt;0,ROUND(Y78,0),0)</f>
        <v>2639</v>
      </c>
      <c r="S756" s="214">
        <f>IF(Y79&gt;0,ROUND(Y79,0),0)</f>
        <v>63246</v>
      </c>
      <c r="T756" s="216">
        <f>IF(Y80&gt;0,ROUND(Y80,2),0)</f>
        <v>2.9</v>
      </c>
      <c r="U756" s="214"/>
      <c r="V756" s="215"/>
      <c r="W756" s="214"/>
      <c r="X756" s="214"/>
      <c r="Y756" s="214">
        <f t="shared" si="23"/>
        <v>3212741</v>
      </c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  <c r="BC756" s="215"/>
      <c r="BD756" s="215"/>
      <c r="BE756" s="215"/>
      <c r="BF756" s="215"/>
      <c r="BG756" s="215"/>
      <c r="BH756" s="215"/>
      <c r="BI756" s="215"/>
      <c r="BJ756" s="215"/>
      <c r="BK756" s="215"/>
      <c r="BL756" s="215"/>
      <c r="BM756" s="215"/>
      <c r="BN756" s="215"/>
      <c r="BO756" s="215"/>
      <c r="BP756" s="215"/>
      <c r="BQ756" s="215"/>
      <c r="BR756" s="215"/>
      <c r="BS756" s="215"/>
      <c r="BT756" s="215"/>
      <c r="BU756" s="215"/>
      <c r="BV756" s="215"/>
      <c r="BW756" s="215"/>
      <c r="BX756" s="215"/>
      <c r="BY756" s="215"/>
      <c r="BZ756" s="215"/>
      <c r="CA756" s="215"/>
      <c r="CB756" s="215"/>
      <c r="CC756" s="215"/>
      <c r="CD756" s="215"/>
      <c r="CE756" s="215"/>
    </row>
    <row r="757" spans="1:83" ht="12.65" customHeight="1" x14ac:dyDescent="0.3">
      <c r="A757" s="160" t="str">
        <f>RIGHT($C$83,3)&amp;"*"&amp;RIGHT($C$82,4)&amp;"*"&amp;Z$55&amp;"*"&amp;"A"</f>
        <v>039*2021*7150*A</v>
      </c>
      <c r="B757" s="214">
        <f>ROUND(Z59,0)</f>
        <v>840779</v>
      </c>
      <c r="C757" s="216">
        <f>ROUND(Z60,2)</f>
        <v>0</v>
      </c>
      <c r="D757" s="214">
        <f>ROUND(Z61,0)</f>
        <v>0</v>
      </c>
      <c r="E757" s="214">
        <f>ROUND(Z62,0)</f>
        <v>0</v>
      </c>
      <c r="F757" s="214">
        <f>ROUND(Z63,0)</f>
        <v>0</v>
      </c>
      <c r="G757" s="214">
        <f>ROUND(Z64,0)</f>
        <v>0</v>
      </c>
      <c r="H757" s="214">
        <f>ROUND(Z65,0)</f>
        <v>0</v>
      </c>
      <c r="I757" s="214">
        <f>ROUND(Z66,0)</f>
        <v>0</v>
      </c>
      <c r="J757" s="214">
        <f>ROUND(Z67,0)</f>
        <v>0</v>
      </c>
      <c r="K757" s="214">
        <f>ROUND(Z68,0)</f>
        <v>0</v>
      </c>
      <c r="L757" s="214">
        <f>ROUND(Z69,0)</f>
        <v>0</v>
      </c>
      <c r="M757" s="214">
        <f>ROUND(Z70,0)</f>
        <v>0</v>
      </c>
      <c r="N757" s="214">
        <f>ROUND(Z75,0)</f>
        <v>52683172</v>
      </c>
      <c r="O757" s="214">
        <f>ROUND(Z73,0)</f>
        <v>1256158</v>
      </c>
      <c r="P757" s="214">
        <f>IF(Z76&gt;0,ROUND(Z76,0),0)</f>
        <v>0</v>
      </c>
      <c r="Q757" s="214">
        <f>IF(Z77&gt;0,ROUND(Z77,0),0)</f>
        <v>0</v>
      </c>
      <c r="R757" s="214">
        <f>IF(Z78&gt;0,ROUND(Z78,0),0)</f>
        <v>0</v>
      </c>
      <c r="S757" s="214">
        <f>IF(Z79&gt;0,ROUND(Z79,0),0)</f>
        <v>0</v>
      </c>
      <c r="T757" s="216">
        <f>IF(Z80&gt;0,ROUND(Z80,2),0)</f>
        <v>0</v>
      </c>
      <c r="U757" s="214"/>
      <c r="V757" s="215"/>
      <c r="W757" s="214"/>
      <c r="X757" s="214"/>
      <c r="Y757" s="214">
        <f t="shared" si="23"/>
        <v>1131981</v>
      </c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  <c r="BC757" s="215"/>
      <c r="BD757" s="215"/>
      <c r="BE757" s="215"/>
      <c r="BF757" s="215"/>
      <c r="BG757" s="215"/>
      <c r="BH757" s="215"/>
      <c r="BI757" s="215"/>
      <c r="BJ757" s="215"/>
      <c r="BK757" s="215"/>
      <c r="BL757" s="215"/>
      <c r="BM757" s="215"/>
      <c r="BN757" s="215"/>
      <c r="BO757" s="215"/>
      <c r="BP757" s="215"/>
      <c r="BQ757" s="215"/>
      <c r="BR757" s="215"/>
      <c r="BS757" s="215"/>
      <c r="BT757" s="215"/>
      <c r="BU757" s="215"/>
      <c r="BV757" s="215"/>
      <c r="BW757" s="215"/>
      <c r="BX757" s="215"/>
      <c r="BY757" s="215"/>
      <c r="BZ757" s="215"/>
      <c r="CA757" s="215"/>
      <c r="CB757" s="215"/>
      <c r="CC757" s="215"/>
      <c r="CD757" s="215"/>
      <c r="CE757" s="215"/>
    </row>
    <row r="758" spans="1:83" ht="12.65" customHeight="1" x14ac:dyDescent="0.3">
      <c r="A758" s="160" t="str">
        <f>RIGHT($C$83,3)&amp;"*"&amp;RIGHT($C$82,4)&amp;"*"&amp;AA$55&amp;"*"&amp;"A"</f>
        <v>039*2021*7160*A</v>
      </c>
      <c r="B758" s="214">
        <f>ROUND(AA59,0)</f>
        <v>909</v>
      </c>
      <c r="C758" s="216">
        <f>ROUND(AA60,2)</f>
        <v>1.81</v>
      </c>
      <c r="D758" s="214">
        <f>ROUND(AA61,0)</f>
        <v>211593</v>
      </c>
      <c r="E758" s="214">
        <f>ROUND(AA62,0)</f>
        <v>40300</v>
      </c>
      <c r="F758" s="214">
        <f>ROUND(AA63,0)</f>
        <v>-365</v>
      </c>
      <c r="G758" s="214">
        <f>ROUND(AA64,0)</f>
        <v>73118</v>
      </c>
      <c r="H758" s="214">
        <f>ROUND(AA65,0)</f>
        <v>0</v>
      </c>
      <c r="I758" s="214">
        <f>ROUND(AA66,0)</f>
        <v>207437</v>
      </c>
      <c r="J758" s="214">
        <f>ROUND(AA67,0)</f>
        <v>49517</v>
      </c>
      <c r="K758" s="214">
        <f>ROUND(AA68,0)</f>
        <v>0</v>
      </c>
      <c r="L758" s="214">
        <f>ROUND(AA69,0)</f>
        <v>0</v>
      </c>
      <c r="M758" s="214">
        <f>ROUND(AA70,0)</f>
        <v>0</v>
      </c>
      <c r="N758" s="214">
        <f>ROUND(AA75,0)</f>
        <v>3433068</v>
      </c>
      <c r="O758" s="214">
        <f>ROUND(AA73,0)</f>
        <v>456875</v>
      </c>
      <c r="P758" s="214">
        <f>IF(AA76&gt;0,ROUND(AA76,0),0)</f>
        <v>4247</v>
      </c>
      <c r="Q758" s="214">
        <f>IF(AA77&gt;0,ROUND(AA77,0),0)</f>
        <v>0</v>
      </c>
      <c r="R758" s="214">
        <f>IF(AA78&gt;0,ROUND(AA78,0),0)</f>
        <v>590</v>
      </c>
      <c r="S758" s="214">
        <f>IF(AA79&gt;0,ROUND(AA79,0),0)</f>
        <v>0</v>
      </c>
      <c r="T758" s="216">
        <f>IF(AA80&gt;0,ROUND(AA80,2),0)</f>
        <v>1</v>
      </c>
      <c r="U758" s="214"/>
      <c r="V758" s="215"/>
      <c r="W758" s="214"/>
      <c r="X758" s="214"/>
      <c r="Y758" s="214">
        <f t="shared" si="23"/>
        <v>314547</v>
      </c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  <c r="BC758" s="215"/>
      <c r="BD758" s="215"/>
      <c r="BE758" s="215"/>
      <c r="BF758" s="215"/>
      <c r="BG758" s="215"/>
      <c r="BH758" s="215"/>
      <c r="BI758" s="215"/>
      <c r="BJ758" s="215"/>
      <c r="BK758" s="215"/>
      <c r="BL758" s="215"/>
      <c r="BM758" s="215"/>
      <c r="BN758" s="215"/>
      <c r="BO758" s="215"/>
      <c r="BP758" s="215"/>
      <c r="BQ758" s="215"/>
      <c r="BR758" s="215"/>
      <c r="BS758" s="215"/>
      <c r="BT758" s="215"/>
      <c r="BU758" s="215"/>
      <c r="BV758" s="215"/>
      <c r="BW758" s="215"/>
      <c r="BX758" s="215"/>
      <c r="BY758" s="215"/>
      <c r="BZ758" s="215"/>
      <c r="CA758" s="215"/>
      <c r="CB758" s="215"/>
      <c r="CC758" s="215"/>
      <c r="CD758" s="215"/>
      <c r="CE758" s="215"/>
    </row>
    <row r="759" spans="1:83" ht="12.65" customHeight="1" x14ac:dyDescent="0.3">
      <c r="A759" s="160" t="str">
        <f>RIGHT($C$83,3)&amp;"*"&amp;RIGHT($C$82,4)&amp;"*"&amp;AB$55&amp;"*"&amp;"A"</f>
        <v>039*2021*7170*A</v>
      </c>
      <c r="B759" s="214"/>
      <c r="C759" s="216">
        <f>ROUND(AB60,2)</f>
        <v>14.13</v>
      </c>
      <c r="D759" s="214">
        <f>ROUND(AB61,0)</f>
        <v>1611814</v>
      </c>
      <c r="E759" s="214">
        <f>ROUND(AB62,0)</f>
        <v>306985</v>
      </c>
      <c r="F759" s="214">
        <f>ROUND(AB63,0)</f>
        <v>1612</v>
      </c>
      <c r="G759" s="214">
        <f>ROUND(AB64,0)</f>
        <v>10052652</v>
      </c>
      <c r="H759" s="214">
        <f>ROUND(AB65,0)</f>
        <v>0</v>
      </c>
      <c r="I759" s="214">
        <f>ROUND(AB66,0)</f>
        <v>278656</v>
      </c>
      <c r="J759" s="214">
        <f>ROUND(AB67,0)</f>
        <v>65210</v>
      </c>
      <c r="K759" s="214">
        <f>ROUND(AB68,0)</f>
        <v>47</v>
      </c>
      <c r="L759" s="214">
        <f>ROUND(AB69,0)</f>
        <v>1875</v>
      </c>
      <c r="M759" s="214">
        <f>ROUND(AB70,0)</f>
        <v>2312</v>
      </c>
      <c r="N759" s="214">
        <f>ROUND(AB75,0)</f>
        <v>38218189</v>
      </c>
      <c r="O759" s="214">
        <f>ROUND(AB73,0)</f>
        <v>24184405</v>
      </c>
      <c r="P759" s="214">
        <f>IF(AB76&gt;0,ROUND(AB76,0),0)</f>
        <v>5593</v>
      </c>
      <c r="Q759" s="214">
        <f>IF(AB77&gt;0,ROUND(AB77,0),0)</f>
        <v>0</v>
      </c>
      <c r="R759" s="214">
        <f>IF(AB78&gt;0,ROUND(AB78,0),0)</f>
        <v>777</v>
      </c>
      <c r="S759" s="214">
        <f>IF(AB79&gt;0,ROUND(AB79,0),0)</f>
        <v>0</v>
      </c>
      <c r="T759" s="216">
        <f>IF(AB80&gt;0,ROUND(AB80,2),0)</f>
        <v>0</v>
      </c>
      <c r="U759" s="214"/>
      <c r="V759" s="215"/>
      <c r="W759" s="214"/>
      <c r="X759" s="214"/>
      <c r="Y759" s="214">
        <f t="shared" si="23"/>
        <v>2723787</v>
      </c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  <c r="BC759" s="215"/>
      <c r="BD759" s="215"/>
      <c r="BE759" s="215"/>
      <c r="BF759" s="215"/>
      <c r="BG759" s="215"/>
      <c r="BH759" s="215"/>
      <c r="BI759" s="215"/>
      <c r="BJ759" s="215"/>
      <c r="BK759" s="215"/>
      <c r="BL759" s="215"/>
      <c r="BM759" s="215"/>
      <c r="BN759" s="215"/>
      <c r="BO759" s="215"/>
      <c r="BP759" s="215"/>
      <c r="BQ759" s="215"/>
      <c r="BR759" s="215"/>
      <c r="BS759" s="215"/>
      <c r="BT759" s="215"/>
      <c r="BU759" s="215"/>
      <c r="BV759" s="215"/>
      <c r="BW759" s="215"/>
      <c r="BX759" s="215"/>
      <c r="BY759" s="215"/>
      <c r="BZ759" s="215"/>
      <c r="CA759" s="215"/>
      <c r="CB759" s="215"/>
      <c r="CC759" s="215"/>
      <c r="CD759" s="215"/>
      <c r="CE759" s="215"/>
    </row>
    <row r="760" spans="1:83" ht="12.65" customHeight="1" x14ac:dyDescent="0.3">
      <c r="A760" s="160" t="str">
        <f>RIGHT($C$83,3)&amp;"*"&amp;RIGHT($C$82,4)&amp;"*"&amp;AC$55&amp;"*"&amp;"A"</f>
        <v>039*2021*7180*A</v>
      </c>
      <c r="B760" s="214">
        <f>ROUND(AC59,0)</f>
        <v>47701</v>
      </c>
      <c r="C760" s="216">
        <f>ROUND(AC60,2)</f>
        <v>16.559999999999999</v>
      </c>
      <c r="D760" s="214">
        <f>ROUND(AC61,0)</f>
        <v>1395413</v>
      </c>
      <c r="E760" s="214">
        <f>ROUND(AC62,0)</f>
        <v>265769</v>
      </c>
      <c r="F760" s="214">
        <f>ROUND(AC63,0)</f>
        <v>418111</v>
      </c>
      <c r="G760" s="214">
        <f>ROUND(AC64,0)</f>
        <v>256860</v>
      </c>
      <c r="H760" s="214">
        <f>ROUND(AC65,0)</f>
        <v>897</v>
      </c>
      <c r="I760" s="214">
        <f>ROUND(AC66,0)</f>
        <v>7150</v>
      </c>
      <c r="J760" s="214">
        <f>ROUND(AC67,0)</f>
        <v>47301</v>
      </c>
      <c r="K760" s="214">
        <f>ROUND(AC68,0)</f>
        <v>-528</v>
      </c>
      <c r="L760" s="214">
        <f>ROUND(AC69,0)</f>
        <v>0</v>
      </c>
      <c r="M760" s="214">
        <f>ROUND(AC70,0)</f>
        <v>0</v>
      </c>
      <c r="N760" s="214">
        <f>ROUND(AC75,0)</f>
        <v>21425550</v>
      </c>
      <c r="O760" s="214">
        <f>ROUND(AC73,0)</f>
        <v>17327660</v>
      </c>
      <c r="P760" s="214">
        <f>IF(AC76&gt;0,ROUND(AC76,0),0)</f>
        <v>4057</v>
      </c>
      <c r="Q760" s="214">
        <f>IF(AC77&gt;0,ROUND(AC77,0),0)</f>
        <v>0</v>
      </c>
      <c r="R760" s="214">
        <f>IF(AC78&gt;0,ROUND(AC78,0),0)</f>
        <v>564</v>
      </c>
      <c r="S760" s="214">
        <f>IF(AC79&gt;0,ROUND(AC79,0),0)</f>
        <v>0</v>
      </c>
      <c r="T760" s="216">
        <f>IF(AC80&gt;0,ROUND(AC80,2),0)</f>
        <v>0</v>
      </c>
      <c r="U760" s="214"/>
      <c r="V760" s="215"/>
      <c r="W760" s="214"/>
      <c r="X760" s="214"/>
      <c r="Y760" s="214">
        <f t="shared" si="23"/>
        <v>876452</v>
      </c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  <c r="BC760" s="215"/>
      <c r="BD760" s="215"/>
      <c r="BE760" s="215"/>
      <c r="BF760" s="215"/>
      <c r="BG760" s="215"/>
      <c r="BH760" s="215"/>
      <c r="BI760" s="215"/>
      <c r="BJ760" s="215"/>
      <c r="BK760" s="215"/>
      <c r="BL760" s="215"/>
      <c r="BM760" s="215"/>
      <c r="BN760" s="215"/>
      <c r="BO760" s="215"/>
      <c r="BP760" s="215"/>
      <c r="BQ760" s="215"/>
      <c r="BR760" s="215"/>
      <c r="BS760" s="215"/>
      <c r="BT760" s="215"/>
      <c r="BU760" s="215"/>
      <c r="BV760" s="215"/>
      <c r="BW760" s="215"/>
      <c r="BX760" s="215"/>
      <c r="BY760" s="215"/>
      <c r="BZ760" s="215"/>
      <c r="CA760" s="215"/>
      <c r="CB760" s="215"/>
      <c r="CC760" s="215"/>
      <c r="CD760" s="215"/>
      <c r="CE760" s="215"/>
    </row>
    <row r="761" spans="1:83" ht="12.65" customHeight="1" x14ac:dyDescent="0.3">
      <c r="A761" s="160" t="str">
        <f>RIGHT($C$83,3)&amp;"*"&amp;RIGHT($C$82,4)&amp;"*"&amp;AD$55&amp;"*"&amp;"A"</f>
        <v>039*2021*7190*A</v>
      </c>
      <c r="B761" s="214">
        <f>ROUND(AD59,0)</f>
        <v>0</v>
      </c>
      <c r="C761" s="216">
        <f>ROUND(AD60,2)</f>
        <v>0</v>
      </c>
      <c r="D761" s="214">
        <f>ROUND(AD61,0)</f>
        <v>0</v>
      </c>
      <c r="E761" s="214">
        <f>ROUND(AD62,0)</f>
        <v>0</v>
      </c>
      <c r="F761" s="214">
        <f>ROUND(AD63,0)</f>
        <v>0</v>
      </c>
      <c r="G761" s="214">
        <f>ROUND(AD64,0)</f>
        <v>0</v>
      </c>
      <c r="H761" s="214">
        <f>ROUND(AD65,0)</f>
        <v>0</v>
      </c>
      <c r="I761" s="214">
        <f>ROUND(AD66,0)</f>
        <v>0</v>
      </c>
      <c r="J761" s="214">
        <f>ROUND(AD67,0)</f>
        <v>0</v>
      </c>
      <c r="K761" s="214">
        <f>ROUND(AD68,0)</f>
        <v>0</v>
      </c>
      <c r="L761" s="214">
        <f>ROUND(AD69,0)</f>
        <v>0</v>
      </c>
      <c r="M761" s="214">
        <f>ROUND(AD70,0)</f>
        <v>0</v>
      </c>
      <c r="N761" s="214">
        <f>ROUND(AD75,0)</f>
        <v>0</v>
      </c>
      <c r="O761" s="214">
        <f>ROUND(AD73,0)</f>
        <v>0</v>
      </c>
      <c r="P761" s="214">
        <f>IF(AD76&gt;0,ROUND(AD76,0),0)</f>
        <v>0</v>
      </c>
      <c r="Q761" s="214">
        <f>IF(AD77&gt;0,ROUND(AD77,0),0)</f>
        <v>0</v>
      </c>
      <c r="R761" s="214">
        <f>IF(AD78&gt;0,ROUND(AD78,0),0)</f>
        <v>0</v>
      </c>
      <c r="S761" s="214">
        <f>IF(AD79&gt;0,ROUND(AD79,0),0)</f>
        <v>0</v>
      </c>
      <c r="T761" s="216">
        <f>IF(AD80&gt;0,ROUND(AD80,2),0)</f>
        <v>0</v>
      </c>
      <c r="U761" s="214"/>
      <c r="V761" s="215"/>
      <c r="W761" s="214"/>
      <c r="X761" s="214"/>
      <c r="Y761" s="214">
        <f t="shared" si="23"/>
        <v>0</v>
      </c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  <c r="BC761" s="215"/>
      <c r="BD761" s="215"/>
      <c r="BE761" s="215"/>
      <c r="BF761" s="215"/>
      <c r="BG761" s="215"/>
      <c r="BH761" s="215"/>
      <c r="BI761" s="215"/>
      <c r="BJ761" s="215"/>
      <c r="BK761" s="215"/>
      <c r="BL761" s="215"/>
      <c r="BM761" s="215"/>
      <c r="BN761" s="215"/>
      <c r="BO761" s="215"/>
      <c r="BP761" s="215"/>
      <c r="BQ761" s="215"/>
      <c r="BR761" s="215"/>
      <c r="BS761" s="215"/>
      <c r="BT761" s="215"/>
      <c r="BU761" s="215"/>
      <c r="BV761" s="215"/>
      <c r="BW761" s="215"/>
      <c r="BX761" s="215"/>
      <c r="BY761" s="215"/>
      <c r="BZ761" s="215"/>
      <c r="CA761" s="215"/>
      <c r="CB761" s="215"/>
      <c r="CC761" s="215"/>
      <c r="CD761" s="215"/>
      <c r="CE761" s="215"/>
    </row>
    <row r="762" spans="1:83" ht="12.65" customHeight="1" x14ac:dyDescent="0.3">
      <c r="A762" s="160" t="str">
        <f>RIGHT($C$83,3)&amp;"*"&amp;RIGHT($C$82,4)&amp;"*"&amp;AE$55&amp;"*"&amp;"A"</f>
        <v>039*2021*7200*A</v>
      </c>
      <c r="B762" s="214">
        <f>ROUND(AE59,0)</f>
        <v>31187</v>
      </c>
      <c r="C762" s="216">
        <f>ROUND(AE60,2)</f>
        <v>10.58</v>
      </c>
      <c r="D762" s="214">
        <f>ROUND(AE61,0)</f>
        <v>1016459</v>
      </c>
      <c r="E762" s="214">
        <f>ROUND(AE62,0)</f>
        <v>193594</v>
      </c>
      <c r="F762" s="214">
        <f>ROUND(AE63,0)</f>
        <v>43618</v>
      </c>
      <c r="G762" s="214">
        <f>ROUND(AE64,0)</f>
        <v>7676</v>
      </c>
      <c r="H762" s="214">
        <f>ROUND(AE65,0)</f>
        <v>897</v>
      </c>
      <c r="I762" s="214">
        <f>ROUND(AE66,0)</f>
        <v>28590</v>
      </c>
      <c r="J762" s="214">
        <f>ROUND(AE67,0)</f>
        <v>95057</v>
      </c>
      <c r="K762" s="214">
        <f>ROUND(AE68,0)</f>
        <v>103</v>
      </c>
      <c r="L762" s="214">
        <f>ROUND(AE69,0)</f>
        <v>1406</v>
      </c>
      <c r="M762" s="214">
        <f>ROUND(AE70,0)</f>
        <v>0</v>
      </c>
      <c r="N762" s="214">
        <f>ROUND(AE75,0)</f>
        <v>4537438</v>
      </c>
      <c r="O762" s="214">
        <f>ROUND(AE73,0)</f>
        <v>1817032</v>
      </c>
      <c r="P762" s="214">
        <f>IF(AE76&gt;0,ROUND(AE76,0),0)</f>
        <v>8153</v>
      </c>
      <c r="Q762" s="214">
        <f>IF(AE77&gt;0,ROUND(AE77,0),0)</f>
        <v>0</v>
      </c>
      <c r="R762" s="214">
        <f>IF(AE78&gt;0,ROUND(AE78,0),0)</f>
        <v>1133</v>
      </c>
      <c r="S762" s="214">
        <f>IF(AE79&gt;0,ROUND(AE79,0),0)</f>
        <v>12456</v>
      </c>
      <c r="T762" s="216">
        <f>IF(AE80&gt;0,ROUND(AE80,2),0)</f>
        <v>1</v>
      </c>
      <c r="U762" s="214"/>
      <c r="V762" s="215"/>
      <c r="W762" s="214"/>
      <c r="X762" s="214"/>
      <c r="Y762" s="214">
        <f t="shared" si="23"/>
        <v>591464</v>
      </c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  <c r="BC762" s="215"/>
      <c r="BD762" s="215"/>
      <c r="BE762" s="215"/>
      <c r="BF762" s="215"/>
      <c r="BG762" s="215"/>
      <c r="BH762" s="215"/>
      <c r="BI762" s="215"/>
      <c r="BJ762" s="215"/>
      <c r="BK762" s="215"/>
      <c r="BL762" s="215"/>
      <c r="BM762" s="215"/>
      <c r="BN762" s="215"/>
      <c r="BO762" s="215"/>
      <c r="BP762" s="215"/>
      <c r="BQ762" s="215"/>
      <c r="BR762" s="215"/>
      <c r="BS762" s="215"/>
      <c r="BT762" s="215"/>
      <c r="BU762" s="215"/>
      <c r="BV762" s="215"/>
      <c r="BW762" s="215"/>
      <c r="BX762" s="215"/>
      <c r="BY762" s="215"/>
      <c r="BZ762" s="215"/>
      <c r="CA762" s="215"/>
      <c r="CB762" s="215"/>
      <c r="CC762" s="215"/>
      <c r="CD762" s="215"/>
      <c r="CE762" s="215"/>
    </row>
    <row r="763" spans="1:83" ht="12.65" customHeight="1" x14ac:dyDescent="0.3">
      <c r="A763" s="160" t="str">
        <f>RIGHT($C$83,3)&amp;"*"&amp;RIGHT($C$82,4)&amp;"*"&amp;AF$55&amp;"*"&amp;"A"</f>
        <v>039*2021*7220*A</v>
      </c>
      <c r="B763" s="214">
        <f>ROUND(AF59,0)</f>
        <v>0</v>
      </c>
      <c r="C763" s="216">
        <f>ROUND(AF60,2)</f>
        <v>0</v>
      </c>
      <c r="D763" s="214">
        <f>ROUND(AF61,0)</f>
        <v>0</v>
      </c>
      <c r="E763" s="214">
        <f>ROUND(AF62,0)</f>
        <v>0</v>
      </c>
      <c r="F763" s="214">
        <f>ROUND(AF63,0)</f>
        <v>0</v>
      </c>
      <c r="G763" s="214">
        <f>ROUND(AF64,0)</f>
        <v>0</v>
      </c>
      <c r="H763" s="214">
        <f>ROUND(AF65,0)</f>
        <v>0</v>
      </c>
      <c r="I763" s="214">
        <f>ROUND(AF66,0)</f>
        <v>0</v>
      </c>
      <c r="J763" s="214">
        <f>ROUND(AF67,0)</f>
        <v>0</v>
      </c>
      <c r="K763" s="214">
        <f>ROUND(AF68,0)</f>
        <v>0</v>
      </c>
      <c r="L763" s="214">
        <f>ROUND(AF69,0)</f>
        <v>0</v>
      </c>
      <c r="M763" s="214">
        <f>ROUND(AF70,0)</f>
        <v>0</v>
      </c>
      <c r="N763" s="214">
        <f>ROUND(AF75,0)</f>
        <v>0</v>
      </c>
      <c r="O763" s="214">
        <f>ROUND(AF73,0)</f>
        <v>0</v>
      </c>
      <c r="P763" s="214">
        <f>IF(AF76&gt;0,ROUND(AF76,0),0)</f>
        <v>0</v>
      </c>
      <c r="Q763" s="214">
        <f>IF(AF77&gt;0,ROUND(AF77,0),0)</f>
        <v>0</v>
      </c>
      <c r="R763" s="214">
        <f>IF(AF78&gt;0,ROUND(AF78,0),0)</f>
        <v>0</v>
      </c>
      <c r="S763" s="214">
        <f>IF(AF79&gt;0,ROUND(AF79,0),0)</f>
        <v>0</v>
      </c>
      <c r="T763" s="216">
        <f>IF(AF80&gt;0,ROUND(AF80,2),0)</f>
        <v>0</v>
      </c>
      <c r="U763" s="214"/>
      <c r="V763" s="215"/>
      <c r="W763" s="214"/>
      <c r="X763" s="214"/>
      <c r="Y763" s="214">
        <f t="shared" si="23"/>
        <v>0</v>
      </c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  <c r="BC763" s="215"/>
      <c r="BD763" s="215"/>
      <c r="BE763" s="215"/>
      <c r="BF763" s="215"/>
      <c r="BG763" s="215"/>
      <c r="BH763" s="215"/>
      <c r="BI763" s="215"/>
      <c r="BJ763" s="215"/>
      <c r="BK763" s="215"/>
      <c r="BL763" s="215"/>
      <c r="BM763" s="215"/>
      <c r="BN763" s="215"/>
      <c r="BO763" s="215"/>
      <c r="BP763" s="215"/>
      <c r="BQ763" s="215"/>
      <c r="BR763" s="215"/>
      <c r="BS763" s="215"/>
      <c r="BT763" s="215"/>
      <c r="BU763" s="215"/>
      <c r="BV763" s="215"/>
      <c r="BW763" s="215"/>
      <c r="BX763" s="215"/>
      <c r="BY763" s="215"/>
      <c r="BZ763" s="215"/>
      <c r="CA763" s="215"/>
      <c r="CB763" s="215"/>
      <c r="CC763" s="215"/>
      <c r="CD763" s="215"/>
      <c r="CE763" s="215"/>
    </row>
    <row r="764" spans="1:83" ht="12.65" customHeight="1" x14ac:dyDescent="0.3">
      <c r="A764" s="160" t="str">
        <f>RIGHT($C$83,3)&amp;"*"&amp;RIGHT($C$82,4)&amp;"*"&amp;AG$55&amp;"*"&amp;"A"</f>
        <v>039*2021*7230*A</v>
      </c>
      <c r="B764" s="214">
        <f>ROUND(AG59,0)</f>
        <v>22406</v>
      </c>
      <c r="C764" s="216">
        <f>ROUND(AG60,2)</f>
        <v>26.68</v>
      </c>
      <c r="D764" s="214">
        <f>ROUND(AG61,0)</f>
        <v>2355530</v>
      </c>
      <c r="E764" s="214">
        <f>ROUND(AG62,0)</f>
        <v>448633</v>
      </c>
      <c r="F764" s="214">
        <f>ROUND(AG63,0)</f>
        <v>4914187</v>
      </c>
      <c r="G764" s="214">
        <f>ROUND(AG64,0)</f>
        <v>1010443</v>
      </c>
      <c r="H764" s="214">
        <f>ROUND(AG65,0)</f>
        <v>897</v>
      </c>
      <c r="I764" s="214">
        <f>ROUND(AG66,0)</f>
        <v>99921</v>
      </c>
      <c r="J764" s="214">
        <f>ROUND(AG67,0)</f>
        <v>145880</v>
      </c>
      <c r="K764" s="214">
        <f>ROUND(AG68,0)</f>
        <v>-130</v>
      </c>
      <c r="L764" s="214">
        <f>ROUND(AG69,0)</f>
        <v>134</v>
      </c>
      <c r="M764" s="214">
        <f>ROUND(AG70,0)</f>
        <v>592634</v>
      </c>
      <c r="N764" s="214">
        <f>ROUND(AG75,0)</f>
        <v>44614208</v>
      </c>
      <c r="O764" s="214">
        <f>ROUND(AG73,0)</f>
        <v>11912496</v>
      </c>
      <c r="P764" s="214">
        <f>IF(AG76&gt;0,ROUND(AG76,0),0)</f>
        <v>12512</v>
      </c>
      <c r="Q764" s="214">
        <f>IF(AG77&gt;0,ROUND(AG77,0),0)</f>
        <v>972</v>
      </c>
      <c r="R764" s="214">
        <f>IF(AG78&gt;0,ROUND(AG78,0),0)</f>
        <v>1738</v>
      </c>
      <c r="S764" s="214">
        <f>IF(AG79&gt;0,ROUND(AG79,0),0)</f>
        <v>67506</v>
      </c>
      <c r="T764" s="216">
        <f>IF(AG80&gt;0,ROUND(AG80,2),0)</f>
        <v>14.8</v>
      </c>
      <c r="U764" s="214"/>
      <c r="V764" s="215"/>
      <c r="W764" s="214"/>
      <c r="X764" s="214"/>
      <c r="Y764" s="214">
        <f t="shared" si="23"/>
        <v>2521313</v>
      </c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  <c r="BC764" s="215"/>
      <c r="BD764" s="215"/>
      <c r="BE764" s="215"/>
      <c r="BF764" s="215"/>
      <c r="BG764" s="215"/>
      <c r="BH764" s="215"/>
      <c r="BI764" s="215"/>
      <c r="BJ764" s="215"/>
      <c r="BK764" s="215"/>
      <c r="BL764" s="215"/>
      <c r="BM764" s="215"/>
      <c r="BN764" s="215"/>
      <c r="BO764" s="215"/>
      <c r="BP764" s="215"/>
      <c r="BQ764" s="215"/>
      <c r="BR764" s="215"/>
      <c r="BS764" s="215"/>
      <c r="BT764" s="215"/>
      <c r="BU764" s="215"/>
      <c r="BV764" s="215"/>
      <c r="BW764" s="215"/>
      <c r="BX764" s="215"/>
      <c r="BY764" s="215"/>
      <c r="BZ764" s="215"/>
      <c r="CA764" s="215"/>
      <c r="CB764" s="215"/>
      <c r="CC764" s="215"/>
      <c r="CD764" s="215"/>
      <c r="CE764" s="215"/>
    </row>
    <row r="765" spans="1:83" ht="12.65" customHeight="1" x14ac:dyDescent="0.3">
      <c r="A765" s="160" t="str">
        <f>RIGHT($C$83,3)&amp;"*"&amp;RIGHT($C$82,4)&amp;"*"&amp;AH$55&amp;"*"&amp;"A"</f>
        <v>039*2021*7240*A</v>
      </c>
      <c r="B765" s="214">
        <f>ROUND(AH59,0)</f>
        <v>0</v>
      </c>
      <c r="C765" s="216">
        <f>ROUND(AH60,2)</f>
        <v>0</v>
      </c>
      <c r="D765" s="214">
        <f>ROUND(AH61,0)</f>
        <v>0</v>
      </c>
      <c r="E765" s="214">
        <f>ROUND(AH62,0)</f>
        <v>0</v>
      </c>
      <c r="F765" s="214">
        <f>ROUND(AH63,0)</f>
        <v>0</v>
      </c>
      <c r="G765" s="214">
        <f>ROUND(AH64,0)</f>
        <v>0</v>
      </c>
      <c r="H765" s="214">
        <f>ROUND(AH65,0)</f>
        <v>0</v>
      </c>
      <c r="I765" s="214">
        <f>ROUND(AH66,0)</f>
        <v>0</v>
      </c>
      <c r="J765" s="214">
        <f>ROUND(AH67,0)</f>
        <v>0</v>
      </c>
      <c r="K765" s="214">
        <f>ROUND(AH68,0)</f>
        <v>0</v>
      </c>
      <c r="L765" s="214">
        <f>ROUND(AH69,0)</f>
        <v>0</v>
      </c>
      <c r="M765" s="214">
        <f>ROUND(AH70,0)</f>
        <v>0</v>
      </c>
      <c r="N765" s="214">
        <f>ROUND(AH75,0)</f>
        <v>0</v>
      </c>
      <c r="O765" s="214">
        <f>ROUND(AH73,0)</f>
        <v>0</v>
      </c>
      <c r="P765" s="214">
        <f>IF(AH76&gt;0,ROUND(AH76,0),0)</f>
        <v>0</v>
      </c>
      <c r="Q765" s="214">
        <f>IF(AH77&gt;0,ROUND(AH77,0),0)</f>
        <v>0</v>
      </c>
      <c r="R765" s="214">
        <f>IF(AH78&gt;0,ROUND(AH78,0),0)</f>
        <v>0</v>
      </c>
      <c r="S765" s="214">
        <f>IF(AH79&gt;0,ROUND(AH79,0),0)</f>
        <v>0</v>
      </c>
      <c r="T765" s="216">
        <f>IF(AH80&gt;0,ROUND(AH80,2),0)</f>
        <v>0</v>
      </c>
      <c r="U765" s="214"/>
      <c r="V765" s="215"/>
      <c r="W765" s="214"/>
      <c r="X765" s="214"/>
      <c r="Y765" s="214">
        <f t="shared" si="23"/>
        <v>0</v>
      </c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  <c r="BC765" s="215"/>
      <c r="BD765" s="215"/>
      <c r="BE765" s="215"/>
      <c r="BF765" s="215"/>
      <c r="BG765" s="215"/>
      <c r="BH765" s="215"/>
      <c r="BI765" s="215"/>
      <c r="BJ765" s="215"/>
      <c r="BK765" s="215"/>
      <c r="BL765" s="215"/>
      <c r="BM765" s="215"/>
      <c r="BN765" s="215"/>
      <c r="BO765" s="215"/>
      <c r="BP765" s="215"/>
      <c r="BQ765" s="215"/>
      <c r="BR765" s="215"/>
      <c r="BS765" s="215"/>
      <c r="BT765" s="215"/>
      <c r="BU765" s="215"/>
      <c r="BV765" s="215"/>
      <c r="BW765" s="215"/>
      <c r="BX765" s="215"/>
      <c r="BY765" s="215"/>
      <c r="BZ765" s="215"/>
      <c r="CA765" s="215"/>
      <c r="CB765" s="215"/>
      <c r="CC765" s="215"/>
      <c r="CD765" s="215"/>
      <c r="CE765" s="215"/>
    </row>
    <row r="766" spans="1:83" ht="12.65" customHeight="1" x14ac:dyDescent="0.3">
      <c r="A766" s="160" t="str">
        <f>RIGHT($C$83,3)&amp;"*"&amp;RIGHT($C$82,4)&amp;"*"&amp;AI$55&amp;"*"&amp;"A"</f>
        <v>039*2021*7250*A</v>
      </c>
      <c r="B766" s="214">
        <f>ROUND(AI59,0)</f>
        <v>157356</v>
      </c>
      <c r="C766" s="216">
        <f>ROUND(AI60,2)</f>
        <v>26.15</v>
      </c>
      <c r="D766" s="214">
        <f>ROUND(AI61,0)</f>
        <v>2349490</v>
      </c>
      <c r="E766" s="214">
        <f>ROUND(AI62,0)</f>
        <v>447482</v>
      </c>
      <c r="F766" s="214">
        <f>ROUND(AI63,0)</f>
        <v>0</v>
      </c>
      <c r="G766" s="214">
        <f>ROUND(AI64,0)</f>
        <v>482703</v>
      </c>
      <c r="H766" s="214">
        <f>ROUND(AI65,0)</f>
        <v>0</v>
      </c>
      <c r="I766" s="214">
        <f>ROUND(AI66,0)</f>
        <v>10507</v>
      </c>
      <c r="J766" s="214">
        <f>ROUND(AI67,0)</f>
        <v>295071</v>
      </c>
      <c r="K766" s="214">
        <f>ROUND(AI68,0)</f>
        <v>-19</v>
      </c>
      <c r="L766" s="214">
        <f>ROUND(AI69,0)</f>
        <v>295</v>
      </c>
      <c r="M766" s="214">
        <f>ROUND(AI70,0)</f>
        <v>0</v>
      </c>
      <c r="N766" s="214">
        <f>ROUND(AI75,0)</f>
        <v>12059328</v>
      </c>
      <c r="O766" s="214">
        <f>ROUND(AI73,0)</f>
        <v>75131</v>
      </c>
      <c r="P766" s="214">
        <f>IF(AI76&gt;0,ROUND(AI76,0),0)</f>
        <v>25308</v>
      </c>
      <c r="Q766" s="214">
        <f>IF(AI77&gt;0,ROUND(AI77,0),0)</f>
        <v>2561</v>
      </c>
      <c r="R766" s="214">
        <f>IF(AI78&gt;0,ROUND(AI78,0),0)</f>
        <v>3516</v>
      </c>
      <c r="S766" s="214">
        <f>IF(AI79&gt;0,ROUND(AI79,0),0)</f>
        <v>51276</v>
      </c>
      <c r="T766" s="216">
        <f>IF(AI80&gt;0,ROUND(AI80,2),0)</f>
        <v>18.100000000000001</v>
      </c>
      <c r="U766" s="214"/>
      <c r="V766" s="215"/>
      <c r="W766" s="214"/>
      <c r="X766" s="214"/>
      <c r="Y766" s="214">
        <f t="shared" si="23"/>
        <v>1972899</v>
      </c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  <c r="BC766" s="215"/>
      <c r="BD766" s="215"/>
      <c r="BE766" s="215"/>
      <c r="BF766" s="215"/>
      <c r="BG766" s="215"/>
      <c r="BH766" s="215"/>
      <c r="BI766" s="215"/>
      <c r="BJ766" s="215"/>
      <c r="BK766" s="215"/>
      <c r="BL766" s="215"/>
      <c r="BM766" s="215"/>
      <c r="BN766" s="215"/>
      <c r="BO766" s="215"/>
      <c r="BP766" s="215"/>
      <c r="BQ766" s="215"/>
      <c r="BR766" s="215"/>
      <c r="BS766" s="215"/>
      <c r="BT766" s="215"/>
      <c r="BU766" s="215"/>
      <c r="BV766" s="215"/>
      <c r="BW766" s="215"/>
      <c r="BX766" s="215"/>
      <c r="BY766" s="215"/>
      <c r="BZ766" s="215"/>
      <c r="CA766" s="215"/>
      <c r="CB766" s="215"/>
      <c r="CC766" s="215"/>
      <c r="CD766" s="215"/>
      <c r="CE766" s="215"/>
    </row>
    <row r="767" spans="1:83" ht="12.65" customHeight="1" x14ac:dyDescent="0.3">
      <c r="A767" s="160" t="str">
        <f>RIGHT($C$83,3)&amp;"*"&amp;RIGHT($C$82,4)&amp;"*"&amp;AJ$55&amp;"*"&amp;"A"</f>
        <v>039*2021*7260*A</v>
      </c>
      <c r="B767" s="214">
        <f>ROUND(AJ59,0)</f>
        <v>7719</v>
      </c>
      <c r="C767" s="216">
        <f>ROUND(AJ60,2)</f>
        <v>10.64</v>
      </c>
      <c r="D767" s="214">
        <f>ROUND(AJ61,0)</f>
        <v>995503</v>
      </c>
      <c r="E767" s="214">
        <f>ROUND(AJ62,0)</f>
        <v>189603</v>
      </c>
      <c r="F767" s="214">
        <f>ROUND(AJ63,0)</f>
        <v>13737</v>
      </c>
      <c r="G767" s="214">
        <f>ROUND(AJ64,0)</f>
        <v>551332</v>
      </c>
      <c r="H767" s="214">
        <f>ROUND(AJ65,0)</f>
        <v>0</v>
      </c>
      <c r="I767" s="214">
        <f>ROUND(AJ66,0)</f>
        <v>77799</v>
      </c>
      <c r="J767" s="214">
        <f>ROUND(AJ67,0)</f>
        <v>95489</v>
      </c>
      <c r="K767" s="214">
        <f>ROUND(AJ68,0)</f>
        <v>-163</v>
      </c>
      <c r="L767" s="214">
        <f>ROUND(AJ69,0)</f>
        <v>57</v>
      </c>
      <c r="M767" s="214">
        <f>ROUND(AJ70,0)</f>
        <v>0</v>
      </c>
      <c r="N767" s="214">
        <f>ROUND(AJ75,0)</f>
        <v>18903898</v>
      </c>
      <c r="O767" s="214">
        <f>ROUND(AJ73,0)</f>
        <v>1104515</v>
      </c>
      <c r="P767" s="214">
        <f>IF(AJ76&gt;0,ROUND(AJ76,0),0)</f>
        <v>8190</v>
      </c>
      <c r="Q767" s="214">
        <f>IF(AJ77&gt;0,ROUND(AJ77,0),0)</f>
        <v>0</v>
      </c>
      <c r="R767" s="214">
        <f>IF(AJ78&gt;0,ROUND(AJ78,0),0)</f>
        <v>1138</v>
      </c>
      <c r="S767" s="214">
        <f>IF(AJ79&gt;0,ROUND(AJ79,0),0)</f>
        <v>0</v>
      </c>
      <c r="T767" s="216">
        <f>IF(AJ80&gt;0,ROUND(AJ80,2),0)</f>
        <v>5.0999999999999996</v>
      </c>
      <c r="U767" s="214"/>
      <c r="V767" s="215"/>
      <c r="W767" s="214"/>
      <c r="X767" s="214"/>
      <c r="Y767" s="214">
        <f t="shared" si="23"/>
        <v>1003348</v>
      </c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  <c r="BC767" s="215"/>
      <c r="BD767" s="215"/>
      <c r="BE767" s="215"/>
      <c r="BF767" s="215"/>
      <c r="BG767" s="215"/>
      <c r="BH767" s="215"/>
      <c r="BI767" s="215"/>
      <c r="BJ767" s="215"/>
      <c r="BK767" s="215"/>
      <c r="BL767" s="215"/>
      <c r="BM767" s="215"/>
      <c r="BN767" s="215"/>
      <c r="BO767" s="215"/>
      <c r="BP767" s="215"/>
      <c r="BQ767" s="215"/>
      <c r="BR767" s="215"/>
      <c r="BS767" s="215"/>
      <c r="BT767" s="215"/>
      <c r="BU767" s="215"/>
      <c r="BV767" s="215"/>
      <c r="BW767" s="215"/>
      <c r="BX767" s="215"/>
      <c r="BY767" s="215"/>
      <c r="BZ767" s="215"/>
      <c r="CA767" s="215"/>
      <c r="CB767" s="215"/>
      <c r="CC767" s="215"/>
      <c r="CD767" s="215"/>
      <c r="CE767" s="215"/>
    </row>
    <row r="768" spans="1:83" ht="12.65" customHeight="1" x14ac:dyDescent="0.3">
      <c r="A768" s="160" t="str">
        <f>RIGHT($C$83,3)&amp;"*"&amp;RIGHT($C$82,4)&amp;"*"&amp;AK$55&amp;"*"&amp;"A"</f>
        <v>039*2021*7310*A</v>
      </c>
      <c r="B768" s="214">
        <f>ROUND(AK59,0)</f>
        <v>0</v>
      </c>
      <c r="C768" s="216">
        <f>ROUND(AK60,2)</f>
        <v>0</v>
      </c>
      <c r="D768" s="214">
        <f>ROUND(AK61,0)</f>
        <v>0</v>
      </c>
      <c r="E768" s="214">
        <f>ROUND(AK62,0)</f>
        <v>0</v>
      </c>
      <c r="F768" s="214">
        <f>ROUND(AK63,0)</f>
        <v>0</v>
      </c>
      <c r="G768" s="214">
        <f>ROUND(AK64,0)</f>
        <v>0</v>
      </c>
      <c r="H768" s="214">
        <f>ROUND(AK65,0)</f>
        <v>0</v>
      </c>
      <c r="I768" s="214">
        <f>ROUND(AK66,0)</f>
        <v>0</v>
      </c>
      <c r="J768" s="214">
        <f>ROUND(AK67,0)</f>
        <v>0</v>
      </c>
      <c r="K768" s="214">
        <f>ROUND(AK68,0)</f>
        <v>0</v>
      </c>
      <c r="L768" s="214">
        <f>ROUND(AK69,0)</f>
        <v>0</v>
      </c>
      <c r="M768" s="214">
        <f>ROUND(AK70,0)</f>
        <v>0</v>
      </c>
      <c r="N768" s="214">
        <f>ROUND(AK75,0)</f>
        <v>0</v>
      </c>
      <c r="O768" s="214">
        <f>ROUND(AK73,0)</f>
        <v>0</v>
      </c>
      <c r="P768" s="214">
        <f>IF(AK76&gt;0,ROUND(AK76,0),0)</f>
        <v>0</v>
      </c>
      <c r="Q768" s="214">
        <f>IF(AK77&gt;0,ROUND(AK77,0),0)</f>
        <v>0</v>
      </c>
      <c r="R768" s="214">
        <f>IF(AK78&gt;0,ROUND(AK78,0),0)</f>
        <v>0</v>
      </c>
      <c r="S768" s="214">
        <f>IF(AK79&gt;0,ROUND(AK79,0),0)</f>
        <v>0</v>
      </c>
      <c r="T768" s="216">
        <f>IF(AK80&gt;0,ROUND(AK80,2),0)</f>
        <v>0</v>
      </c>
      <c r="U768" s="214"/>
      <c r="V768" s="215"/>
      <c r="W768" s="214"/>
      <c r="X768" s="214"/>
      <c r="Y768" s="214">
        <f t="shared" si="23"/>
        <v>0</v>
      </c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  <c r="BC768" s="215"/>
      <c r="BD768" s="215"/>
      <c r="BE768" s="215"/>
      <c r="BF768" s="215"/>
      <c r="BG768" s="215"/>
      <c r="BH768" s="215"/>
      <c r="BI768" s="215"/>
      <c r="BJ768" s="215"/>
      <c r="BK768" s="215"/>
      <c r="BL768" s="215"/>
      <c r="BM768" s="215"/>
      <c r="BN768" s="215"/>
      <c r="BO768" s="215"/>
      <c r="BP768" s="215"/>
      <c r="BQ768" s="215"/>
      <c r="BR768" s="215"/>
      <c r="BS768" s="215"/>
      <c r="BT768" s="215"/>
      <c r="BU768" s="215"/>
      <c r="BV768" s="215"/>
      <c r="BW768" s="215"/>
      <c r="BX768" s="215"/>
      <c r="BY768" s="215"/>
      <c r="BZ768" s="215"/>
      <c r="CA768" s="215"/>
      <c r="CB768" s="215"/>
      <c r="CC768" s="215"/>
      <c r="CD768" s="215"/>
      <c r="CE768" s="215"/>
    </row>
    <row r="769" spans="1:83" ht="12.65" customHeight="1" x14ac:dyDescent="0.3">
      <c r="A769" s="160" t="str">
        <f>RIGHT($C$83,3)&amp;"*"&amp;RIGHT($C$82,4)&amp;"*"&amp;AL$55&amp;"*"&amp;"A"</f>
        <v>039*2021*7320*A</v>
      </c>
      <c r="B769" s="214">
        <f>ROUND(AL59,0)</f>
        <v>4420</v>
      </c>
      <c r="C769" s="216">
        <f>ROUND(AL60,2)</f>
        <v>1.82</v>
      </c>
      <c r="D769" s="214">
        <f>ROUND(AL61,0)</f>
        <v>162574</v>
      </c>
      <c r="E769" s="214">
        <f>ROUND(AL62,0)</f>
        <v>30964</v>
      </c>
      <c r="F769" s="214">
        <f>ROUND(AL63,0)</f>
        <v>81605</v>
      </c>
      <c r="G769" s="214">
        <f>ROUND(AL64,0)</f>
        <v>578</v>
      </c>
      <c r="H769" s="214">
        <f>ROUND(AL65,0)</f>
        <v>0</v>
      </c>
      <c r="I769" s="214">
        <f>ROUND(AL66,0)</f>
        <v>0</v>
      </c>
      <c r="J769" s="214">
        <f>ROUND(AL67,0)</f>
        <v>2332</v>
      </c>
      <c r="K769" s="214">
        <f>ROUND(AL68,0)</f>
        <v>0</v>
      </c>
      <c r="L769" s="214">
        <f>ROUND(AL69,0)</f>
        <v>0</v>
      </c>
      <c r="M769" s="214">
        <f>ROUND(AL70,0)</f>
        <v>0</v>
      </c>
      <c r="N769" s="214">
        <f>ROUND(AL75,0)</f>
        <v>1402629</v>
      </c>
      <c r="O769" s="214">
        <f>ROUND(AL73,0)</f>
        <v>518636</v>
      </c>
      <c r="P769" s="214">
        <f>IF(AL76&gt;0,ROUND(AL76,0),0)</f>
        <v>200</v>
      </c>
      <c r="Q769" s="214">
        <f>IF(AL77&gt;0,ROUND(AL77,0),0)</f>
        <v>0</v>
      </c>
      <c r="R769" s="214">
        <f>IF(AL78&gt;0,ROUND(AL78,0),0)</f>
        <v>28</v>
      </c>
      <c r="S769" s="214">
        <f>IF(AL79&gt;0,ROUND(AL79,0),0)</f>
        <v>0</v>
      </c>
      <c r="T769" s="216">
        <f>IF(AL80&gt;0,ROUND(AL80,2),0)</f>
        <v>0</v>
      </c>
      <c r="U769" s="214"/>
      <c r="V769" s="215"/>
      <c r="W769" s="214"/>
      <c r="X769" s="214"/>
      <c r="Y769" s="214">
        <f t="shared" si="23"/>
        <v>65413</v>
      </c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  <c r="BC769" s="215"/>
      <c r="BD769" s="215"/>
      <c r="BE769" s="215"/>
      <c r="BF769" s="215"/>
      <c r="BG769" s="215"/>
      <c r="BH769" s="215"/>
      <c r="BI769" s="215"/>
      <c r="BJ769" s="215"/>
      <c r="BK769" s="215"/>
      <c r="BL769" s="215"/>
      <c r="BM769" s="215"/>
      <c r="BN769" s="215"/>
      <c r="BO769" s="215"/>
      <c r="BP769" s="215"/>
      <c r="BQ769" s="215"/>
      <c r="BR769" s="215"/>
      <c r="BS769" s="215"/>
      <c r="BT769" s="215"/>
      <c r="BU769" s="215"/>
      <c r="BV769" s="215"/>
      <c r="BW769" s="215"/>
      <c r="BX769" s="215"/>
      <c r="BY769" s="215"/>
      <c r="BZ769" s="215"/>
      <c r="CA769" s="215"/>
      <c r="CB769" s="215"/>
      <c r="CC769" s="215"/>
      <c r="CD769" s="215"/>
      <c r="CE769" s="215"/>
    </row>
    <row r="770" spans="1:83" ht="12.65" customHeight="1" x14ac:dyDescent="0.3">
      <c r="A770" s="160" t="str">
        <f>RIGHT($C$83,3)&amp;"*"&amp;RIGHT($C$82,4)&amp;"*"&amp;AM$55&amp;"*"&amp;"A"</f>
        <v>039*2021*7330*A</v>
      </c>
      <c r="B770" s="214">
        <f>ROUND(AM59,0)</f>
        <v>0</v>
      </c>
      <c r="C770" s="216">
        <f>ROUND(AM60,2)</f>
        <v>0</v>
      </c>
      <c r="D770" s="214">
        <f>ROUND(AM61,0)</f>
        <v>0</v>
      </c>
      <c r="E770" s="214">
        <f>ROUND(AM62,0)</f>
        <v>0</v>
      </c>
      <c r="F770" s="214">
        <f>ROUND(AM63,0)</f>
        <v>0</v>
      </c>
      <c r="G770" s="214">
        <f>ROUND(AM64,0)</f>
        <v>0</v>
      </c>
      <c r="H770" s="214">
        <f>ROUND(AM65,0)</f>
        <v>0</v>
      </c>
      <c r="I770" s="214">
        <f>ROUND(AM66,0)</f>
        <v>0</v>
      </c>
      <c r="J770" s="214">
        <f>ROUND(AM67,0)</f>
        <v>0</v>
      </c>
      <c r="K770" s="214">
        <f>ROUND(AM68,0)</f>
        <v>0</v>
      </c>
      <c r="L770" s="214">
        <f>ROUND(AM69,0)</f>
        <v>0</v>
      </c>
      <c r="M770" s="214">
        <f>ROUND(AM70,0)</f>
        <v>0</v>
      </c>
      <c r="N770" s="214">
        <f>ROUND(AM75,0)</f>
        <v>0</v>
      </c>
      <c r="O770" s="214">
        <f>ROUND(AM73,0)</f>
        <v>0</v>
      </c>
      <c r="P770" s="214">
        <f>IF(AM76&gt;0,ROUND(AM76,0),0)</f>
        <v>0</v>
      </c>
      <c r="Q770" s="214">
        <f>IF(AM77&gt;0,ROUND(AM77,0),0)</f>
        <v>0</v>
      </c>
      <c r="R770" s="214">
        <f>IF(AM78&gt;0,ROUND(AM78,0),0)</f>
        <v>0</v>
      </c>
      <c r="S770" s="214">
        <f>IF(AM79&gt;0,ROUND(AM79,0),0)</f>
        <v>0</v>
      </c>
      <c r="T770" s="216">
        <f>IF(AM80&gt;0,ROUND(AM80,2),0)</f>
        <v>0</v>
      </c>
      <c r="U770" s="214"/>
      <c r="V770" s="215"/>
      <c r="W770" s="214"/>
      <c r="X770" s="214"/>
      <c r="Y770" s="214">
        <f t="shared" si="23"/>
        <v>0</v>
      </c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  <c r="BC770" s="215"/>
      <c r="BD770" s="215"/>
      <c r="BE770" s="215"/>
      <c r="BF770" s="215"/>
      <c r="BG770" s="215"/>
      <c r="BH770" s="215"/>
      <c r="BI770" s="215"/>
      <c r="BJ770" s="215"/>
      <c r="BK770" s="215"/>
      <c r="BL770" s="215"/>
      <c r="BM770" s="215"/>
      <c r="BN770" s="215"/>
      <c r="BO770" s="215"/>
      <c r="BP770" s="215"/>
      <c r="BQ770" s="215"/>
      <c r="BR770" s="215"/>
      <c r="BS770" s="215"/>
      <c r="BT770" s="215"/>
      <c r="BU770" s="215"/>
      <c r="BV770" s="215"/>
      <c r="BW770" s="215"/>
      <c r="BX770" s="215"/>
      <c r="BY770" s="215"/>
      <c r="BZ770" s="215"/>
      <c r="CA770" s="215"/>
      <c r="CB770" s="215"/>
      <c r="CC770" s="215"/>
      <c r="CD770" s="215"/>
      <c r="CE770" s="215"/>
    </row>
    <row r="771" spans="1:83" ht="12.65" customHeight="1" x14ac:dyDescent="0.3">
      <c r="A771" s="160" t="str">
        <f>RIGHT($C$83,3)&amp;"*"&amp;RIGHT($C$82,4)&amp;"*"&amp;AN$55&amp;"*"&amp;"A"</f>
        <v>039*2021*7340*A</v>
      </c>
      <c r="B771" s="214">
        <f>ROUND(AN59,0)</f>
        <v>0</v>
      </c>
      <c r="C771" s="216">
        <f>ROUND(AN60,2)</f>
        <v>0</v>
      </c>
      <c r="D771" s="214">
        <f>ROUND(AN61,0)</f>
        <v>0</v>
      </c>
      <c r="E771" s="214">
        <f>ROUND(AN62,0)</f>
        <v>0</v>
      </c>
      <c r="F771" s="214">
        <f>ROUND(AN63,0)</f>
        <v>0</v>
      </c>
      <c r="G771" s="214">
        <f>ROUND(AN64,0)</f>
        <v>0</v>
      </c>
      <c r="H771" s="214">
        <f>ROUND(AN65,0)</f>
        <v>0</v>
      </c>
      <c r="I771" s="214">
        <f>ROUND(AN66,0)</f>
        <v>0</v>
      </c>
      <c r="J771" s="214">
        <f>ROUND(AN67,0)</f>
        <v>0</v>
      </c>
      <c r="K771" s="214">
        <f>ROUND(AN68,0)</f>
        <v>0</v>
      </c>
      <c r="L771" s="214">
        <f>ROUND(AN69,0)</f>
        <v>0</v>
      </c>
      <c r="M771" s="214">
        <f>ROUND(AN70,0)</f>
        <v>0</v>
      </c>
      <c r="N771" s="214">
        <f>ROUND(AN75,0)</f>
        <v>0</v>
      </c>
      <c r="O771" s="214">
        <f>ROUND(AN73,0)</f>
        <v>0</v>
      </c>
      <c r="P771" s="214">
        <f>IF(AN76&gt;0,ROUND(AN76,0),0)</f>
        <v>0</v>
      </c>
      <c r="Q771" s="214">
        <f>IF(AN77&gt;0,ROUND(AN77,0),0)</f>
        <v>0</v>
      </c>
      <c r="R771" s="214">
        <f>IF(AN78&gt;0,ROUND(AN78,0),0)</f>
        <v>0</v>
      </c>
      <c r="S771" s="214">
        <f>IF(AN79&gt;0,ROUND(AN79,0),0)</f>
        <v>0</v>
      </c>
      <c r="T771" s="216">
        <f>IF(AN80&gt;0,ROUND(AN80,2),0)</f>
        <v>0</v>
      </c>
      <c r="U771" s="214"/>
      <c r="V771" s="215"/>
      <c r="W771" s="214"/>
      <c r="X771" s="214"/>
      <c r="Y771" s="214">
        <f t="shared" si="23"/>
        <v>0</v>
      </c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  <c r="BC771" s="215"/>
      <c r="BD771" s="215"/>
      <c r="BE771" s="215"/>
      <c r="BF771" s="215"/>
      <c r="BG771" s="215"/>
      <c r="BH771" s="215"/>
      <c r="BI771" s="215"/>
      <c r="BJ771" s="215"/>
      <c r="BK771" s="215"/>
      <c r="BL771" s="215"/>
      <c r="BM771" s="215"/>
      <c r="BN771" s="215"/>
      <c r="BO771" s="215"/>
      <c r="BP771" s="215"/>
      <c r="BQ771" s="215"/>
      <c r="BR771" s="215"/>
      <c r="BS771" s="215"/>
      <c r="BT771" s="215"/>
      <c r="BU771" s="215"/>
      <c r="BV771" s="215"/>
      <c r="BW771" s="215"/>
      <c r="BX771" s="215"/>
      <c r="BY771" s="215"/>
      <c r="BZ771" s="215"/>
      <c r="CA771" s="215"/>
      <c r="CB771" s="215"/>
      <c r="CC771" s="215"/>
      <c r="CD771" s="215"/>
      <c r="CE771" s="215"/>
    </row>
    <row r="772" spans="1:83" ht="12.65" customHeight="1" x14ac:dyDescent="0.3">
      <c r="A772" s="160" t="str">
        <f>RIGHT($C$83,3)&amp;"*"&amp;RIGHT($C$82,4)&amp;"*"&amp;AO$55&amp;"*"&amp;"A"</f>
        <v>039*2021*7350*A</v>
      </c>
      <c r="B772" s="214">
        <f>ROUND(AO59,0)</f>
        <v>0</v>
      </c>
      <c r="C772" s="216">
        <f>ROUND(AO60,2)</f>
        <v>0</v>
      </c>
      <c r="D772" s="214">
        <f>ROUND(AO61,0)</f>
        <v>0</v>
      </c>
      <c r="E772" s="214">
        <f>ROUND(AO62,0)</f>
        <v>0</v>
      </c>
      <c r="F772" s="214">
        <f>ROUND(AO63,0)</f>
        <v>0</v>
      </c>
      <c r="G772" s="214">
        <f>ROUND(AO64,0)</f>
        <v>0</v>
      </c>
      <c r="H772" s="214">
        <f>ROUND(AO65,0)</f>
        <v>0</v>
      </c>
      <c r="I772" s="214">
        <f>ROUND(AO66,0)</f>
        <v>0</v>
      </c>
      <c r="J772" s="214">
        <f>ROUND(AO67,0)</f>
        <v>0</v>
      </c>
      <c r="K772" s="214">
        <f>ROUND(AO68,0)</f>
        <v>0</v>
      </c>
      <c r="L772" s="214">
        <f>ROUND(AO69,0)</f>
        <v>0</v>
      </c>
      <c r="M772" s="214">
        <f>ROUND(AO70,0)</f>
        <v>0</v>
      </c>
      <c r="N772" s="214">
        <f>ROUND(AO75,0)</f>
        <v>0</v>
      </c>
      <c r="O772" s="214">
        <f>ROUND(AO73,0)</f>
        <v>0</v>
      </c>
      <c r="P772" s="214">
        <f>IF(AO76&gt;0,ROUND(AO76,0),0)</f>
        <v>0</v>
      </c>
      <c r="Q772" s="214">
        <f>IF(AO77&gt;0,ROUND(AO77,0),0)</f>
        <v>0</v>
      </c>
      <c r="R772" s="214">
        <f>IF(AO78&gt;0,ROUND(AO78,0),0)</f>
        <v>0</v>
      </c>
      <c r="S772" s="214">
        <f>IF(AO79&gt;0,ROUND(AO79,0),0)</f>
        <v>0</v>
      </c>
      <c r="T772" s="216">
        <f>IF(AO80&gt;0,ROUND(AO80,2),0)</f>
        <v>0</v>
      </c>
      <c r="U772" s="214"/>
      <c r="V772" s="215"/>
      <c r="W772" s="214"/>
      <c r="X772" s="214"/>
      <c r="Y772" s="214">
        <f t="shared" si="23"/>
        <v>0</v>
      </c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  <c r="BC772" s="215"/>
      <c r="BD772" s="215"/>
      <c r="BE772" s="215"/>
      <c r="BF772" s="215"/>
      <c r="BG772" s="215"/>
      <c r="BH772" s="215"/>
      <c r="BI772" s="215"/>
      <c r="BJ772" s="215"/>
      <c r="BK772" s="215"/>
      <c r="BL772" s="215"/>
      <c r="BM772" s="215"/>
      <c r="BN772" s="215"/>
      <c r="BO772" s="215"/>
      <c r="BP772" s="215"/>
      <c r="BQ772" s="215"/>
      <c r="BR772" s="215"/>
      <c r="BS772" s="215"/>
      <c r="BT772" s="215"/>
      <c r="BU772" s="215"/>
      <c r="BV772" s="215"/>
      <c r="BW772" s="215"/>
      <c r="BX772" s="215"/>
      <c r="BY772" s="215"/>
      <c r="BZ772" s="215"/>
      <c r="CA772" s="215"/>
      <c r="CB772" s="215"/>
      <c r="CC772" s="215"/>
      <c r="CD772" s="215"/>
      <c r="CE772" s="215"/>
    </row>
    <row r="773" spans="1:83" ht="12.65" customHeight="1" x14ac:dyDescent="0.3">
      <c r="A773" s="160" t="str">
        <f>RIGHT($C$83,3)&amp;"*"&amp;RIGHT($C$82,4)&amp;"*"&amp;AP$55&amp;"*"&amp;"A"</f>
        <v>039*2021*7380*A</v>
      </c>
      <c r="B773" s="214">
        <f>ROUND(AP59,0)</f>
        <v>6666</v>
      </c>
      <c r="C773" s="216">
        <f>ROUND(AP60,2)</f>
        <v>189.82</v>
      </c>
      <c r="D773" s="214">
        <f>ROUND(AP61,0)</f>
        <v>28082998</v>
      </c>
      <c r="E773" s="214">
        <f>ROUND(AP62,0)</f>
        <v>5348670</v>
      </c>
      <c r="F773" s="214">
        <f>ROUND(AP63,0)</f>
        <v>234765</v>
      </c>
      <c r="G773" s="214">
        <f>ROUND(AP64,0)</f>
        <v>1475236</v>
      </c>
      <c r="H773" s="214">
        <f>ROUND(AP65,0)</f>
        <v>508849</v>
      </c>
      <c r="I773" s="214">
        <f>ROUND(AP66,0)</f>
        <v>2521848</v>
      </c>
      <c r="J773" s="214">
        <f>ROUND(AP67,0)</f>
        <v>1197771</v>
      </c>
      <c r="K773" s="214">
        <f>ROUND(AP68,0)</f>
        <v>294269</v>
      </c>
      <c r="L773" s="214">
        <f>ROUND(AP69,0)</f>
        <v>244152</v>
      </c>
      <c r="M773" s="214">
        <f>ROUND(AP70,0)</f>
        <v>198745</v>
      </c>
      <c r="N773" s="214">
        <f>ROUND(AP75,0)</f>
        <v>75220264</v>
      </c>
      <c r="O773" s="214">
        <f>ROUND(AP73,0)</f>
        <v>0</v>
      </c>
      <c r="P773" s="214">
        <f>IF(AP76&gt;0,ROUND(AP76,0),0)</f>
        <v>102732</v>
      </c>
      <c r="Q773" s="214">
        <f>IF(AP77&gt;0,ROUND(AP77,0),0)</f>
        <v>0</v>
      </c>
      <c r="R773" s="214">
        <f>IF(AP78&gt;0,ROUND(AP78,0),0)</f>
        <v>14271</v>
      </c>
      <c r="S773" s="214">
        <f>IF(AP79&gt;0,ROUND(AP79,0),0)</f>
        <v>0</v>
      </c>
      <c r="T773" s="216">
        <f>IF(AP80&gt;0,ROUND(AP80,2),0)</f>
        <v>2.9</v>
      </c>
      <c r="U773" s="214"/>
      <c r="V773" s="215"/>
      <c r="W773" s="214"/>
      <c r="X773" s="214"/>
      <c r="Y773" s="214">
        <f t="shared" si="23"/>
        <v>9691263</v>
      </c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  <c r="BC773" s="215"/>
      <c r="BD773" s="215"/>
      <c r="BE773" s="215"/>
      <c r="BF773" s="215"/>
      <c r="BG773" s="215"/>
      <c r="BH773" s="215"/>
      <c r="BI773" s="215"/>
      <c r="BJ773" s="215"/>
      <c r="BK773" s="215"/>
      <c r="BL773" s="215"/>
      <c r="BM773" s="215"/>
      <c r="BN773" s="215"/>
      <c r="BO773" s="215"/>
      <c r="BP773" s="215"/>
      <c r="BQ773" s="215"/>
      <c r="BR773" s="215"/>
      <c r="BS773" s="215"/>
      <c r="BT773" s="215"/>
      <c r="BU773" s="215"/>
      <c r="BV773" s="215"/>
      <c r="BW773" s="215"/>
      <c r="BX773" s="215"/>
      <c r="BY773" s="215"/>
      <c r="BZ773" s="215"/>
      <c r="CA773" s="215"/>
      <c r="CB773" s="215"/>
      <c r="CC773" s="215"/>
      <c r="CD773" s="215"/>
      <c r="CE773" s="215"/>
    </row>
    <row r="774" spans="1:83" ht="12.65" customHeight="1" x14ac:dyDescent="0.3">
      <c r="A774" s="160" t="str">
        <f>RIGHT($C$83,3)&amp;"*"&amp;RIGHT($C$82,4)&amp;"*"&amp;AQ$55&amp;"*"&amp;"A"</f>
        <v>039*2021*7390*A</v>
      </c>
      <c r="B774" s="214">
        <f>ROUND(AQ59,0)</f>
        <v>0</v>
      </c>
      <c r="C774" s="216">
        <f>ROUND(AQ60,2)</f>
        <v>0</v>
      </c>
      <c r="D774" s="214">
        <f>ROUND(AQ61,0)</f>
        <v>0</v>
      </c>
      <c r="E774" s="214">
        <f>ROUND(AQ62,0)</f>
        <v>0</v>
      </c>
      <c r="F774" s="214">
        <f>ROUND(AQ63,0)</f>
        <v>0</v>
      </c>
      <c r="G774" s="214">
        <f>ROUND(AQ64,0)</f>
        <v>0</v>
      </c>
      <c r="H774" s="214">
        <f>ROUND(AQ65,0)</f>
        <v>0</v>
      </c>
      <c r="I774" s="214">
        <f>ROUND(AQ66,0)</f>
        <v>0</v>
      </c>
      <c r="J774" s="214">
        <f>ROUND(AQ67,0)</f>
        <v>0</v>
      </c>
      <c r="K774" s="214">
        <f>ROUND(AQ68,0)</f>
        <v>0</v>
      </c>
      <c r="L774" s="214">
        <f>ROUND(AQ69,0)</f>
        <v>0</v>
      </c>
      <c r="M774" s="214">
        <f>ROUND(AQ70,0)</f>
        <v>0</v>
      </c>
      <c r="N774" s="214">
        <f>ROUND(AQ75,0)</f>
        <v>0</v>
      </c>
      <c r="O774" s="214">
        <f>ROUND(AQ73,0)</f>
        <v>0</v>
      </c>
      <c r="P774" s="214">
        <f>IF(AQ76&gt;0,ROUND(AQ76,0),0)</f>
        <v>0</v>
      </c>
      <c r="Q774" s="214">
        <f>IF(AQ77&gt;0,ROUND(AQ77,0),0)</f>
        <v>0</v>
      </c>
      <c r="R774" s="214">
        <f>IF(AQ78&gt;0,ROUND(AQ78,0),0)</f>
        <v>0</v>
      </c>
      <c r="S774" s="214">
        <f>IF(AQ79&gt;0,ROUND(AQ79,0),0)</f>
        <v>0</v>
      </c>
      <c r="T774" s="216">
        <f>IF(AQ80&gt;0,ROUND(AQ80,2),0)</f>
        <v>0</v>
      </c>
      <c r="U774" s="214"/>
      <c r="V774" s="215"/>
      <c r="W774" s="214"/>
      <c r="X774" s="214"/>
      <c r="Y774" s="214">
        <f t="shared" si="23"/>
        <v>0</v>
      </c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  <c r="BC774" s="215"/>
      <c r="BD774" s="215"/>
      <c r="BE774" s="215"/>
      <c r="BF774" s="215"/>
      <c r="BG774" s="215"/>
      <c r="BH774" s="215"/>
      <c r="BI774" s="215"/>
      <c r="BJ774" s="215"/>
      <c r="BK774" s="215"/>
      <c r="BL774" s="215"/>
      <c r="BM774" s="215"/>
      <c r="BN774" s="215"/>
      <c r="BO774" s="215"/>
      <c r="BP774" s="215"/>
      <c r="BQ774" s="215"/>
      <c r="BR774" s="215"/>
      <c r="BS774" s="215"/>
      <c r="BT774" s="215"/>
      <c r="BU774" s="215"/>
      <c r="BV774" s="215"/>
      <c r="BW774" s="215"/>
      <c r="BX774" s="215"/>
      <c r="BY774" s="215"/>
      <c r="BZ774" s="215"/>
      <c r="CA774" s="215"/>
      <c r="CB774" s="215"/>
      <c r="CC774" s="215"/>
      <c r="CD774" s="215"/>
      <c r="CE774" s="215"/>
    </row>
    <row r="775" spans="1:83" ht="12.65" customHeight="1" x14ac:dyDescent="0.3">
      <c r="A775" s="160" t="str">
        <f>RIGHT($C$83,3)&amp;"*"&amp;RIGHT($C$82,4)&amp;"*"&amp;AR$55&amp;"*"&amp;"A"</f>
        <v>039*2021*7400*A</v>
      </c>
      <c r="B775" s="214">
        <f>ROUND(AR59,0)</f>
        <v>0</v>
      </c>
      <c r="C775" s="216">
        <f>ROUND(AR60,2)</f>
        <v>0</v>
      </c>
      <c r="D775" s="214">
        <f>ROUND(AR61,0)</f>
        <v>0</v>
      </c>
      <c r="E775" s="214">
        <f>ROUND(AR62,0)</f>
        <v>0</v>
      </c>
      <c r="F775" s="214">
        <f>ROUND(AR63,0)</f>
        <v>0</v>
      </c>
      <c r="G775" s="214">
        <f>ROUND(AR64,0)</f>
        <v>0</v>
      </c>
      <c r="H775" s="214">
        <f>ROUND(AR65,0)</f>
        <v>0</v>
      </c>
      <c r="I775" s="214">
        <f>ROUND(AR66,0)</f>
        <v>0</v>
      </c>
      <c r="J775" s="214">
        <f>ROUND(AR67,0)</f>
        <v>0</v>
      </c>
      <c r="K775" s="214">
        <f>ROUND(AR68,0)</f>
        <v>0</v>
      </c>
      <c r="L775" s="214">
        <f>ROUND(AR69,0)</f>
        <v>0</v>
      </c>
      <c r="M775" s="214">
        <f>ROUND(AR70,0)</f>
        <v>0</v>
      </c>
      <c r="N775" s="214">
        <f>ROUND(AR75,0)</f>
        <v>0</v>
      </c>
      <c r="O775" s="214">
        <f>ROUND(AR73,0)</f>
        <v>0</v>
      </c>
      <c r="P775" s="214">
        <f>IF(AR76&gt;0,ROUND(AR76,0),0)</f>
        <v>0</v>
      </c>
      <c r="Q775" s="214">
        <f>IF(AR77&gt;0,ROUND(AR77,0),0)</f>
        <v>0</v>
      </c>
      <c r="R775" s="214">
        <f>IF(AR78&gt;0,ROUND(AR78,0),0)</f>
        <v>0</v>
      </c>
      <c r="S775" s="214">
        <f>IF(AR79&gt;0,ROUND(AR79,0),0)</f>
        <v>0</v>
      </c>
      <c r="T775" s="216">
        <f>IF(AR80&gt;0,ROUND(AR80,2),0)</f>
        <v>0</v>
      </c>
      <c r="U775" s="214"/>
      <c r="V775" s="215"/>
      <c r="W775" s="214"/>
      <c r="X775" s="214"/>
      <c r="Y775" s="214">
        <f t="shared" si="23"/>
        <v>0</v>
      </c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  <c r="BC775" s="215"/>
      <c r="BD775" s="215"/>
      <c r="BE775" s="215"/>
      <c r="BF775" s="215"/>
      <c r="BG775" s="215"/>
      <c r="BH775" s="215"/>
      <c r="BI775" s="215"/>
      <c r="BJ775" s="215"/>
      <c r="BK775" s="215"/>
      <c r="BL775" s="215"/>
      <c r="BM775" s="215"/>
      <c r="BN775" s="215"/>
      <c r="BO775" s="215"/>
      <c r="BP775" s="215"/>
      <c r="BQ775" s="215"/>
      <c r="BR775" s="215"/>
      <c r="BS775" s="215"/>
      <c r="BT775" s="215"/>
      <c r="BU775" s="215"/>
      <c r="BV775" s="215"/>
      <c r="BW775" s="215"/>
      <c r="BX775" s="215"/>
      <c r="BY775" s="215"/>
      <c r="BZ775" s="215"/>
      <c r="CA775" s="215"/>
      <c r="CB775" s="215"/>
      <c r="CC775" s="215"/>
      <c r="CD775" s="215"/>
      <c r="CE775" s="215"/>
    </row>
    <row r="776" spans="1:83" ht="12.65" customHeight="1" x14ac:dyDescent="0.3">
      <c r="A776" s="160" t="str">
        <f>RIGHT($C$83,3)&amp;"*"&amp;RIGHT($C$82,4)&amp;"*"&amp;AS$55&amp;"*"&amp;"A"</f>
        <v>039*2021*7410*A</v>
      </c>
      <c r="B776" s="214">
        <f>ROUND(AS59,0)</f>
        <v>0</v>
      </c>
      <c r="C776" s="216">
        <f>ROUND(AS60,2)</f>
        <v>0</v>
      </c>
      <c r="D776" s="214">
        <f>ROUND(AS61,0)</f>
        <v>0</v>
      </c>
      <c r="E776" s="214">
        <f>ROUND(AS62,0)</f>
        <v>0</v>
      </c>
      <c r="F776" s="214">
        <f>ROUND(AS63,0)</f>
        <v>0</v>
      </c>
      <c r="G776" s="214">
        <f>ROUND(AS64,0)</f>
        <v>0</v>
      </c>
      <c r="H776" s="214">
        <f>ROUND(AS65,0)</f>
        <v>0</v>
      </c>
      <c r="I776" s="214">
        <f>ROUND(AS66,0)</f>
        <v>0</v>
      </c>
      <c r="J776" s="214">
        <f>ROUND(AS67,0)</f>
        <v>0</v>
      </c>
      <c r="K776" s="214">
        <f>ROUND(AS68,0)</f>
        <v>0</v>
      </c>
      <c r="L776" s="214">
        <f>ROUND(AS69,0)</f>
        <v>0</v>
      </c>
      <c r="M776" s="214">
        <f>ROUND(AS70,0)</f>
        <v>0</v>
      </c>
      <c r="N776" s="214">
        <f>ROUND(AS75,0)</f>
        <v>0</v>
      </c>
      <c r="O776" s="214">
        <f>ROUND(AS73,0)</f>
        <v>0</v>
      </c>
      <c r="P776" s="214">
        <f>IF(AS76&gt;0,ROUND(AS76,0),0)</f>
        <v>0</v>
      </c>
      <c r="Q776" s="214">
        <f>IF(AS77&gt;0,ROUND(AS77,0),0)</f>
        <v>0</v>
      </c>
      <c r="R776" s="214">
        <f>IF(AS78&gt;0,ROUND(AS78,0),0)</f>
        <v>0</v>
      </c>
      <c r="S776" s="214">
        <f>IF(AS79&gt;0,ROUND(AS79,0),0)</f>
        <v>0</v>
      </c>
      <c r="T776" s="216">
        <f>IF(AS80&gt;0,ROUND(AS80,2),0)</f>
        <v>0</v>
      </c>
      <c r="U776" s="214"/>
      <c r="V776" s="215"/>
      <c r="W776" s="214"/>
      <c r="X776" s="214"/>
      <c r="Y776" s="214">
        <f t="shared" si="23"/>
        <v>0</v>
      </c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  <c r="BC776" s="215"/>
      <c r="BD776" s="215"/>
      <c r="BE776" s="215"/>
      <c r="BF776" s="215"/>
      <c r="BG776" s="215"/>
      <c r="BH776" s="215"/>
      <c r="BI776" s="215"/>
      <c r="BJ776" s="215"/>
      <c r="BK776" s="215"/>
      <c r="BL776" s="215"/>
      <c r="BM776" s="215"/>
      <c r="BN776" s="215"/>
      <c r="BO776" s="215"/>
      <c r="BP776" s="215"/>
      <c r="BQ776" s="215"/>
      <c r="BR776" s="215"/>
      <c r="BS776" s="215"/>
      <c r="BT776" s="215"/>
      <c r="BU776" s="215"/>
      <c r="BV776" s="215"/>
      <c r="BW776" s="215"/>
      <c r="BX776" s="215"/>
      <c r="BY776" s="215"/>
      <c r="BZ776" s="215"/>
      <c r="CA776" s="215"/>
      <c r="CB776" s="215"/>
      <c r="CC776" s="215"/>
      <c r="CD776" s="215"/>
      <c r="CE776" s="215"/>
    </row>
    <row r="777" spans="1:83" ht="12.65" customHeight="1" x14ac:dyDescent="0.3">
      <c r="A777" s="160" t="str">
        <f>RIGHT($C$83,3)&amp;"*"&amp;RIGHT($C$82,4)&amp;"*"&amp;AT$55&amp;"*"&amp;"A"</f>
        <v>039*2021*7420*A</v>
      </c>
      <c r="B777" s="214">
        <f>ROUND(AT59,0)</f>
        <v>0</v>
      </c>
      <c r="C777" s="216">
        <f>ROUND(AT60,2)</f>
        <v>0</v>
      </c>
      <c r="D777" s="214">
        <f>ROUND(AT61,0)</f>
        <v>0</v>
      </c>
      <c r="E777" s="214">
        <f>ROUND(AT62,0)</f>
        <v>0</v>
      </c>
      <c r="F777" s="214">
        <f>ROUND(AT63,0)</f>
        <v>0</v>
      </c>
      <c r="G777" s="214">
        <f>ROUND(AT64,0)</f>
        <v>0</v>
      </c>
      <c r="H777" s="214">
        <f>ROUND(AT65,0)</f>
        <v>0</v>
      </c>
      <c r="I777" s="214">
        <f>ROUND(AT66,0)</f>
        <v>0</v>
      </c>
      <c r="J777" s="214">
        <f>ROUND(AT67,0)</f>
        <v>0</v>
      </c>
      <c r="K777" s="214">
        <f>ROUND(AT68,0)</f>
        <v>0</v>
      </c>
      <c r="L777" s="214">
        <f>ROUND(AT69,0)</f>
        <v>0</v>
      </c>
      <c r="M777" s="214">
        <f>ROUND(AT70,0)</f>
        <v>0</v>
      </c>
      <c r="N777" s="214">
        <f>ROUND(AT75,0)</f>
        <v>0</v>
      </c>
      <c r="O777" s="214">
        <f>ROUND(AT73,0)</f>
        <v>0</v>
      </c>
      <c r="P777" s="214">
        <f>IF(AT76&gt;0,ROUND(AT76,0),0)</f>
        <v>0</v>
      </c>
      <c r="Q777" s="214">
        <f>IF(AT77&gt;0,ROUND(AT77,0),0)</f>
        <v>0</v>
      </c>
      <c r="R777" s="214">
        <f>IF(AT78&gt;0,ROUND(AT78,0),0)</f>
        <v>0</v>
      </c>
      <c r="S777" s="214">
        <f>IF(AT79&gt;0,ROUND(AT79,0),0)</f>
        <v>0</v>
      </c>
      <c r="T777" s="216">
        <f>IF(AT80&gt;0,ROUND(AT80,2),0)</f>
        <v>0</v>
      </c>
      <c r="U777" s="214"/>
      <c r="V777" s="215"/>
      <c r="W777" s="214"/>
      <c r="X777" s="214"/>
      <c r="Y777" s="214">
        <f t="shared" si="23"/>
        <v>0</v>
      </c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  <c r="BC777" s="215"/>
      <c r="BD777" s="215"/>
      <c r="BE777" s="215"/>
      <c r="BF777" s="215"/>
      <c r="BG777" s="215"/>
      <c r="BH777" s="215"/>
      <c r="BI777" s="215"/>
      <c r="BJ777" s="215"/>
      <c r="BK777" s="215"/>
      <c r="BL777" s="215"/>
      <c r="BM777" s="215"/>
      <c r="BN777" s="215"/>
      <c r="BO777" s="215"/>
      <c r="BP777" s="215"/>
      <c r="BQ777" s="215"/>
      <c r="BR777" s="215"/>
      <c r="BS777" s="215"/>
      <c r="BT777" s="215"/>
      <c r="BU777" s="215"/>
      <c r="BV777" s="215"/>
      <c r="BW777" s="215"/>
      <c r="BX777" s="215"/>
      <c r="BY777" s="215"/>
      <c r="BZ777" s="215"/>
      <c r="CA777" s="215"/>
      <c r="CB777" s="215"/>
      <c r="CC777" s="215"/>
      <c r="CD777" s="215"/>
      <c r="CE777" s="215"/>
    </row>
    <row r="778" spans="1:83" ht="12.65" customHeight="1" x14ac:dyDescent="0.3">
      <c r="A778" s="160" t="str">
        <f>RIGHT($C$83,3)&amp;"*"&amp;RIGHT($C$82,4)&amp;"*"&amp;AU$55&amp;"*"&amp;"A"</f>
        <v>039*2021*7430*A</v>
      </c>
      <c r="B778" s="214">
        <f>ROUND(AU59,0)</f>
        <v>0</v>
      </c>
      <c r="C778" s="216">
        <f>ROUND(AU60,2)</f>
        <v>0</v>
      </c>
      <c r="D778" s="214">
        <f>ROUND(AU61,0)</f>
        <v>0</v>
      </c>
      <c r="E778" s="214">
        <f>ROUND(AU62,0)</f>
        <v>0</v>
      </c>
      <c r="F778" s="214">
        <f>ROUND(AU63,0)</f>
        <v>0</v>
      </c>
      <c r="G778" s="214">
        <f>ROUND(AU64,0)</f>
        <v>0</v>
      </c>
      <c r="H778" s="214">
        <f>ROUND(AU65,0)</f>
        <v>0</v>
      </c>
      <c r="I778" s="214">
        <f>ROUND(AU66,0)</f>
        <v>0</v>
      </c>
      <c r="J778" s="214">
        <f>ROUND(AU67,0)</f>
        <v>0</v>
      </c>
      <c r="K778" s="214">
        <f>ROUND(AU68,0)</f>
        <v>0</v>
      </c>
      <c r="L778" s="214">
        <f>ROUND(AU69,0)</f>
        <v>0</v>
      </c>
      <c r="M778" s="214">
        <f>ROUND(AU70,0)</f>
        <v>0</v>
      </c>
      <c r="N778" s="214">
        <f>ROUND(AU75,0)</f>
        <v>0</v>
      </c>
      <c r="O778" s="214">
        <f>ROUND(AU73,0)</f>
        <v>0</v>
      </c>
      <c r="P778" s="214">
        <f>IF(AU76&gt;0,ROUND(AU76,0),0)</f>
        <v>0</v>
      </c>
      <c r="Q778" s="214">
        <f>IF(AU77&gt;0,ROUND(AU77,0),0)</f>
        <v>0</v>
      </c>
      <c r="R778" s="214">
        <f>IF(AU78&gt;0,ROUND(AU78,0),0)</f>
        <v>0</v>
      </c>
      <c r="S778" s="214">
        <f>IF(AU79&gt;0,ROUND(AU79,0),0)</f>
        <v>0</v>
      </c>
      <c r="T778" s="216">
        <f>IF(AU80&gt;0,ROUND(AU80,2),0)</f>
        <v>0</v>
      </c>
      <c r="U778" s="214"/>
      <c r="V778" s="215"/>
      <c r="W778" s="214"/>
      <c r="X778" s="214"/>
      <c r="Y778" s="214">
        <f t="shared" si="23"/>
        <v>0</v>
      </c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  <c r="BC778" s="215"/>
      <c r="BD778" s="215"/>
      <c r="BE778" s="215"/>
      <c r="BF778" s="215"/>
      <c r="BG778" s="215"/>
      <c r="BH778" s="215"/>
      <c r="BI778" s="215"/>
      <c r="BJ778" s="215"/>
      <c r="BK778" s="215"/>
      <c r="BL778" s="215"/>
      <c r="BM778" s="215"/>
      <c r="BN778" s="215"/>
      <c r="BO778" s="215"/>
      <c r="BP778" s="215"/>
      <c r="BQ778" s="215"/>
      <c r="BR778" s="215"/>
      <c r="BS778" s="215"/>
      <c r="BT778" s="215"/>
      <c r="BU778" s="215"/>
      <c r="BV778" s="215"/>
      <c r="BW778" s="215"/>
      <c r="BX778" s="215"/>
      <c r="BY778" s="215"/>
      <c r="BZ778" s="215"/>
      <c r="CA778" s="215"/>
      <c r="CB778" s="215"/>
      <c r="CC778" s="215"/>
      <c r="CD778" s="215"/>
      <c r="CE778" s="215"/>
    </row>
    <row r="779" spans="1:83" ht="12.65" customHeight="1" x14ac:dyDescent="0.3">
      <c r="A779" s="160" t="str">
        <f>RIGHT($C$83,3)&amp;"*"&amp;RIGHT($C$82,4)&amp;"*"&amp;AV$55&amp;"*"&amp;"A"</f>
        <v>039*2021*7490*A</v>
      </c>
      <c r="B779" s="214"/>
      <c r="C779" s="216">
        <f>ROUND(AV60,2)</f>
        <v>0</v>
      </c>
      <c r="D779" s="214">
        <f>ROUND(AV61,0)</f>
        <v>0</v>
      </c>
      <c r="E779" s="214">
        <f>ROUND(AV62,0)</f>
        <v>0</v>
      </c>
      <c r="F779" s="214">
        <f>ROUND(AV63,0)</f>
        <v>0</v>
      </c>
      <c r="G779" s="214">
        <f>ROUND(AV64,0)</f>
        <v>0</v>
      </c>
      <c r="H779" s="214">
        <f>ROUND(AV65,0)</f>
        <v>0</v>
      </c>
      <c r="I779" s="214">
        <f>ROUND(AV66,0)</f>
        <v>0</v>
      </c>
      <c r="J779" s="214">
        <f>ROUND(AV67,0)</f>
        <v>0</v>
      </c>
      <c r="K779" s="214">
        <f>ROUND(AV68,0)</f>
        <v>0</v>
      </c>
      <c r="L779" s="214">
        <f>ROUND(AV69,0)</f>
        <v>0</v>
      </c>
      <c r="M779" s="214">
        <f>ROUND(AV70,0)</f>
        <v>0</v>
      </c>
      <c r="N779" s="214">
        <f>ROUND(AV75,0)</f>
        <v>0</v>
      </c>
      <c r="O779" s="214">
        <f>ROUND(AV73,0)</f>
        <v>0</v>
      </c>
      <c r="P779" s="214">
        <f>IF(AV76&gt;0,ROUND(AV76,0),0)</f>
        <v>0</v>
      </c>
      <c r="Q779" s="214">
        <f>IF(AV77&gt;0,ROUND(AV77,0),0)</f>
        <v>0</v>
      </c>
      <c r="R779" s="214">
        <f>IF(AV78&gt;0,ROUND(AV78,0),0)</f>
        <v>0</v>
      </c>
      <c r="S779" s="214">
        <f>IF(AV79&gt;0,ROUND(AV79,0),0)</f>
        <v>0</v>
      </c>
      <c r="T779" s="216">
        <f>IF(AV80&gt;0,ROUND(AV80,2),0)</f>
        <v>0</v>
      </c>
      <c r="U779" s="214"/>
      <c r="V779" s="215"/>
      <c r="W779" s="214"/>
      <c r="X779" s="214"/>
      <c r="Y779" s="214">
        <f t="shared" si="23"/>
        <v>0</v>
      </c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  <c r="BC779" s="215"/>
      <c r="BD779" s="215"/>
      <c r="BE779" s="215"/>
      <c r="BF779" s="215"/>
      <c r="BG779" s="215"/>
      <c r="BH779" s="215"/>
      <c r="BI779" s="215"/>
      <c r="BJ779" s="215"/>
      <c r="BK779" s="215"/>
      <c r="BL779" s="215"/>
      <c r="BM779" s="215"/>
      <c r="BN779" s="215"/>
      <c r="BO779" s="215"/>
      <c r="BP779" s="215"/>
      <c r="BQ779" s="215"/>
      <c r="BR779" s="215"/>
      <c r="BS779" s="215"/>
      <c r="BT779" s="215"/>
      <c r="BU779" s="215"/>
      <c r="BV779" s="215"/>
      <c r="BW779" s="215"/>
      <c r="BX779" s="215"/>
      <c r="BY779" s="215"/>
      <c r="BZ779" s="215"/>
      <c r="CA779" s="215"/>
      <c r="CB779" s="215"/>
      <c r="CC779" s="215"/>
      <c r="CD779" s="215"/>
      <c r="CE779" s="215"/>
    </row>
    <row r="780" spans="1:83" ht="12.65" customHeight="1" x14ac:dyDescent="0.3">
      <c r="A780" s="160" t="str">
        <f>RIGHT($C$83,3)&amp;"*"&amp;RIGHT($C$82,4)&amp;"*"&amp;AW$55&amp;"*"&amp;"A"</f>
        <v>039*2021*8200*A</v>
      </c>
      <c r="B780" s="214"/>
      <c r="C780" s="216">
        <f>ROUND(AW60,2)</f>
        <v>30.14</v>
      </c>
      <c r="D780" s="214">
        <f>ROUND(AW61,0)</f>
        <v>2206760</v>
      </c>
      <c r="E780" s="214">
        <f>ROUND(AW62,0)</f>
        <v>420298</v>
      </c>
      <c r="F780" s="214">
        <f>ROUND(AW63,0)</f>
        <v>82745</v>
      </c>
      <c r="G780" s="214">
        <f>ROUND(AW64,0)</f>
        <v>39316</v>
      </c>
      <c r="H780" s="214">
        <f>ROUND(AW65,0)</f>
        <v>0</v>
      </c>
      <c r="I780" s="214">
        <f>ROUND(AW66,0)</f>
        <v>1541</v>
      </c>
      <c r="J780" s="214">
        <f>ROUND(AW67,0)</f>
        <v>16265</v>
      </c>
      <c r="K780" s="214">
        <f>ROUND(AW68,0)</f>
        <v>5</v>
      </c>
      <c r="L780" s="214">
        <f>ROUND(AW69,0)</f>
        <v>57853</v>
      </c>
      <c r="M780" s="214">
        <f>ROUND(AW70,0)</f>
        <v>12250</v>
      </c>
      <c r="N780" s="214"/>
      <c r="O780" s="214"/>
      <c r="P780" s="214">
        <f>IF(AW76&gt;0,ROUND(AW76,0),0)</f>
        <v>1395</v>
      </c>
      <c r="Q780" s="214">
        <f>IF(AW77&gt;0,ROUND(AW77,0),0)</f>
        <v>0</v>
      </c>
      <c r="R780" s="214">
        <f>IF(AW78&gt;0,ROUND(AW78,0),0)</f>
        <v>194</v>
      </c>
      <c r="S780" s="214">
        <f>IF(AW79&gt;0,ROUND(AW79,0),0)</f>
        <v>0</v>
      </c>
      <c r="T780" s="216">
        <f>IF(AW80&gt;0,ROUND(AW80,2),0)</f>
        <v>0</v>
      </c>
      <c r="U780" s="214"/>
      <c r="V780" s="215"/>
      <c r="W780" s="214"/>
      <c r="X780" s="214"/>
      <c r="Y780" s="214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  <c r="BC780" s="215"/>
      <c r="BD780" s="215"/>
      <c r="BE780" s="215"/>
      <c r="BF780" s="215"/>
      <c r="BG780" s="215"/>
      <c r="BH780" s="215"/>
      <c r="BI780" s="215"/>
      <c r="BJ780" s="215"/>
      <c r="BK780" s="215"/>
      <c r="BL780" s="215"/>
      <c r="BM780" s="215"/>
      <c r="BN780" s="215"/>
      <c r="BO780" s="215"/>
      <c r="BP780" s="215"/>
      <c r="BQ780" s="215"/>
      <c r="BR780" s="215"/>
      <c r="BS780" s="215"/>
      <c r="BT780" s="215"/>
      <c r="BU780" s="215"/>
      <c r="BV780" s="215"/>
      <c r="BW780" s="215"/>
      <c r="BX780" s="215"/>
      <c r="BY780" s="215"/>
      <c r="BZ780" s="215"/>
      <c r="CA780" s="215"/>
      <c r="CB780" s="215"/>
      <c r="CC780" s="215"/>
      <c r="CD780" s="215"/>
      <c r="CE780" s="215"/>
    </row>
    <row r="781" spans="1:83" ht="12.65" customHeight="1" x14ac:dyDescent="0.3">
      <c r="A781" s="160" t="str">
        <f>RIGHT($C$83,3)&amp;"*"&amp;RIGHT($C$82,4)&amp;"*"&amp;AX$55&amp;"*"&amp;"A"</f>
        <v>039*2021*8310*A</v>
      </c>
      <c r="B781" s="214"/>
      <c r="C781" s="216">
        <f>ROUND(AX60,2)</f>
        <v>0</v>
      </c>
      <c r="D781" s="214">
        <f>ROUND(AX61,0)</f>
        <v>0</v>
      </c>
      <c r="E781" s="214">
        <f>ROUND(AX62,0)</f>
        <v>0</v>
      </c>
      <c r="F781" s="214">
        <f>ROUND(AX63,0)</f>
        <v>0</v>
      </c>
      <c r="G781" s="214">
        <f>ROUND(AX64,0)</f>
        <v>0</v>
      </c>
      <c r="H781" s="214">
        <f>ROUND(AX65,0)</f>
        <v>0</v>
      </c>
      <c r="I781" s="214">
        <f>ROUND(AX66,0)</f>
        <v>0</v>
      </c>
      <c r="J781" s="214">
        <f>ROUND(AX67,0)</f>
        <v>0</v>
      </c>
      <c r="K781" s="214">
        <f>ROUND(AX68,0)</f>
        <v>0</v>
      </c>
      <c r="L781" s="214">
        <f>ROUND(AX69,0)</f>
        <v>0</v>
      </c>
      <c r="M781" s="214">
        <f>ROUND(AX70,0)</f>
        <v>0</v>
      </c>
      <c r="N781" s="214"/>
      <c r="O781" s="214"/>
      <c r="P781" s="214">
        <f>IF(AX76&gt;0,ROUND(AX76,0),0)</f>
        <v>0</v>
      </c>
      <c r="Q781" s="214">
        <f>IF(AX77&gt;0,ROUND(AX77,0),0)</f>
        <v>0</v>
      </c>
      <c r="R781" s="214">
        <f>IF(AX78&gt;0,ROUND(AX78,0),0)</f>
        <v>0</v>
      </c>
      <c r="S781" s="214">
        <f>IF(AX79&gt;0,ROUND(AX79,0),0)</f>
        <v>0</v>
      </c>
      <c r="T781" s="216">
        <f>IF(AX80&gt;0,ROUND(AX80,2),0)</f>
        <v>0</v>
      </c>
      <c r="U781" s="214"/>
      <c r="V781" s="215"/>
      <c r="W781" s="214"/>
      <c r="X781" s="214"/>
      <c r="Y781" s="214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  <c r="BC781" s="215"/>
      <c r="BD781" s="215"/>
      <c r="BE781" s="215"/>
      <c r="BF781" s="215"/>
      <c r="BG781" s="215"/>
      <c r="BH781" s="215"/>
      <c r="BI781" s="215"/>
      <c r="BJ781" s="215"/>
      <c r="BK781" s="215"/>
      <c r="BL781" s="215"/>
      <c r="BM781" s="215"/>
      <c r="BN781" s="215"/>
      <c r="BO781" s="215"/>
      <c r="BP781" s="215"/>
      <c r="BQ781" s="215"/>
      <c r="BR781" s="215"/>
      <c r="BS781" s="215"/>
      <c r="BT781" s="215"/>
      <c r="BU781" s="215"/>
      <c r="BV781" s="215"/>
      <c r="BW781" s="215"/>
      <c r="BX781" s="215"/>
      <c r="BY781" s="215"/>
      <c r="BZ781" s="215"/>
      <c r="CA781" s="215"/>
      <c r="CB781" s="215"/>
      <c r="CC781" s="215"/>
      <c r="CD781" s="215"/>
      <c r="CE781" s="215"/>
    </row>
    <row r="782" spans="1:83" ht="12.65" customHeight="1" x14ac:dyDescent="0.3">
      <c r="A782" s="160" t="str">
        <f>RIGHT($C$83,3)&amp;"*"&amp;RIGHT($C$82,4)&amp;"*"&amp;AY$55&amp;"*"&amp;"A"</f>
        <v>039*2021*8320*A</v>
      </c>
      <c r="B782" s="214">
        <f>ROUND(AY59,0)</f>
        <v>278733</v>
      </c>
      <c r="C782" s="216">
        <f>ROUND(AY60,2)</f>
        <v>23.31</v>
      </c>
      <c r="D782" s="214">
        <f>ROUND(AY61,0)</f>
        <v>927738</v>
      </c>
      <c r="E782" s="214">
        <f>ROUND(AY62,0)</f>
        <v>176696</v>
      </c>
      <c r="F782" s="214">
        <f>ROUND(AY63,0)</f>
        <v>57300</v>
      </c>
      <c r="G782" s="214">
        <f>ROUND(AY64,0)</f>
        <v>391210</v>
      </c>
      <c r="H782" s="214">
        <f>ROUND(AY65,0)</f>
        <v>0</v>
      </c>
      <c r="I782" s="214">
        <f>ROUND(AY66,0)</f>
        <v>52147</v>
      </c>
      <c r="J782" s="214">
        <f>ROUND(AY67,0)</f>
        <v>121244</v>
      </c>
      <c r="K782" s="214">
        <f>ROUND(AY68,0)</f>
        <v>-37</v>
      </c>
      <c r="L782" s="214">
        <f>ROUND(AY69,0)</f>
        <v>842</v>
      </c>
      <c r="M782" s="214">
        <f>ROUND(AY70,0)</f>
        <v>330723</v>
      </c>
      <c r="N782" s="214"/>
      <c r="O782" s="214"/>
      <c r="P782" s="214">
        <f>IF(AY76&gt;0,ROUND(AY76,0),0)</f>
        <v>10399</v>
      </c>
      <c r="Q782" s="214">
        <f>IF(AY77&gt;0,ROUND(AY77,0),0)</f>
        <v>0</v>
      </c>
      <c r="R782" s="214">
        <f>IF(AY78&gt;0,ROUND(AY78,0),0)</f>
        <v>0</v>
      </c>
      <c r="S782" s="214">
        <f>IF(AY79&gt;0,ROUND(AY79,0),0)</f>
        <v>0</v>
      </c>
      <c r="T782" s="216">
        <f>IF(AY80&gt;0,ROUND(AY80,2),0)</f>
        <v>0</v>
      </c>
      <c r="U782" s="214"/>
      <c r="V782" s="215"/>
      <c r="W782" s="214"/>
      <c r="X782" s="214"/>
      <c r="Y782" s="214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  <c r="BC782" s="215"/>
      <c r="BD782" s="215"/>
      <c r="BE782" s="215"/>
      <c r="BF782" s="215"/>
      <c r="BG782" s="215"/>
      <c r="BH782" s="215"/>
      <c r="BI782" s="215"/>
      <c r="BJ782" s="215"/>
      <c r="BK782" s="215"/>
      <c r="BL782" s="215"/>
      <c r="BM782" s="215"/>
      <c r="BN782" s="215"/>
      <c r="BO782" s="215"/>
      <c r="BP782" s="215"/>
      <c r="BQ782" s="215"/>
      <c r="BR782" s="215"/>
      <c r="BS782" s="215"/>
      <c r="BT782" s="215"/>
      <c r="BU782" s="215"/>
      <c r="BV782" s="215"/>
      <c r="BW782" s="215"/>
      <c r="BX782" s="215"/>
      <c r="BY782" s="215"/>
      <c r="BZ782" s="215"/>
      <c r="CA782" s="215"/>
      <c r="CB782" s="215"/>
      <c r="CC782" s="215"/>
      <c r="CD782" s="215"/>
      <c r="CE782" s="215"/>
    </row>
    <row r="783" spans="1:83" ht="12.65" customHeight="1" x14ac:dyDescent="0.3">
      <c r="A783" s="160" t="str">
        <f>RIGHT($C$83,3)&amp;"*"&amp;RIGHT($C$82,4)&amp;"*"&amp;AZ$55&amp;"*"&amp;"A"</f>
        <v>039*2021*8330*A</v>
      </c>
      <c r="B783" s="214">
        <f>ROUND(AZ59,0)</f>
        <v>0</v>
      </c>
      <c r="C783" s="216">
        <f>ROUND(AZ60,2)</f>
        <v>0</v>
      </c>
      <c r="D783" s="214">
        <f>ROUND(AZ61,0)</f>
        <v>0</v>
      </c>
      <c r="E783" s="214">
        <f>ROUND(AZ62,0)</f>
        <v>0</v>
      </c>
      <c r="F783" s="214">
        <f>ROUND(AZ63,0)</f>
        <v>0</v>
      </c>
      <c r="G783" s="214">
        <f>ROUND(AZ64,0)</f>
        <v>0</v>
      </c>
      <c r="H783" s="214">
        <f>ROUND(AZ65,0)</f>
        <v>0</v>
      </c>
      <c r="I783" s="214">
        <f>ROUND(AZ66,0)</f>
        <v>0</v>
      </c>
      <c r="J783" s="214">
        <f>ROUND(AZ67,0)</f>
        <v>0</v>
      </c>
      <c r="K783" s="214">
        <f>ROUND(AZ68,0)</f>
        <v>0</v>
      </c>
      <c r="L783" s="214">
        <f>ROUND(AZ69,0)</f>
        <v>0</v>
      </c>
      <c r="M783" s="214">
        <f>ROUND(AZ70,0)</f>
        <v>0</v>
      </c>
      <c r="N783" s="214"/>
      <c r="O783" s="214"/>
      <c r="P783" s="214">
        <f>IF(AZ76&gt;0,ROUND(AZ76,0),0)</f>
        <v>0</v>
      </c>
      <c r="Q783" s="214">
        <f>IF(AZ77&gt;0,ROUND(AZ77,0),0)</f>
        <v>0</v>
      </c>
      <c r="R783" s="214">
        <f>IF(AZ78&gt;0,ROUND(AZ78,0),0)</f>
        <v>0</v>
      </c>
      <c r="S783" s="214">
        <f>IF(AZ79&gt;0,ROUND(AZ79,0),0)</f>
        <v>0</v>
      </c>
      <c r="T783" s="216">
        <f>IF(AZ80&gt;0,ROUND(AZ80,2),0)</f>
        <v>0</v>
      </c>
      <c r="U783" s="214"/>
      <c r="V783" s="215"/>
      <c r="W783" s="214"/>
      <c r="X783" s="214"/>
      <c r="Y783" s="214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  <c r="BC783" s="215"/>
      <c r="BD783" s="215"/>
      <c r="BE783" s="215"/>
      <c r="BF783" s="215"/>
      <c r="BG783" s="215"/>
      <c r="BH783" s="215"/>
      <c r="BI783" s="215"/>
      <c r="BJ783" s="215"/>
      <c r="BK783" s="215"/>
      <c r="BL783" s="215"/>
      <c r="BM783" s="215"/>
      <c r="BN783" s="215"/>
      <c r="BO783" s="215"/>
      <c r="BP783" s="215"/>
      <c r="BQ783" s="215"/>
      <c r="BR783" s="215"/>
      <c r="BS783" s="215"/>
      <c r="BT783" s="215"/>
      <c r="BU783" s="215"/>
      <c r="BV783" s="215"/>
      <c r="BW783" s="215"/>
      <c r="BX783" s="215"/>
      <c r="BY783" s="215"/>
      <c r="BZ783" s="215"/>
      <c r="CA783" s="215"/>
      <c r="CB783" s="215"/>
      <c r="CC783" s="215"/>
      <c r="CD783" s="215"/>
      <c r="CE783" s="215"/>
    </row>
    <row r="784" spans="1:83" ht="12.65" customHeight="1" x14ac:dyDescent="0.3">
      <c r="A784" s="160" t="str">
        <f>RIGHT($C$83,3)&amp;"*"&amp;RIGHT($C$82,4)&amp;"*"&amp;BA$55&amp;"*"&amp;"A"</f>
        <v>039*2021*8350*A</v>
      </c>
      <c r="B784" s="214">
        <f>ROUND(BA59,0)</f>
        <v>0</v>
      </c>
      <c r="C784" s="216">
        <f>ROUND(BA60,2)</f>
        <v>0</v>
      </c>
      <c r="D784" s="214">
        <f>ROUND(BA61,0)</f>
        <v>0</v>
      </c>
      <c r="E784" s="214">
        <f>ROUND(BA62,0)</f>
        <v>0</v>
      </c>
      <c r="F784" s="214">
        <f>ROUND(BA63,0)</f>
        <v>0</v>
      </c>
      <c r="G784" s="214">
        <f>ROUND(BA64,0)</f>
        <v>74331</v>
      </c>
      <c r="H784" s="214">
        <f>ROUND(BA65,0)</f>
        <v>0</v>
      </c>
      <c r="I784" s="214">
        <f>ROUND(BA66,0)</f>
        <v>274333</v>
      </c>
      <c r="J784" s="214">
        <f>ROUND(BA67,0)</f>
        <v>19937</v>
      </c>
      <c r="K784" s="214">
        <f>ROUND(BA68,0)</f>
        <v>0</v>
      </c>
      <c r="L784" s="214">
        <f>ROUND(BA69,0)</f>
        <v>0</v>
      </c>
      <c r="M784" s="214">
        <f>ROUND(BA70,0)</f>
        <v>0</v>
      </c>
      <c r="N784" s="214"/>
      <c r="O784" s="214"/>
      <c r="P784" s="214">
        <f>IF(BA76&gt;0,ROUND(BA76,0),0)</f>
        <v>1710</v>
      </c>
      <c r="Q784" s="214">
        <f>IF(BA77&gt;0,ROUND(BA77,0),0)</f>
        <v>0</v>
      </c>
      <c r="R784" s="214">
        <f>IF(BA78&gt;0,ROUND(BA78,0),0)</f>
        <v>238</v>
      </c>
      <c r="S784" s="214">
        <f>IF(BA79&gt;0,ROUND(BA79,0),0)</f>
        <v>0</v>
      </c>
      <c r="T784" s="216">
        <f>IF(BA80&gt;0,ROUND(BA80,2),0)</f>
        <v>0</v>
      </c>
      <c r="U784" s="214"/>
      <c r="V784" s="215"/>
      <c r="W784" s="214"/>
      <c r="X784" s="214"/>
      <c r="Y784" s="214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  <c r="BC784" s="215"/>
      <c r="BD784" s="215"/>
      <c r="BE784" s="215"/>
      <c r="BF784" s="215"/>
      <c r="BG784" s="215"/>
      <c r="BH784" s="215"/>
      <c r="BI784" s="215"/>
      <c r="BJ784" s="215"/>
      <c r="BK784" s="215"/>
      <c r="BL784" s="215"/>
      <c r="BM784" s="215"/>
      <c r="BN784" s="215"/>
      <c r="BO784" s="215"/>
      <c r="BP784" s="215"/>
      <c r="BQ784" s="215"/>
      <c r="BR784" s="215"/>
      <c r="BS784" s="215"/>
      <c r="BT784" s="215"/>
      <c r="BU784" s="215"/>
      <c r="BV784" s="215"/>
      <c r="BW784" s="215"/>
      <c r="BX784" s="215"/>
      <c r="BY784" s="215"/>
      <c r="BZ784" s="215"/>
      <c r="CA784" s="215"/>
      <c r="CB784" s="215"/>
      <c r="CC784" s="215"/>
      <c r="CD784" s="215"/>
      <c r="CE784" s="215"/>
    </row>
    <row r="785" spans="1:83" ht="12.65" customHeight="1" x14ac:dyDescent="0.3">
      <c r="A785" s="160" t="str">
        <f>RIGHT($C$83,3)&amp;"*"&amp;RIGHT($C$82,4)&amp;"*"&amp;BB$55&amp;"*"&amp;"A"</f>
        <v>039*2021*8360*A</v>
      </c>
      <c r="B785" s="214"/>
      <c r="C785" s="216">
        <f>ROUND(BB60,2)</f>
        <v>0</v>
      </c>
      <c r="D785" s="214">
        <f>ROUND(BB61,0)</f>
        <v>0</v>
      </c>
      <c r="E785" s="214">
        <f>ROUND(BB62,0)</f>
        <v>0</v>
      </c>
      <c r="F785" s="214">
        <f>ROUND(BB63,0)</f>
        <v>0</v>
      </c>
      <c r="G785" s="214">
        <f>ROUND(BB64,0)</f>
        <v>0</v>
      </c>
      <c r="H785" s="214">
        <f>ROUND(BB65,0)</f>
        <v>0</v>
      </c>
      <c r="I785" s="214">
        <f>ROUND(BB66,0)</f>
        <v>0</v>
      </c>
      <c r="J785" s="214">
        <f>ROUND(BB67,0)</f>
        <v>0</v>
      </c>
      <c r="K785" s="214">
        <f>ROUND(BB68,0)</f>
        <v>0</v>
      </c>
      <c r="L785" s="214">
        <f>ROUND(BB69,0)</f>
        <v>0</v>
      </c>
      <c r="M785" s="214">
        <f>ROUND(BB70,0)</f>
        <v>0</v>
      </c>
      <c r="N785" s="214"/>
      <c r="O785" s="214"/>
      <c r="P785" s="214">
        <f>IF(BB76&gt;0,ROUND(BB76,0),0)</f>
        <v>0</v>
      </c>
      <c r="Q785" s="214">
        <f>IF(BB77&gt;0,ROUND(BB77,0),0)</f>
        <v>0</v>
      </c>
      <c r="R785" s="214">
        <f>IF(BB78&gt;0,ROUND(BB78,0),0)</f>
        <v>0</v>
      </c>
      <c r="S785" s="214">
        <f>IF(BB79&gt;0,ROUND(BB79,0),0)</f>
        <v>0</v>
      </c>
      <c r="T785" s="216">
        <f>IF(BB80&gt;0,ROUND(BB80,2),0)</f>
        <v>0</v>
      </c>
      <c r="U785" s="214"/>
      <c r="V785" s="215"/>
      <c r="W785" s="214"/>
      <c r="X785" s="214"/>
      <c r="Y785" s="214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  <c r="BC785" s="215"/>
      <c r="BD785" s="215"/>
      <c r="BE785" s="215"/>
      <c r="BF785" s="215"/>
      <c r="BG785" s="215"/>
      <c r="BH785" s="215"/>
      <c r="BI785" s="215"/>
      <c r="BJ785" s="215"/>
      <c r="BK785" s="215"/>
      <c r="BL785" s="215"/>
      <c r="BM785" s="215"/>
      <c r="BN785" s="215"/>
      <c r="BO785" s="215"/>
      <c r="BP785" s="215"/>
      <c r="BQ785" s="215"/>
      <c r="BR785" s="215"/>
      <c r="BS785" s="215"/>
      <c r="BT785" s="215"/>
      <c r="BU785" s="215"/>
      <c r="BV785" s="215"/>
      <c r="BW785" s="215"/>
      <c r="BX785" s="215"/>
      <c r="BY785" s="215"/>
      <c r="BZ785" s="215"/>
      <c r="CA785" s="215"/>
      <c r="CB785" s="215"/>
      <c r="CC785" s="215"/>
      <c r="CD785" s="215"/>
      <c r="CE785" s="215"/>
    </row>
    <row r="786" spans="1:83" ht="12.65" customHeight="1" x14ac:dyDescent="0.3">
      <c r="A786" s="160" t="str">
        <f>RIGHT($C$83,3)&amp;"*"&amp;RIGHT($C$82,4)&amp;"*"&amp;BC$55&amp;"*"&amp;"A"</f>
        <v>039*2021*8370*A</v>
      </c>
      <c r="B786" s="214"/>
      <c r="C786" s="216">
        <f>ROUND(BC60,2)</f>
        <v>0</v>
      </c>
      <c r="D786" s="214">
        <f>ROUND(BC61,0)</f>
        <v>0</v>
      </c>
      <c r="E786" s="214">
        <f>ROUND(BC62,0)</f>
        <v>0</v>
      </c>
      <c r="F786" s="214">
        <f>ROUND(BC63,0)</f>
        <v>0</v>
      </c>
      <c r="G786" s="214">
        <f>ROUND(BC64,0)</f>
        <v>0</v>
      </c>
      <c r="H786" s="214">
        <f>ROUND(BC65,0)</f>
        <v>0</v>
      </c>
      <c r="I786" s="214">
        <f>ROUND(BC66,0)</f>
        <v>0</v>
      </c>
      <c r="J786" s="214">
        <f>ROUND(BC67,0)</f>
        <v>0</v>
      </c>
      <c r="K786" s="214">
        <f>ROUND(BC68,0)</f>
        <v>0</v>
      </c>
      <c r="L786" s="214">
        <f>ROUND(BC69,0)</f>
        <v>0</v>
      </c>
      <c r="M786" s="214">
        <f>ROUND(BC70,0)</f>
        <v>0</v>
      </c>
      <c r="N786" s="214"/>
      <c r="O786" s="214"/>
      <c r="P786" s="214">
        <f>IF(BC76&gt;0,ROUND(BC76,0),0)</f>
        <v>0</v>
      </c>
      <c r="Q786" s="214">
        <f>IF(BC77&gt;0,ROUND(BC77,0),0)</f>
        <v>0</v>
      </c>
      <c r="R786" s="214">
        <f>IF(BC78&gt;0,ROUND(BC78,0),0)</f>
        <v>0</v>
      </c>
      <c r="S786" s="214">
        <f>IF(BC79&gt;0,ROUND(BC79,0),0)</f>
        <v>0</v>
      </c>
      <c r="T786" s="216">
        <f>IF(BC80&gt;0,ROUND(BC80,2),0)</f>
        <v>0</v>
      </c>
      <c r="U786" s="214"/>
      <c r="V786" s="215"/>
      <c r="W786" s="214"/>
      <c r="X786" s="214"/>
      <c r="Y786" s="214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  <c r="BC786" s="215"/>
      <c r="BD786" s="215"/>
      <c r="BE786" s="215"/>
      <c r="BF786" s="215"/>
      <c r="BG786" s="215"/>
      <c r="BH786" s="215"/>
      <c r="BI786" s="215"/>
      <c r="BJ786" s="215"/>
      <c r="BK786" s="215"/>
      <c r="BL786" s="215"/>
      <c r="BM786" s="215"/>
      <c r="BN786" s="215"/>
      <c r="BO786" s="215"/>
      <c r="BP786" s="215"/>
      <c r="BQ786" s="215"/>
      <c r="BR786" s="215"/>
      <c r="BS786" s="215"/>
      <c r="BT786" s="215"/>
      <c r="BU786" s="215"/>
      <c r="BV786" s="215"/>
      <c r="BW786" s="215"/>
      <c r="BX786" s="215"/>
      <c r="BY786" s="215"/>
      <c r="BZ786" s="215"/>
      <c r="CA786" s="215"/>
      <c r="CB786" s="215"/>
      <c r="CC786" s="215"/>
      <c r="CD786" s="215"/>
      <c r="CE786" s="215"/>
    </row>
    <row r="787" spans="1:83" ht="12.65" customHeight="1" x14ac:dyDescent="0.3">
      <c r="A787" s="160" t="str">
        <f>RIGHT($C$83,3)&amp;"*"&amp;RIGHT($C$82,4)&amp;"*"&amp;BD$55&amp;"*"&amp;"A"</f>
        <v>039*2021*8420*A</v>
      </c>
      <c r="B787" s="214"/>
      <c r="C787" s="216">
        <f>ROUND(BD60,2)</f>
        <v>7.99</v>
      </c>
      <c r="D787" s="214">
        <f>ROUND(BD61,0)</f>
        <v>390952</v>
      </c>
      <c r="E787" s="214">
        <f>ROUND(BD62,0)</f>
        <v>74460</v>
      </c>
      <c r="F787" s="214">
        <f>ROUND(BD63,0)</f>
        <v>0</v>
      </c>
      <c r="G787" s="214">
        <f>ROUND(BD64,0)</f>
        <v>786851</v>
      </c>
      <c r="H787" s="214">
        <f>ROUND(BD65,0)</f>
        <v>39340</v>
      </c>
      <c r="I787" s="214">
        <f>ROUND(BD66,0)</f>
        <v>137998</v>
      </c>
      <c r="J787" s="214">
        <f>ROUND(BD67,0)</f>
        <v>119891</v>
      </c>
      <c r="K787" s="214">
        <f>ROUND(BD68,0)</f>
        <v>-26</v>
      </c>
      <c r="L787" s="214">
        <f>ROUND(BD69,0)</f>
        <v>147247</v>
      </c>
      <c r="M787" s="214">
        <f>ROUND(BD70,0)</f>
        <v>242046</v>
      </c>
      <c r="N787" s="214"/>
      <c r="O787" s="214"/>
      <c r="P787" s="214">
        <f>IF(BD76&gt;0,ROUND(BD76,0),0)</f>
        <v>10283</v>
      </c>
      <c r="Q787" s="214">
        <f>IF(BD77&gt;0,ROUND(BD77,0),0)</f>
        <v>0</v>
      </c>
      <c r="R787" s="214">
        <f>IF(BD78&gt;0,ROUND(BD78,0),0)</f>
        <v>0</v>
      </c>
      <c r="S787" s="214">
        <f>IF(BD79&gt;0,ROUND(BD79,0),0)</f>
        <v>0</v>
      </c>
      <c r="T787" s="216">
        <f>IF(BD80&gt;0,ROUND(BD80,2),0)</f>
        <v>0</v>
      </c>
      <c r="U787" s="214"/>
      <c r="V787" s="215"/>
      <c r="W787" s="214"/>
      <c r="X787" s="214"/>
      <c r="Y787" s="214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  <c r="BC787" s="215"/>
      <c r="BD787" s="215"/>
      <c r="BE787" s="215"/>
      <c r="BF787" s="215"/>
      <c r="BG787" s="215"/>
      <c r="BH787" s="215"/>
      <c r="BI787" s="215"/>
      <c r="BJ787" s="215"/>
      <c r="BK787" s="215"/>
      <c r="BL787" s="215"/>
      <c r="BM787" s="215"/>
      <c r="BN787" s="215"/>
      <c r="BO787" s="215"/>
      <c r="BP787" s="215"/>
      <c r="BQ787" s="215"/>
      <c r="BR787" s="215"/>
      <c r="BS787" s="215"/>
      <c r="BT787" s="215"/>
      <c r="BU787" s="215"/>
      <c r="BV787" s="215"/>
      <c r="BW787" s="215"/>
      <c r="BX787" s="215"/>
      <c r="BY787" s="215"/>
      <c r="BZ787" s="215"/>
      <c r="CA787" s="215"/>
      <c r="CB787" s="215"/>
      <c r="CC787" s="215"/>
      <c r="CD787" s="215"/>
      <c r="CE787" s="215"/>
    </row>
    <row r="788" spans="1:83" ht="12.65" customHeight="1" x14ac:dyDescent="0.3">
      <c r="A788" s="160" t="str">
        <f>RIGHT($C$83,3)&amp;"*"&amp;RIGHT($C$82,4)&amp;"*"&amp;BE$55&amp;"*"&amp;"A"</f>
        <v>039*2021*8430*A</v>
      </c>
      <c r="B788" s="214">
        <f>ROUND(BE59,0)</f>
        <v>493713</v>
      </c>
      <c r="C788" s="216">
        <f>ROUND(BE60,2)</f>
        <v>8.17</v>
      </c>
      <c r="D788" s="214">
        <f>ROUND(BE61,0)</f>
        <v>547715</v>
      </c>
      <c r="E788" s="214">
        <f>ROUND(BE62,0)</f>
        <v>104317</v>
      </c>
      <c r="F788" s="214">
        <f>ROUND(BE63,0)</f>
        <v>0</v>
      </c>
      <c r="G788" s="214">
        <f>ROUND(BE64,0)</f>
        <v>76615</v>
      </c>
      <c r="H788" s="214">
        <f>ROUND(BE65,0)</f>
        <v>7166</v>
      </c>
      <c r="I788" s="214">
        <f>ROUND(BE66,0)</f>
        <v>1093801</v>
      </c>
      <c r="J788" s="214">
        <f>ROUND(BE67,0)</f>
        <v>338035</v>
      </c>
      <c r="K788" s="214">
        <f>ROUND(BE68,0)</f>
        <v>-86</v>
      </c>
      <c r="L788" s="214">
        <f>ROUND(BE69,0)</f>
        <v>3837</v>
      </c>
      <c r="M788" s="214">
        <f>ROUND(BE70,0)</f>
        <v>0</v>
      </c>
      <c r="N788" s="214"/>
      <c r="O788" s="214"/>
      <c r="P788" s="214">
        <f>IF(BE76&gt;0,ROUND(BE76,0),0)</f>
        <v>28993</v>
      </c>
      <c r="Q788" s="214">
        <f>IF(BE77&gt;0,ROUND(BE77,0),0)</f>
        <v>0</v>
      </c>
      <c r="R788" s="214">
        <f>IF(BE78&gt;0,ROUND(BE78,0),0)</f>
        <v>0</v>
      </c>
      <c r="S788" s="214">
        <f>IF(BE79&gt;0,ROUND(BE79,0),0)</f>
        <v>0</v>
      </c>
      <c r="T788" s="216">
        <f>IF(BE80&gt;0,ROUND(BE80,2),0)</f>
        <v>0</v>
      </c>
      <c r="U788" s="214"/>
      <c r="V788" s="215"/>
      <c r="W788" s="214"/>
      <c r="X788" s="214"/>
      <c r="Y788" s="214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  <c r="BC788" s="215"/>
      <c r="BD788" s="215"/>
      <c r="BE788" s="215"/>
      <c r="BF788" s="215"/>
      <c r="BG788" s="215"/>
      <c r="BH788" s="215"/>
      <c r="BI788" s="215"/>
      <c r="BJ788" s="215"/>
      <c r="BK788" s="215"/>
      <c r="BL788" s="215"/>
      <c r="BM788" s="215"/>
      <c r="BN788" s="215"/>
      <c r="BO788" s="215"/>
      <c r="BP788" s="215"/>
      <c r="BQ788" s="215"/>
      <c r="BR788" s="215"/>
      <c r="BS788" s="215"/>
      <c r="BT788" s="215"/>
      <c r="BU788" s="215"/>
      <c r="BV788" s="215"/>
      <c r="BW788" s="215"/>
      <c r="BX788" s="215"/>
      <c r="BY788" s="215"/>
      <c r="BZ788" s="215"/>
      <c r="CA788" s="215"/>
      <c r="CB788" s="215"/>
      <c r="CC788" s="215"/>
      <c r="CD788" s="215"/>
      <c r="CE788" s="215"/>
    </row>
    <row r="789" spans="1:83" ht="12.65" customHeight="1" x14ac:dyDescent="0.3">
      <c r="A789" s="160" t="str">
        <f>RIGHT($C$83,3)&amp;"*"&amp;RIGHT($C$82,4)&amp;"*"&amp;BF$55&amp;"*"&amp;"A"</f>
        <v>039*2021*8460*A</v>
      </c>
      <c r="B789" s="214"/>
      <c r="C789" s="216">
        <f>ROUND(BF60,2)</f>
        <v>37.67</v>
      </c>
      <c r="D789" s="214">
        <f>ROUND(BF61,0)</f>
        <v>1491506</v>
      </c>
      <c r="E789" s="214">
        <f>ROUND(BF62,0)</f>
        <v>284071</v>
      </c>
      <c r="F789" s="214">
        <f>ROUND(BF63,0)</f>
        <v>91077</v>
      </c>
      <c r="G789" s="214">
        <f>ROUND(BF64,0)</f>
        <v>136670</v>
      </c>
      <c r="H789" s="214">
        <f>ROUND(BF65,0)</f>
        <v>103592</v>
      </c>
      <c r="I789" s="214">
        <f>ROUND(BF66,0)</f>
        <v>43626</v>
      </c>
      <c r="J789" s="214">
        <f>ROUND(BF67,0)</f>
        <v>34441</v>
      </c>
      <c r="K789" s="214">
        <f>ROUND(BF68,0)</f>
        <v>0</v>
      </c>
      <c r="L789" s="214">
        <f>ROUND(BF69,0)</f>
        <v>1018</v>
      </c>
      <c r="M789" s="214">
        <f>ROUND(BF70,0)</f>
        <v>0</v>
      </c>
      <c r="N789" s="214"/>
      <c r="O789" s="214"/>
      <c r="P789" s="214">
        <f>IF(BF76&gt;0,ROUND(BF76,0),0)</f>
        <v>2954</v>
      </c>
      <c r="Q789" s="214">
        <f>IF(BF77&gt;0,ROUND(BF77,0),0)</f>
        <v>0</v>
      </c>
      <c r="R789" s="214">
        <f>IF(BF78&gt;0,ROUND(BF78,0),0)</f>
        <v>0</v>
      </c>
      <c r="S789" s="214">
        <f>IF(BF79&gt;0,ROUND(BF79,0),0)</f>
        <v>0</v>
      </c>
      <c r="T789" s="216">
        <f>IF(BF80&gt;0,ROUND(BF80,2),0)</f>
        <v>0</v>
      </c>
      <c r="U789" s="214"/>
      <c r="V789" s="215"/>
      <c r="W789" s="214"/>
      <c r="X789" s="214"/>
      <c r="Y789" s="214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  <c r="BC789" s="215"/>
      <c r="BD789" s="215"/>
      <c r="BE789" s="215"/>
      <c r="BF789" s="215"/>
      <c r="BG789" s="215"/>
      <c r="BH789" s="215"/>
      <c r="BI789" s="215"/>
      <c r="BJ789" s="215"/>
      <c r="BK789" s="215"/>
      <c r="BL789" s="215"/>
      <c r="BM789" s="215"/>
      <c r="BN789" s="215"/>
      <c r="BO789" s="215"/>
      <c r="BP789" s="215"/>
      <c r="BQ789" s="215"/>
      <c r="BR789" s="215"/>
      <c r="BS789" s="215"/>
      <c r="BT789" s="215"/>
      <c r="BU789" s="215"/>
      <c r="BV789" s="215"/>
      <c r="BW789" s="215"/>
      <c r="BX789" s="215"/>
      <c r="BY789" s="215"/>
      <c r="BZ789" s="215"/>
      <c r="CA789" s="215"/>
      <c r="CB789" s="215"/>
      <c r="CC789" s="215"/>
      <c r="CD789" s="215"/>
      <c r="CE789" s="215"/>
    </row>
    <row r="790" spans="1:83" ht="12.65" customHeight="1" x14ac:dyDescent="0.3">
      <c r="A790" s="160" t="str">
        <f>RIGHT($C$83,3)&amp;"*"&amp;RIGHT($C$82,4)&amp;"*"&amp;BG$55&amp;"*"&amp;"A"</f>
        <v>039*2021*8470*A</v>
      </c>
      <c r="B790" s="214"/>
      <c r="C790" s="216">
        <f>ROUND(BG60,2)</f>
        <v>0</v>
      </c>
      <c r="D790" s="214">
        <f>ROUND(BG61,0)</f>
        <v>0</v>
      </c>
      <c r="E790" s="214">
        <f>ROUND(BG62,0)</f>
        <v>0</v>
      </c>
      <c r="F790" s="214">
        <f>ROUND(BG63,0)</f>
        <v>0</v>
      </c>
      <c r="G790" s="214">
        <f>ROUND(BG64,0)</f>
        <v>0</v>
      </c>
      <c r="H790" s="214">
        <f>ROUND(BG65,0)</f>
        <v>0</v>
      </c>
      <c r="I790" s="214">
        <f>ROUND(BG66,0)</f>
        <v>548327</v>
      </c>
      <c r="J790" s="214">
        <f>ROUND(BG67,0)</f>
        <v>16719</v>
      </c>
      <c r="K790" s="214">
        <f>ROUND(BG68,0)</f>
        <v>0</v>
      </c>
      <c r="L790" s="214">
        <f>ROUND(BG69,0)</f>
        <v>0</v>
      </c>
      <c r="M790" s="214">
        <f>ROUND(BG70,0)</f>
        <v>0</v>
      </c>
      <c r="N790" s="214"/>
      <c r="O790" s="214"/>
      <c r="P790" s="214">
        <f>IF(BG76&gt;0,ROUND(BG76,0),0)</f>
        <v>1434</v>
      </c>
      <c r="Q790" s="214">
        <f>IF(BG77&gt;0,ROUND(BG77,0),0)</f>
        <v>0</v>
      </c>
      <c r="R790" s="214">
        <f>IF(BG78&gt;0,ROUND(BG78,0),0)</f>
        <v>0</v>
      </c>
      <c r="S790" s="214">
        <f>IF(BG79&gt;0,ROUND(BG79,0),0)</f>
        <v>0</v>
      </c>
      <c r="T790" s="216">
        <f>IF(BG80&gt;0,ROUND(BG80,2),0)</f>
        <v>0</v>
      </c>
      <c r="U790" s="214"/>
      <c r="V790" s="215"/>
      <c r="W790" s="214"/>
      <c r="X790" s="214"/>
      <c r="Y790" s="214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  <c r="BC790" s="215"/>
      <c r="BD790" s="215"/>
      <c r="BE790" s="215"/>
      <c r="BF790" s="215"/>
      <c r="BG790" s="215"/>
      <c r="BH790" s="215"/>
      <c r="BI790" s="215"/>
      <c r="BJ790" s="215"/>
      <c r="BK790" s="215"/>
      <c r="BL790" s="215"/>
      <c r="BM790" s="215"/>
      <c r="BN790" s="215"/>
      <c r="BO790" s="215"/>
      <c r="BP790" s="215"/>
      <c r="BQ790" s="215"/>
      <c r="BR790" s="215"/>
      <c r="BS790" s="215"/>
      <c r="BT790" s="215"/>
      <c r="BU790" s="215"/>
      <c r="BV790" s="215"/>
      <c r="BW790" s="215"/>
      <c r="BX790" s="215"/>
      <c r="BY790" s="215"/>
      <c r="BZ790" s="215"/>
      <c r="CA790" s="215"/>
      <c r="CB790" s="215"/>
      <c r="CC790" s="215"/>
      <c r="CD790" s="215"/>
      <c r="CE790" s="215"/>
    </row>
    <row r="791" spans="1:83" ht="12.65" customHeight="1" x14ac:dyDescent="0.3">
      <c r="A791" s="160" t="str">
        <f>RIGHT($C$83,3)&amp;"*"&amp;RIGHT($C$82,4)&amp;"*"&amp;BH$55&amp;"*"&amp;"A"</f>
        <v>039*2021*8480*A</v>
      </c>
      <c r="B791" s="214"/>
      <c r="C791" s="216">
        <f>ROUND(BH60,2)</f>
        <v>15.3</v>
      </c>
      <c r="D791" s="214">
        <f>ROUND(BH61,0)</f>
        <v>1283718</v>
      </c>
      <c r="E791" s="214">
        <f>ROUND(BH62,0)</f>
        <v>244496</v>
      </c>
      <c r="F791" s="214">
        <f>ROUND(BH63,0)</f>
        <v>29608</v>
      </c>
      <c r="G791" s="214">
        <f>ROUND(BH64,0)</f>
        <v>47558</v>
      </c>
      <c r="H791" s="214">
        <f>ROUND(BH65,0)</f>
        <v>346414</v>
      </c>
      <c r="I791" s="214">
        <f>ROUND(BH66,0)</f>
        <v>1321639</v>
      </c>
      <c r="J791" s="214">
        <f>ROUND(BH67,0)</f>
        <v>66994</v>
      </c>
      <c r="K791" s="214">
        <f>ROUND(BH68,0)</f>
        <v>16</v>
      </c>
      <c r="L791" s="214">
        <f>ROUND(BH69,0)</f>
        <v>1323</v>
      </c>
      <c r="M791" s="214">
        <f>ROUND(BH70,0)</f>
        <v>0</v>
      </c>
      <c r="N791" s="214"/>
      <c r="O791" s="214"/>
      <c r="P791" s="214">
        <f>IF(BH76&gt;0,ROUND(BH76,0),0)</f>
        <v>5746</v>
      </c>
      <c r="Q791" s="214">
        <f>IF(BH77&gt;0,ROUND(BH77,0),0)</f>
        <v>0</v>
      </c>
      <c r="R791" s="214">
        <f>IF(BH78&gt;0,ROUND(BH78,0),0)</f>
        <v>798</v>
      </c>
      <c r="S791" s="214">
        <f>IF(BH79&gt;0,ROUND(BH79,0),0)</f>
        <v>0</v>
      </c>
      <c r="T791" s="216">
        <f>IF(BH80&gt;0,ROUND(BH80,2),0)</f>
        <v>0</v>
      </c>
      <c r="U791" s="214"/>
      <c r="V791" s="215"/>
      <c r="W791" s="214"/>
      <c r="X791" s="214"/>
      <c r="Y791" s="214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  <c r="BC791" s="215"/>
      <c r="BD791" s="215"/>
      <c r="BE791" s="215"/>
      <c r="BF791" s="215"/>
      <c r="BG791" s="215"/>
      <c r="BH791" s="215"/>
      <c r="BI791" s="215"/>
      <c r="BJ791" s="215"/>
      <c r="BK791" s="215"/>
      <c r="BL791" s="215"/>
      <c r="BM791" s="215"/>
      <c r="BN791" s="215"/>
      <c r="BO791" s="215"/>
      <c r="BP791" s="215"/>
      <c r="BQ791" s="215"/>
      <c r="BR791" s="215"/>
      <c r="BS791" s="215"/>
      <c r="BT791" s="215"/>
      <c r="BU791" s="215"/>
      <c r="BV791" s="215"/>
      <c r="BW791" s="215"/>
      <c r="BX791" s="215"/>
      <c r="BY791" s="215"/>
      <c r="BZ791" s="215"/>
      <c r="CA791" s="215"/>
      <c r="CB791" s="215"/>
      <c r="CC791" s="215"/>
      <c r="CD791" s="215"/>
      <c r="CE791" s="215"/>
    </row>
    <row r="792" spans="1:83" ht="12.65" customHeight="1" x14ac:dyDescent="0.3">
      <c r="A792" s="160" t="str">
        <f>RIGHT($C$83,3)&amp;"*"&amp;RIGHT($C$82,4)&amp;"*"&amp;BI$55&amp;"*"&amp;"A"</f>
        <v>039*2021*8490*A</v>
      </c>
      <c r="B792" s="214"/>
      <c r="C792" s="216">
        <f>ROUND(BI60,2)</f>
        <v>0</v>
      </c>
      <c r="D792" s="214">
        <f>ROUND(BI61,0)</f>
        <v>0</v>
      </c>
      <c r="E792" s="214">
        <f>ROUND(BI62,0)</f>
        <v>0</v>
      </c>
      <c r="F792" s="214">
        <f>ROUND(BI63,0)</f>
        <v>0</v>
      </c>
      <c r="G792" s="214">
        <f>ROUND(BI64,0)</f>
        <v>0</v>
      </c>
      <c r="H792" s="214">
        <f>ROUND(BI65,0)</f>
        <v>0</v>
      </c>
      <c r="I792" s="214">
        <f>ROUND(BI66,0)</f>
        <v>0</v>
      </c>
      <c r="J792" s="214">
        <f>ROUND(BI67,0)</f>
        <v>0</v>
      </c>
      <c r="K792" s="214">
        <f>ROUND(BI68,0)</f>
        <v>0</v>
      </c>
      <c r="L792" s="214">
        <f>ROUND(BI69,0)</f>
        <v>0</v>
      </c>
      <c r="M792" s="214">
        <f>ROUND(BI70,0)</f>
        <v>0</v>
      </c>
      <c r="N792" s="214"/>
      <c r="O792" s="214"/>
      <c r="P792" s="214">
        <f>IF(BI76&gt;0,ROUND(BI76,0),0)</f>
        <v>0</v>
      </c>
      <c r="Q792" s="214">
        <f>IF(BI77&gt;0,ROUND(BI77,0),0)</f>
        <v>0</v>
      </c>
      <c r="R792" s="214">
        <f>IF(BI78&gt;0,ROUND(BI78,0),0)</f>
        <v>0</v>
      </c>
      <c r="S792" s="214">
        <f>IF(BI79&gt;0,ROUND(BI79,0),0)</f>
        <v>0</v>
      </c>
      <c r="T792" s="216">
        <f>IF(BI80&gt;0,ROUND(BI80,2),0)</f>
        <v>0</v>
      </c>
      <c r="U792" s="214"/>
      <c r="V792" s="215"/>
      <c r="W792" s="214"/>
      <c r="X792" s="214"/>
      <c r="Y792" s="214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  <c r="BC792" s="215"/>
      <c r="BD792" s="215"/>
      <c r="BE792" s="215"/>
      <c r="BF792" s="215"/>
      <c r="BG792" s="215"/>
      <c r="BH792" s="215"/>
      <c r="BI792" s="215"/>
      <c r="BJ792" s="215"/>
      <c r="BK792" s="215"/>
      <c r="BL792" s="215"/>
      <c r="BM792" s="215"/>
      <c r="BN792" s="215"/>
      <c r="BO792" s="215"/>
      <c r="BP792" s="215"/>
      <c r="BQ792" s="215"/>
      <c r="BR792" s="215"/>
      <c r="BS792" s="215"/>
      <c r="BT792" s="215"/>
      <c r="BU792" s="215"/>
      <c r="BV792" s="215"/>
      <c r="BW792" s="215"/>
      <c r="BX792" s="215"/>
      <c r="BY792" s="215"/>
      <c r="BZ792" s="215"/>
      <c r="CA792" s="215"/>
      <c r="CB792" s="215"/>
      <c r="CC792" s="215"/>
      <c r="CD792" s="215"/>
      <c r="CE792" s="215"/>
    </row>
    <row r="793" spans="1:83" ht="12.65" customHeight="1" x14ac:dyDescent="0.3">
      <c r="A793" s="160" t="str">
        <f>RIGHT($C$83,3)&amp;"*"&amp;RIGHT($C$82,4)&amp;"*"&amp;BJ$55&amp;"*"&amp;"A"</f>
        <v>039*2021*8510*A</v>
      </c>
      <c r="B793" s="214"/>
      <c r="C793" s="216">
        <f>ROUND(BJ60,2)</f>
        <v>6.61</v>
      </c>
      <c r="D793" s="214">
        <f>ROUND(BJ61,0)</f>
        <v>538733</v>
      </c>
      <c r="E793" s="214">
        <f>ROUND(BJ62,0)</f>
        <v>102607</v>
      </c>
      <c r="F793" s="214">
        <f>ROUND(BJ63,0)</f>
        <v>24648</v>
      </c>
      <c r="G793" s="214">
        <f>ROUND(BJ64,0)</f>
        <v>5926</v>
      </c>
      <c r="H793" s="214">
        <f>ROUND(BJ65,0)</f>
        <v>1363</v>
      </c>
      <c r="I793" s="214">
        <f>ROUND(BJ66,0)</f>
        <v>51237</v>
      </c>
      <c r="J793" s="214">
        <f>ROUND(BJ67,0)</f>
        <v>7485</v>
      </c>
      <c r="K793" s="214">
        <f>ROUND(BJ68,0)</f>
        <v>0</v>
      </c>
      <c r="L793" s="214">
        <f>ROUND(BJ69,0)</f>
        <v>695</v>
      </c>
      <c r="M793" s="214">
        <f>ROUND(BJ70,0)</f>
        <v>0</v>
      </c>
      <c r="N793" s="214"/>
      <c r="O793" s="214"/>
      <c r="P793" s="214">
        <f>IF(BJ76&gt;0,ROUND(BJ76,0),0)</f>
        <v>642</v>
      </c>
      <c r="Q793" s="214">
        <f>IF(BJ77&gt;0,ROUND(BJ77,0),0)</f>
        <v>0</v>
      </c>
      <c r="R793" s="214">
        <f>IF(BJ78&gt;0,ROUND(BJ78,0),0)</f>
        <v>0</v>
      </c>
      <c r="S793" s="214">
        <f>IF(BJ79&gt;0,ROUND(BJ79,0),0)</f>
        <v>0</v>
      </c>
      <c r="T793" s="216">
        <f>IF(BJ80&gt;0,ROUND(BJ80,2),0)</f>
        <v>0</v>
      </c>
      <c r="U793" s="214"/>
      <c r="V793" s="215"/>
      <c r="W793" s="214"/>
      <c r="X793" s="214"/>
      <c r="Y793" s="214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  <c r="AU793" s="215"/>
      <c r="AV793" s="215"/>
      <c r="AW793" s="215"/>
      <c r="AX793" s="215"/>
      <c r="AY793" s="215"/>
      <c r="AZ793" s="215"/>
      <c r="BA793" s="215"/>
      <c r="BB793" s="215"/>
      <c r="BC793" s="215"/>
      <c r="BD793" s="215"/>
      <c r="BE793" s="215"/>
      <c r="BF793" s="215"/>
      <c r="BG793" s="215"/>
      <c r="BH793" s="215"/>
      <c r="BI793" s="215"/>
      <c r="BJ793" s="215"/>
      <c r="BK793" s="215"/>
      <c r="BL793" s="215"/>
      <c r="BM793" s="215"/>
      <c r="BN793" s="215"/>
      <c r="BO793" s="215"/>
      <c r="BP793" s="215"/>
      <c r="BQ793" s="215"/>
      <c r="BR793" s="215"/>
      <c r="BS793" s="215"/>
      <c r="BT793" s="215"/>
      <c r="BU793" s="215"/>
      <c r="BV793" s="215"/>
      <c r="BW793" s="215"/>
      <c r="BX793" s="215"/>
      <c r="BY793" s="215"/>
      <c r="BZ793" s="215"/>
      <c r="CA793" s="215"/>
      <c r="CB793" s="215"/>
      <c r="CC793" s="215"/>
      <c r="CD793" s="215"/>
      <c r="CE793" s="215"/>
    </row>
    <row r="794" spans="1:83" ht="12.65" customHeight="1" x14ac:dyDescent="0.3">
      <c r="A794" s="160" t="str">
        <f>RIGHT($C$83,3)&amp;"*"&amp;RIGHT($C$82,4)&amp;"*"&amp;BK$55&amp;"*"&amp;"A"</f>
        <v>039*2021*8530*A</v>
      </c>
      <c r="B794" s="214"/>
      <c r="C794" s="216">
        <f>ROUND(BK60,2)</f>
        <v>5.0199999999999996</v>
      </c>
      <c r="D794" s="214">
        <f>ROUND(BK61,0)</f>
        <v>234223</v>
      </c>
      <c r="E794" s="214">
        <f>ROUND(BK62,0)</f>
        <v>44610</v>
      </c>
      <c r="F794" s="214">
        <f>ROUND(BK63,0)</f>
        <v>0</v>
      </c>
      <c r="G794" s="214">
        <f>ROUND(BK64,0)</f>
        <v>7388</v>
      </c>
      <c r="H794" s="214">
        <f>ROUND(BK65,0)</f>
        <v>0</v>
      </c>
      <c r="I794" s="214">
        <f>ROUND(BK66,0)</f>
        <v>371568</v>
      </c>
      <c r="J794" s="214">
        <f>ROUND(BK67,0)</f>
        <v>47943</v>
      </c>
      <c r="K794" s="214">
        <f>ROUND(BK68,0)</f>
        <v>-1349</v>
      </c>
      <c r="L794" s="214">
        <f>ROUND(BK69,0)</f>
        <v>9537</v>
      </c>
      <c r="M794" s="214">
        <f>ROUND(BK70,0)</f>
        <v>0</v>
      </c>
      <c r="N794" s="214"/>
      <c r="O794" s="214"/>
      <c r="P794" s="214">
        <f>IF(BK76&gt;0,ROUND(BK76,0),0)</f>
        <v>4112</v>
      </c>
      <c r="Q794" s="214">
        <f>IF(BK77&gt;0,ROUND(BK77,0),0)</f>
        <v>0</v>
      </c>
      <c r="R794" s="214">
        <f>IF(BK78&gt;0,ROUND(BK78,0),0)</f>
        <v>571</v>
      </c>
      <c r="S794" s="214">
        <f>IF(BK79&gt;0,ROUND(BK79,0),0)</f>
        <v>0</v>
      </c>
      <c r="T794" s="216">
        <f>IF(BK80&gt;0,ROUND(BK80,2),0)</f>
        <v>0</v>
      </c>
      <c r="U794" s="214"/>
      <c r="V794" s="215"/>
      <c r="W794" s="214"/>
      <c r="X794" s="214"/>
      <c r="Y794" s="214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  <c r="AU794" s="215"/>
      <c r="AV794" s="215"/>
      <c r="AW794" s="215"/>
      <c r="AX794" s="215"/>
      <c r="AY794" s="215"/>
      <c r="AZ794" s="215"/>
      <c r="BA794" s="215"/>
      <c r="BB794" s="215"/>
      <c r="BC794" s="215"/>
      <c r="BD794" s="215"/>
      <c r="BE794" s="215"/>
      <c r="BF794" s="215"/>
      <c r="BG794" s="215"/>
      <c r="BH794" s="215"/>
      <c r="BI794" s="215"/>
      <c r="BJ794" s="215"/>
      <c r="BK794" s="215"/>
      <c r="BL794" s="215"/>
      <c r="BM794" s="215"/>
      <c r="BN794" s="215"/>
      <c r="BO794" s="215"/>
      <c r="BP794" s="215"/>
      <c r="BQ794" s="215"/>
      <c r="BR794" s="215"/>
      <c r="BS794" s="215"/>
      <c r="BT794" s="215"/>
      <c r="BU794" s="215"/>
      <c r="BV794" s="215"/>
      <c r="BW794" s="215"/>
      <c r="BX794" s="215"/>
      <c r="BY794" s="215"/>
      <c r="BZ794" s="215"/>
      <c r="CA794" s="215"/>
      <c r="CB794" s="215"/>
      <c r="CC794" s="215"/>
      <c r="CD794" s="215"/>
      <c r="CE794" s="215"/>
    </row>
    <row r="795" spans="1:83" ht="12.65" customHeight="1" x14ac:dyDescent="0.3">
      <c r="A795" s="160" t="str">
        <f>RIGHT($C$83,3)&amp;"*"&amp;RIGHT($C$82,4)&amp;"*"&amp;BL$55&amp;"*"&amp;"A"</f>
        <v>039*2021*8560*A</v>
      </c>
      <c r="B795" s="214"/>
      <c r="C795" s="216">
        <f>ROUND(BL60,2)</f>
        <v>19.62</v>
      </c>
      <c r="D795" s="214">
        <f>ROUND(BL61,0)</f>
        <v>218620</v>
      </c>
      <c r="E795" s="214">
        <f>ROUND(BL62,0)</f>
        <v>41638</v>
      </c>
      <c r="F795" s="214">
        <f>ROUND(BL63,0)</f>
        <v>97</v>
      </c>
      <c r="G795" s="214">
        <f>ROUND(BL64,0)</f>
        <v>31055</v>
      </c>
      <c r="H795" s="214">
        <f>ROUND(BL65,0)</f>
        <v>4637</v>
      </c>
      <c r="I795" s="214">
        <f>ROUND(BL66,0)</f>
        <v>52509</v>
      </c>
      <c r="J795" s="214">
        <f>ROUND(BL67,0)</f>
        <v>68276</v>
      </c>
      <c r="K795" s="214">
        <f>ROUND(BL68,0)</f>
        <v>0</v>
      </c>
      <c r="L795" s="214">
        <f>ROUND(BL69,0)</f>
        <v>151155</v>
      </c>
      <c r="M795" s="214">
        <f>ROUND(BL70,0)</f>
        <v>0</v>
      </c>
      <c r="N795" s="214"/>
      <c r="O795" s="214"/>
      <c r="P795" s="214">
        <f>IF(BL76&gt;0,ROUND(BL76,0),0)</f>
        <v>5856</v>
      </c>
      <c r="Q795" s="214">
        <f>IF(BL77&gt;0,ROUND(BL77,0),0)</f>
        <v>0</v>
      </c>
      <c r="R795" s="214">
        <f>IF(BL78&gt;0,ROUND(BL78,0),0)</f>
        <v>813</v>
      </c>
      <c r="S795" s="214">
        <f>IF(BL79&gt;0,ROUND(BL79,0),0)</f>
        <v>0</v>
      </c>
      <c r="T795" s="216">
        <f>IF(BL80&gt;0,ROUND(BL80,2),0)</f>
        <v>0</v>
      </c>
      <c r="U795" s="214"/>
      <c r="V795" s="215"/>
      <c r="W795" s="214"/>
      <c r="X795" s="214"/>
      <c r="Y795" s="214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  <c r="AU795" s="215"/>
      <c r="AV795" s="215"/>
      <c r="AW795" s="215"/>
      <c r="AX795" s="215"/>
      <c r="AY795" s="215"/>
      <c r="AZ795" s="215"/>
      <c r="BA795" s="215"/>
      <c r="BB795" s="215"/>
      <c r="BC795" s="215"/>
      <c r="BD795" s="215"/>
      <c r="BE795" s="215"/>
      <c r="BF795" s="215"/>
      <c r="BG795" s="215"/>
      <c r="BH795" s="215"/>
      <c r="BI795" s="215"/>
      <c r="BJ795" s="215"/>
      <c r="BK795" s="215"/>
      <c r="BL795" s="215"/>
      <c r="BM795" s="215"/>
      <c r="BN795" s="215"/>
      <c r="BO795" s="215"/>
      <c r="BP795" s="215"/>
      <c r="BQ795" s="215"/>
      <c r="BR795" s="215"/>
      <c r="BS795" s="215"/>
      <c r="BT795" s="215"/>
      <c r="BU795" s="215"/>
      <c r="BV795" s="215"/>
      <c r="BW795" s="215"/>
      <c r="BX795" s="215"/>
      <c r="BY795" s="215"/>
      <c r="BZ795" s="215"/>
      <c r="CA795" s="215"/>
      <c r="CB795" s="215"/>
      <c r="CC795" s="215"/>
      <c r="CD795" s="215"/>
      <c r="CE795" s="215"/>
    </row>
    <row r="796" spans="1:83" ht="12.65" customHeight="1" x14ac:dyDescent="0.3">
      <c r="A796" s="160" t="str">
        <f>RIGHT($C$83,3)&amp;"*"&amp;RIGHT($C$82,4)&amp;"*"&amp;BM$55&amp;"*"&amp;"A"</f>
        <v>039*2021*8590*A</v>
      </c>
      <c r="B796" s="214"/>
      <c r="C796" s="216">
        <f>ROUND(BM60,2)</f>
        <v>0</v>
      </c>
      <c r="D796" s="214">
        <f>ROUND(BM61,0)</f>
        <v>0</v>
      </c>
      <c r="E796" s="214">
        <f>ROUND(BM62,0)</f>
        <v>0</v>
      </c>
      <c r="F796" s="214">
        <f>ROUND(BM63,0)</f>
        <v>0</v>
      </c>
      <c r="G796" s="214">
        <f>ROUND(BM64,0)</f>
        <v>0</v>
      </c>
      <c r="H796" s="214">
        <f>ROUND(BM65,0)</f>
        <v>0</v>
      </c>
      <c r="I796" s="214">
        <f>ROUND(BM66,0)</f>
        <v>0</v>
      </c>
      <c r="J796" s="214">
        <f>ROUND(BM67,0)</f>
        <v>0</v>
      </c>
      <c r="K796" s="214">
        <f>ROUND(BM68,0)</f>
        <v>0</v>
      </c>
      <c r="L796" s="214">
        <f>ROUND(BM69,0)</f>
        <v>0</v>
      </c>
      <c r="M796" s="214">
        <f>ROUND(BM70,0)</f>
        <v>0</v>
      </c>
      <c r="N796" s="214"/>
      <c r="O796" s="214"/>
      <c r="P796" s="214">
        <f>IF(BM76&gt;0,ROUND(BM76,0),0)</f>
        <v>0</v>
      </c>
      <c r="Q796" s="214">
        <f>IF(BM77&gt;0,ROUND(BM77,0),0)</f>
        <v>0</v>
      </c>
      <c r="R796" s="214">
        <f>IF(BM78&gt;0,ROUND(BM78,0),0)</f>
        <v>0</v>
      </c>
      <c r="S796" s="214">
        <f>IF(BM79&gt;0,ROUND(BM79,0),0)</f>
        <v>0</v>
      </c>
      <c r="T796" s="216">
        <f>IF(BM80&gt;0,ROUND(BM80,2),0)</f>
        <v>0</v>
      </c>
      <c r="U796" s="214"/>
      <c r="V796" s="215"/>
      <c r="W796" s="214"/>
      <c r="X796" s="214"/>
      <c r="Y796" s="214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  <c r="AU796" s="215"/>
      <c r="AV796" s="215"/>
      <c r="AW796" s="215"/>
      <c r="AX796" s="215"/>
      <c r="AY796" s="215"/>
      <c r="AZ796" s="215"/>
      <c r="BA796" s="215"/>
      <c r="BB796" s="215"/>
      <c r="BC796" s="215"/>
      <c r="BD796" s="215"/>
      <c r="BE796" s="215"/>
      <c r="BF796" s="215"/>
      <c r="BG796" s="215"/>
      <c r="BH796" s="215"/>
      <c r="BI796" s="215"/>
      <c r="BJ796" s="215"/>
      <c r="BK796" s="215"/>
      <c r="BL796" s="215"/>
      <c r="BM796" s="215"/>
      <c r="BN796" s="215"/>
      <c r="BO796" s="215"/>
      <c r="BP796" s="215"/>
      <c r="BQ796" s="215"/>
      <c r="BR796" s="215"/>
      <c r="BS796" s="215"/>
      <c r="BT796" s="215"/>
      <c r="BU796" s="215"/>
      <c r="BV796" s="215"/>
      <c r="BW796" s="215"/>
      <c r="BX796" s="215"/>
      <c r="BY796" s="215"/>
      <c r="BZ796" s="215"/>
      <c r="CA796" s="215"/>
      <c r="CB796" s="215"/>
      <c r="CC796" s="215"/>
      <c r="CD796" s="215"/>
      <c r="CE796" s="215"/>
    </row>
    <row r="797" spans="1:83" ht="12.65" customHeight="1" x14ac:dyDescent="0.3">
      <c r="A797" s="160" t="str">
        <f>RIGHT($C$83,3)&amp;"*"&amp;RIGHT($C$82,4)&amp;"*"&amp;BN$55&amp;"*"&amp;"A"</f>
        <v>039*2021*8610*A</v>
      </c>
      <c r="B797" s="214"/>
      <c r="C797" s="216">
        <f>ROUND(BN60,2)</f>
        <v>5.99</v>
      </c>
      <c r="D797" s="214">
        <f>ROUND(BN61,0)</f>
        <v>895831</v>
      </c>
      <c r="E797" s="214">
        <f>ROUND(BN62,0)</f>
        <v>170619</v>
      </c>
      <c r="F797" s="214">
        <f>ROUND(BN63,0)</f>
        <v>2910</v>
      </c>
      <c r="G797" s="214">
        <f>ROUND(BN64,0)</f>
        <v>136404</v>
      </c>
      <c r="H797" s="214">
        <f>ROUND(BN65,0)</f>
        <v>0</v>
      </c>
      <c r="I797" s="214">
        <f>ROUND(BN66,0)</f>
        <v>648700</v>
      </c>
      <c r="J797" s="214">
        <f>ROUND(BN67,0)</f>
        <v>19949</v>
      </c>
      <c r="K797" s="214">
        <f>ROUND(BN68,0)</f>
        <v>-865144</v>
      </c>
      <c r="L797" s="214">
        <f>ROUND(BN69,0)</f>
        <v>848679</v>
      </c>
      <c r="M797" s="214">
        <f>ROUND(BN70,0)</f>
        <v>0</v>
      </c>
      <c r="N797" s="214"/>
      <c r="O797" s="214"/>
      <c r="P797" s="214">
        <f>IF(BN76&gt;0,ROUND(BN76,0),0)</f>
        <v>1711</v>
      </c>
      <c r="Q797" s="214">
        <f>IF(BN77&gt;0,ROUND(BN77,0),0)</f>
        <v>0</v>
      </c>
      <c r="R797" s="214">
        <f>IF(BN78&gt;0,ROUND(BN78,0),0)</f>
        <v>0</v>
      </c>
      <c r="S797" s="214">
        <f>IF(BN79&gt;0,ROUND(BN79,0),0)</f>
        <v>0</v>
      </c>
      <c r="T797" s="216">
        <f>IF(BN80&gt;0,ROUND(BN80,2),0)</f>
        <v>0</v>
      </c>
      <c r="U797" s="214"/>
      <c r="V797" s="215"/>
      <c r="W797" s="214"/>
      <c r="X797" s="214"/>
      <c r="Y797" s="214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  <c r="AU797" s="215"/>
      <c r="AV797" s="215"/>
      <c r="AW797" s="215"/>
      <c r="AX797" s="215"/>
      <c r="AY797" s="215"/>
      <c r="AZ797" s="215"/>
      <c r="BA797" s="215"/>
      <c r="BB797" s="215"/>
      <c r="BC797" s="215"/>
      <c r="BD797" s="215"/>
      <c r="BE797" s="215"/>
      <c r="BF797" s="215"/>
      <c r="BG797" s="215"/>
      <c r="BH797" s="215"/>
      <c r="BI797" s="215"/>
      <c r="BJ797" s="215"/>
      <c r="BK797" s="215"/>
      <c r="BL797" s="215"/>
      <c r="BM797" s="215"/>
      <c r="BN797" s="215"/>
      <c r="BO797" s="215"/>
      <c r="BP797" s="215"/>
      <c r="BQ797" s="215"/>
      <c r="BR797" s="215"/>
      <c r="BS797" s="215"/>
      <c r="BT797" s="215"/>
      <c r="BU797" s="215"/>
      <c r="BV797" s="215"/>
      <c r="BW797" s="215"/>
      <c r="BX797" s="215"/>
      <c r="BY797" s="215"/>
      <c r="BZ797" s="215"/>
      <c r="CA797" s="215"/>
      <c r="CB797" s="215"/>
      <c r="CC797" s="215"/>
      <c r="CD797" s="215"/>
      <c r="CE797" s="215"/>
    </row>
    <row r="798" spans="1:83" ht="12.65" customHeight="1" x14ac:dyDescent="0.3">
      <c r="A798" s="160" t="str">
        <f>RIGHT($C$83,3)&amp;"*"&amp;RIGHT($C$82,4)&amp;"*"&amp;BO$55&amp;"*"&amp;"A"</f>
        <v>039*2021*8620*A</v>
      </c>
      <c r="B798" s="214"/>
      <c r="C798" s="216">
        <f>ROUND(BO60,2)</f>
        <v>1.07</v>
      </c>
      <c r="D798" s="214">
        <f>ROUND(BO61,0)</f>
        <v>106742</v>
      </c>
      <c r="E798" s="214">
        <f>ROUND(BO62,0)</f>
        <v>20330</v>
      </c>
      <c r="F798" s="214">
        <f>ROUND(BO63,0)</f>
        <v>0</v>
      </c>
      <c r="G798" s="214">
        <f>ROUND(BO64,0)</f>
        <v>5925</v>
      </c>
      <c r="H798" s="214">
        <f>ROUND(BO65,0)</f>
        <v>0</v>
      </c>
      <c r="I798" s="214">
        <f>ROUND(BO66,0)</f>
        <v>314327</v>
      </c>
      <c r="J798" s="214">
        <f>ROUND(BO67,0)</f>
        <v>2880</v>
      </c>
      <c r="K798" s="214">
        <f>ROUND(BO68,0)</f>
        <v>-2</v>
      </c>
      <c r="L798" s="214">
        <f>ROUND(BO69,0)</f>
        <v>200</v>
      </c>
      <c r="M798" s="214">
        <f>ROUND(BO70,0)</f>
        <v>0</v>
      </c>
      <c r="N798" s="214"/>
      <c r="O798" s="214"/>
      <c r="P798" s="214">
        <f>IF(BO76&gt;0,ROUND(BO76,0),0)</f>
        <v>247</v>
      </c>
      <c r="Q798" s="214">
        <f>IF(BO77&gt;0,ROUND(BO77,0),0)</f>
        <v>0</v>
      </c>
      <c r="R798" s="214">
        <f>IF(BO78&gt;0,ROUND(BO78,0),0)</f>
        <v>0</v>
      </c>
      <c r="S798" s="214">
        <f>IF(BO79&gt;0,ROUND(BO79,0),0)</f>
        <v>0</v>
      </c>
      <c r="T798" s="216">
        <f>IF(BO80&gt;0,ROUND(BO80,2),0)</f>
        <v>0</v>
      </c>
      <c r="U798" s="214"/>
      <c r="V798" s="215"/>
      <c r="W798" s="214"/>
      <c r="X798" s="214"/>
      <c r="Y798" s="214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  <c r="AU798" s="215"/>
      <c r="AV798" s="215"/>
      <c r="AW798" s="215"/>
      <c r="AX798" s="215"/>
      <c r="AY798" s="215"/>
      <c r="AZ798" s="215"/>
      <c r="BA798" s="215"/>
      <c r="BB798" s="215"/>
      <c r="BC798" s="215"/>
      <c r="BD798" s="215"/>
      <c r="BE798" s="215"/>
      <c r="BF798" s="215"/>
      <c r="BG798" s="215"/>
      <c r="BH798" s="215"/>
      <c r="BI798" s="215"/>
      <c r="BJ798" s="215"/>
      <c r="BK798" s="215"/>
      <c r="BL798" s="215"/>
      <c r="BM798" s="215"/>
      <c r="BN798" s="215"/>
      <c r="BO798" s="215"/>
      <c r="BP798" s="215"/>
      <c r="BQ798" s="215"/>
      <c r="BR798" s="215"/>
      <c r="BS798" s="215"/>
      <c r="BT798" s="215"/>
      <c r="BU798" s="215"/>
      <c r="BV798" s="215"/>
      <c r="BW798" s="215"/>
      <c r="BX798" s="215"/>
      <c r="BY798" s="215"/>
      <c r="BZ798" s="215"/>
      <c r="CA798" s="215"/>
      <c r="CB798" s="215"/>
      <c r="CC798" s="215"/>
      <c r="CD798" s="215"/>
      <c r="CE798" s="215"/>
    </row>
    <row r="799" spans="1:83" ht="12.65" customHeight="1" x14ac:dyDescent="0.3">
      <c r="A799" s="160" t="str">
        <f>RIGHT($C$83,3)&amp;"*"&amp;RIGHT($C$82,4)&amp;"*"&amp;BP$55&amp;"*"&amp;"A"</f>
        <v>039*2021*8630*A</v>
      </c>
      <c r="B799" s="214"/>
      <c r="C799" s="216">
        <f>ROUND(BP60,2)</f>
        <v>1.5</v>
      </c>
      <c r="D799" s="214">
        <f>ROUND(BP61,0)</f>
        <v>108562</v>
      </c>
      <c r="E799" s="214">
        <f>ROUND(BP62,0)</f>
        <v>20677</v>
      </c>
      <c r="F799" s="214">
        <f>ROUND(BP63,0)</f>
        <v>0</v>
      </c>
      <c r="G799" s="214">
        <f>ROUND(BP64,0)</f>
        <v>5548</v>
      </c>
      <c r="H799" s="214">
        <f>ROUND(BP65,0)</f>
        <v>1282642</v>
      </c>
      <c r="I799" s="214">
        <f>ROUND(BP66,0)</f>
        <v>-49224</v>
      </c>
      <c r="J799" s="214">
        <f>ROUND(BP67,0)</f>
        <v>3031</v>
      </c>
      <c r="K799" s="214">
        <f>ROUND(BP68,0)</f>
        <v>-149</v>
      </c>
      <c r="L799" s="214">
        <f>ROUND(BP69,0)</f>
        <v>187297</v>
      </c>
      <c r="M799" s="214">
        <f>ROUND(BP70,0)</f>
        <v>5289</v>
      </c>
      <c r="N799" s="214"/>
      <c r="O799" s="214"/>
      <c r="P799" s="214">
        <f>IF(BP76&gt;0,ROUND(BP76,0),0)</f>
        <v>260</v>
      </c>
      <c r="Q799" s="214">
        <f>IF(BP77&gt;0,ROUND(BP77,0),0)</f>
        <v>0</v>
      </c>
      <c r="R799" s="214">
        <f>IF(BP78&gt;0,ROUND(BP78,0),0)</f>
        <v>0</v>
      </c>
      <c r="S799" s="214">
        <f>IF(BP79&gt;0,ROUND(BP79,0),0)</f>
        <v>0</v>
      </c>
      <c r="T799" s="216">
        <f>IF(BP80&gt;0,ROUND(BP80,2),0)</f>
        <v>0</v>
      </c>
      <c r="U799" s="214"/>
      <c r="V799" s="215"/>
      <c r="W799" s="214"/>
      <c r="X799" s="214"/>
      <c r="Y799" s="214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  <c r="AU799" s="215"/>
      <c r="AV799" s="215"/>
      <c r="AW799" s="215"/>
      <c r="AX799" s="215"/>
      <c r="AY799" s="215"/>
      <c r="AZ799" s="215"/>
      <c r="BA799" s="215"/>
      <c r="BB799" s="215"/>
      <c r="BC799" s="215"/>
      <c r="BD799" s="215"/>
      <c r="BE799" s="215"/>
      <c r="BF799" s="215"/>
      <c r="BG799" s="215"/>
      <c r="BH799" s="215"/>
      <c r="BI799" s="215"/>
      <c r="BJ799" s="215"/>
      <c r="BK799" s="215"/>
      <c r="BL799" s="215"/>
      <c r="BM799" s="215"/>
      <c r="BN799" s="215"/>
      <c r="BO799" s="215"/>
      <c r="BP799" s="215"/>
      <c r="BQ799" s="215"/>
      <c r="BR799" s="215"/>
      <c r="BS799" s="215"/>
      <c r="BT799" s="215"/>
      <c r="BU799" s="215"/>
      <c r="BV799" s="215"/>
      <c r="BW799" s="215"/>
      <c r="BX799" s="215"/>
      <c r="BY799" s="215"/>
      <c r="BZ799" s="215"/>
      <c r="CA799" s="215"/>
      <c r="CB799" s="215"/>
      <c r="CC799" s="215"/>
      <c r="CD799" s="215"/>
      <c r="CE799" s="215"/>
    </row>
    <row r="800" spans="1:83" ht="12.65" customHeight="1" x14ac:dyDescent="0.3">
      <c r="A800" s="160" t="str">
        <f>RIGHT($C$83,3)&amp;"*"&amp;RIGHT($C$82,4)&amp;"*"&amp;BQ$55&amp;"*"&amp;"A"</f>
        <v>039*2021*8640*A</v>
      </c>
      <c r="B800" s="214"/>
      <c r="C800" s="216">
        <f>ROUND(BQ60,2)</f>
        <v>0</v>
      </c>
      <c r="D800" s="214">
        <f>ROUND(BQ61,0)</f>
        <v>0</v>
      </c>
      <c r="E800" s="214">
        <f>ROUND(BQ62,0)</f>
        <v>0</v>
      </c>
      <c r="F800" s="214">
        <f>ROUND(BQ63,0)</f>
        <v>0</v>
      </c>
      <c r="G800" s="214">
        <f>ROUND(BQ64,0)</f>
        <v>0</v>
      </c>
      <c r="H800" s="214">
        <f>ROUND(BQ65,0)</f>
        <v>0</v>
      </c>
      <c r="I800" s="214">
        <f>ROUND(BQ66,0)</f>
        <v>0</v>
      </c>
      <c r="J800" s="214">
        <f>ROUND(BQ67,0)</f>
        <v>0</v>
      </c>
      <c r="K800" s="214">
        <f>ROUND(BQ68,0)</f>
        <v>0</v>
      </c>
      <c r="L800" s="214">
        <f>ROUND(BQ69,0)</f>
        <v>0</v>
      </c>
      <c r="M800" s="214">
        <f>ROUND(BQ70,0)</f>
        <v>660</v>
      </c>
      <c r="N800" s="214"/>
      <c r="O800" s="214"/>
      <c r="P800" s="214">
        <f>IF(BQ76&gt;0,ROUND(BQ76,0),0)</f>
        <v>0</v>
      </c>
      <c r="Q800" s="214">
        <f>IF(BQ77&gt;0,ROUND(BQ77,0),0)</f>
        <v>0</v>
      </c>
      <c r="R800" s="214">
        <f>IF(BQ78&gt;0,ROUND(BQ78,0),0)</f>
        <v>0</v>
      </c>
      <c r="S800" s="214">
        <f>IF(BQ79&gt;0,ROUND(BQ79,0),0)</f>
        <v>0</v>
      </c>
      <c r="T800" s="216">
        <f>IF(BQ80&gt;0,ROUND(BQ80,2),0)</f>
        <v>0</v>
      </c>
      <c r="U800" s="214"/>
      <c r="V800" s="215"/>
      <c r="W800" s="214"/>
      <c r="X800" s="214"/>
      <c r="Y800" s="214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  <c r="AU800" s="215"/>
      <c r="AV800" s="215"/>
      <c r="AW800" s="215"/>
      <c r="AX800" s="215"/>
      <c r="AY800" s="215"/>
      <c r="AZ800" s="215"/>
      <c r="BA800" s="215"/>
      <c r="BB800" s="215"/>
      <c r="BC800" s="215"/>
      <c r="BD800" s="215"/>
      <c r="BE800" s="215"/>
      <c r="BF800" s="215"/>
      <c r="BG800" s="215"/>
      <c r="BH800" s="215"/>
      <c r="BI800" s="215"/>
      <c r="BJ800" s="215"/>
      <c r="BK800" s="215"/>
      <c r="BL800" s="215"/>
      <c r="BM800" s="215"/>
      <c r="BN800" s="215"/>
      <c r="BO800" s="215"/>
      <c r="BP800" s="215"/>
      <c r="BQ800" s="215"/>
      <c r="BR800" s="215"/>
      <c r="BS800" s="215"/>
      <c r="BT800" s="215"/>
      <c r="BU800" s="215"/>
      <c r="BV800" s="215"/>
      <c r="BW800" s="215"/>
      <c r="BX800" s="215"/>
      <c r="BY800" s="215"/>
      <c r="BZ800" s="215"/>
      <c r="CA800" s="215"/>
      <c r="CB800" s="215"/>
      <c r="CC800" s="215"/>
      <c r="CD800" s="215"/>
      <c r="CE800" s="215"/>
    </row>
    <row r="801" spans="1:83" ht="12.65" customHeight="1" x14ac:dyDescent="0.3">
      <c r="A801" s="160" t="str">
        <f>RIGHT($C$83,3)&amp;"*"&amp;RIGHT($C$82,4)&amp;"*"&amp;BR$55&amp;"*"&amp;"A"</f>
        <v>039*2021*8650*A</v>
      </c>
      <c r="B801" s="214"/>
      <c r="C801" s="216">
        <f>ROUND(BR60,2)</f>
        <v>6.01</v>
      </c>
      <c r="D801" s="214">
        <f>ROUND(BR61,0)</f>
        <v>364241</v>
      </c>
      <c r="E801" s="214">
        <f>ROUND(BR62,0)</f>
        <v>69373</v>
      </c>
      <c r="F801" s="214">
        <f>ROUND(BR63,0)</f>
        <v>13204</v>
      </c>
      <c r="G801" s="214">
        <f>ROUND(BR64,0)</f>
        <v>24374</v>
      </c>
      <c r="H801" s="214">
        <f>ROUND(BR65,0)</f>
        <v>10009</v>
      </c>
      <c r="I801" s="214">
        <f>ROUND(BR66,0)</f>
        <v>127512</v>
      </c>
      <c r="J801" s="214">
        <f>ROUND(BR67,0)</f>
        <v>21919</v>
      </c>
      <c r="K801" s="214">
        <f>ROUND(BR68,0)</f>
        <v>-93</v>
      </c>
      <c r="L801" s="214">
        <f>ROUND(BR69,0)</f>
        <v>0</v>
      </c>
      <c r="M801" s="214">
        <f>ROUND(BR70,0)</f>
        <v>0</v>
      </c>
      <c r="N801" s="214"/>
      <c r="O801" s="214"/>
      <c r="P801" s="214">
        <f>IF(BR76&gt;0,ROUND(BR76,0),0)</f>
        <v>1880</v>
      </c>
      <c r="Q801" s="214">
        <f>IF(BR77&gt;0,ROUND(BR77,0),0)</f>
        <v>0</v>
      </c>
      <c r="R801" s="214">
        <f>IF(BR78&gt;0,ROUND(BR78,0),0)</f>
        <v>0</v>
      </c>
      <c r="S801" s="214">
        <f>IF(BR79&gt;0,ROUND(BR79,0),0)</f>
        <v>0</v>
      </c>
      <c r="T801" s="216">
        <f>IF(BR80&gt;0,ROUND(BR80,2),0)</f>
        <v>0</v>
      </c>
      <c r="U801" s="214"/>
      <c r="V801" s="215"/>
      <c r="W801" s="214"/>
      <c r="X801" s="214"/>
      <c r="Y801" s="214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  <c r="AU801" s="215"/>
      <c r="AV801" s="215"/>
      <c r="AW801" s="215"/>
      <c r="AX801" s="215"/>
      <c r="AY801" s="215"/>
      <c r="AZ801" s="215"/>
      <c r="BA801" s="215"/>
      <c r="BB801" s="215"/>
      <c r="BC801" s="215"/>
      <c r="BD801" s="215"/>
      <c r="BE801" s="215"/>
      <c r="BF801" s="215"/>
      <c r="BG801" s="215"/>
      <c r="BH801" s="215"/>
      <c r="BI801" s="215"/>
      <c r="BJ801" s="215"/>
      <c r="BK801" s="215"/>
      <c r="BL801" s="215"/>
      <c r="BM801" s="215"/>
      <c r="BN801" s="215"/>
      <c r="BO801" s="215"/>
      <c r="BP801" s="215"/>
      <c r="BQ801" s="215"/>
      <c r="BR801" s="215"/>
      <c r="BS801" s="215"/>
      <c r="BT801" s="215"/>
      <c r="BU801" s="215"/>
      <c r="BV801" s="215"/>
      <c r="BW801" s="215"/>
      <c r="BX801" s="215"/>
      <c r="BY801" s="215"/>
      <c r="BZ801" s="215"/>
      <c r="CA801" s="215"/>
      <c r="CB801" s="215"/>
      <c r="CC801" s="215"/>
      <c r="CD801" s="215"/>
      <c r="CE801" s="215"/>
    </row>
    <row r="802" spans="1:83" ht="12.65" customHeight="1" x14ac:dyDescent="0.3">
      <c r="A802" s="160" t="str">
        <f>RIGHT($C$83,3)&amp;"*"&amp;RIGHT($C$82,4)&amp;"*"&amp;BS$55&amp;"*"&amp;"A"</f>
        <v>039*2021*8660*A</v>
      </c>
      <c r="B802" s="214"/>
      <c r="C802" s="216">
        <f>ROUND(BS60,2)</f>
        <v>0</v>
      </c>
      <c r="D802" s="214">
        <f>ROUND(BS61,0)</f>
        <v>0</v>
      </c>
      <c r="E802" s="214">
        <f>ROUND(BS62,0)</f>
        <v>0</v>
      </c>
      <c r="F802" s="214">
        <f>ROUND(BS63,0)</f>
        <v>0</v>
      </c>
      <c r="G802" s="214">
        <f>ROUND(BS64,0)</f>
        <v>17230</v>
      </c>
      <c r="H802" s="214">
        <f>ROUND(BS65,0)</f>
        <v>0</v>
      </c>
      <c r="I802" s="214">
        <f>ROUND(BS66,0)</f>
        <v>0</v>
      </c>
      <c r="J802" s="214">
        <f>ROUND(BS67,0)</f>
        <v>6762</v>
      </c>
      <c r="K802" s="214">
        <f>ROUND(BS68,0)</f>
        <v>0</v>
      </c>
      <c r="L802" s="214">
        <f>ROUND(BS69,0)</f>
        <v>0</v>
      </c>
      <c r="M802" s="214">
        <f>ROUND(BS70,0)</f>
        <v>0</v>
      </c>
      <c r="N802" s="214"/>
      <c r="O802" s="214"/>
      <c r="P802" s="214">
        <f>IF(BS76&gt;0,ROUND(BS76,0),0)</f>
        <v>580</v>
      </c>
      <c r="Q802" s="214">
        <f>IF(BS77&gt;0,ROUND(BS77,0),0)</f>
        <v>0</v>
      </c>
      <c r="R802" s="214">
        <f>IF(BS78&gt;0,ROUND(BS78,0),0)</f>
        <v>81</v>
      </c>
      <c r="S802" s="214">
        <f>IF(BS79&gt;0,ROUND(BS79,0),0)</f>
        <v>0</v>
      </c>
      <c r="T802" s="216">
        <f>IF(BS80&gt;0,ROUND(BS80,2),0)</f>
        <v>0</v>
      </c>
      <c r="U802" s="214"/>
      <c r="V802" s="215"/>
      <c r="W802" s="214"/>
      <c r="X802" s="214"/>
      <c r="Y802" s="214"/>
      <c r="Z802" s="215"/>
      <c r="AA802" s="215"/>
      <c r="AB802" s="215"/>
      <c r="AC802" s="215"/>
      <c r="AD802" s="215"/>
      <c r="AE802" s="215"/>
      <c r="AF802" s="215"/>
      <c r="AG802" s="215"/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  <c r="AU802" s="215"/>
      <c r="AV802" s="215"/>
      <c r="AW802" s="215"/>
      <c r="AX802" s="215"/>
      <c r="AY802" s="215"/>
      <c r="AZ802" s="215"/>
      <c r="BA802" s="215"/>
      <c r="BB802" s="215"/>
      <c r="BC802" s="215"/>
      <c r="BD802" s="215"/>
      <c r="BE802" s="215"/>
      <c r="BF802" s="215"/>
      <c r="BG802" s="215"/>
      <c r="BH802" s="215"/>
      <c r="BI802" s="215"/>
      <c r="BJ802" s="215"/>
      <c r="BK802" s="215"/>
      <c r="BL802" s="215"/>
      <c r="BM802" s="215"/>
      <c r="BN802" s="215"/>
      <c r="BO802" s="215"/>
      <c r="BP802" s="215"/>
      <c r="BQ802" s="215"/>
      <c r="BR802" s="215"/>
      <c r="BS802" s="215"/>
      <c r="BT802" s="215"/>
      <c r="BU802" s="215"/>
      <c r="BV802" s="215"/>
      <c r="BW802" s="215"/>
      <c r="BX802" s="215"/>
      <c r="BY802" s="215"/>
      <c r="BZ802" s="215"/>
      <c r="CA802" s="215"/>
      <c r="CB802" s="215"/>
      <c r="CC802" s="215"/>
      <c r="CD802" s="215"/>
      <c r="CE802" s="215"/>
    </row>
    <row r="803" spans="1:83" ht="12.65" customHeight="1" x14ac:dyDescent="0.3">
      <c r="A803" s="160" t="str">
        <f>RIGHT($C$83,3)&amp;"*"&amp;RIGHT($C$82,4)&amp;"*"&amp;BT$55&amp;"*"&amp;"A"</f>
        <v>039*2021*8670*A</v>
      </c>
      <c r="B803" s="214"/>
      <c r="C803" s="216">
        <f>ROUND(BT60,2)</f>
        <v>0</v>
      </c>
      <c r="D803" s="214">
        <f>ROUND(BT61,0)</f>
        <v>0</v>
      </c>
      <c r="E803" s="214">
        <f>ROUND(BT62,0)</f>
        <v>0</v>
      </c>
      <c r="F803" s="214">
        <f>ROUND(BT63,0)</f>
        <v>0</v>
      </c>
      <c r="G803" s="214">
        <f>ROUND(BT64,0)</f>
        <v>1194</v>
      </c>
      <c r="H803" s="214">
        <f>ROUND(BT65,0)</f>
        <v>0</v>
      </c>
      <c r="I803" s="214">
        <f>ROUND(BT66,0)</f>
        <v>64240</v>
      </c>
      <c r="J803" s="214">
        <f>ROUND(BT67,0)</f>
        <v>10062</v>
      </c>
      <c r="K803" s="214">
        <f>ROUND(BT68,0)</f>
        <v>0</v>
      </c>
      <c r="L803" s="214">
        <f>ROUND(BT69,0)</f>
        <v>0</v>
      </c>
      <c r="M803" s="214">
        <f>ROUND(BT70,0)</f>
        <v>0</v>
      </c>
      <c r="N803" s="214"/>
      <c r="O803" s="214"/>
      <c r="P803" s="214">
        <f>IF(BT76&gt;0,ROUND(BT76,0),0)</f>
        <v>863</v>
      </c>
      <c r="Q803" s="214">
        <f>IF(BT77&gt;0,ROUND(BT77,0),0)</f>
        <v>0</v>
      </c>
      <c r="R803" s="214">
        <f>IF(BT78&gt;0,ROUND(BT78,0),0)</f>
        <v>120</v>
      </c>
      <c r="S803" s="214">
        <f>IF(BT79&gt;0,ROUND(BT79,0),0)</f>
        <v>0</v>
      </c>
      <c r="T803" s="216">
        <f>IF(BT80&gt;0,ROUND(BT80,2),0)</f>
        <v>0</v>
      </c>
      <c r="U803" s="214"/>
      <c r="V803" s="215"/>
      <c r="W803" s="214"/>
      <c r="X803" s="214"/>
      <c r="Y803" s="214"/>
      <c r="Z803" s="215"/>
      <c r="AA803" s="215"/>
      <c r="AB803" s="215"/>
      <c r="AC803" s="215"/>
      <c r="AD803" s="215"/>
      <c r="AE803" s="215"/>
      <c r="AF803" s="215"/>
      <c r="AG803" s="215"/>
      <c r="AH803" s="215"/>
      <c r="AI803" s="215"/>
      <c r="AJ803" s="215"/>
      <c r="AK803" s="215"/>
      <c r="AL803" s="215"/>
      <c r="AM803" s="215"/>
      <c r="AN803" s="215"/>
      <c r="AO803" s="215"/>
      <c r="AP803" s="215"/>
      <c r="AQ803" s="215"/>
      <c r="AR803" s="215"/>
      <c r="AS803" s="215"/>
      <c r="AT803" s="215"/>
      <c r="AU803" s="215"/>
      <c r="AV803" s="215"/>
      <c r="AW803" s="215"/>
      <c r="AX803" s="215"/>
      <c r="AY803" s="215"/>
      <c r="AZ803" s="215"/>
      <c r="BA803" s="215"/>
      <c r="BB803" s="215"/>
      <c r="BC803" s="215"/>
      <c r="BD803" s="215"/>
      <c r="BE803" s="215"/>
      <c r="BF803" s="215"/>
      <c r="BG803" s="215"/>
      <c r="BH803" s="215"/>
      <c r="BI803" s="215"/>
      <c r="BJ803" s="215"/>
      <c r="BK803" s="215"/>
      <c r="BL803" s="215"/>
      <c r="BM803" s="215"/>
      <c r="BN803" s="215"/>
      <c r="BO803" s="215"/>
      <c r="BP803" s="215"/>
      <c r="BQ803" s="215"/>
      <c r="BR803" s="215"/>
      <c r="BS803" s="215"/>
      <c r="BT803" s="215"/>
      <c r="BU803" s="215"/>
      <c r="BV803" s="215"/>
      <c r="BW803" s="215"/>
      <c r="BX803" s="215"/>
      <c r="BY803" s="215"/>
      <c r="BZ803" s="215"/>
      <c r="CA803" s="215"/>
      <c r="CB803" s="215"/>
      <c r="CC803" s="215"/>
      <c r="CD803" s="215"/>
      <c r="CE803" s="215"/>
    </row>
    <row r="804" spans="1:83" ht="12.65" customHeight="1" x14ac:dyDescent="0.3">
      <c r="A804" s="160" t="str">
        <f>RIGHT($C$83,3)&amp;"*"&amp;RIGHT($C$82,4)&amp;"*"&amp;BU$55&amp;"*"&amp;"A"</f>
        <v>039*2021*8680*A</v>
      </c>
      <c r="B804" s="214"/>
      <c r="C804" s="216">
        <f>ROUND(BU60,2)</f>
        <v>0</v>
      </c>
      <c r="D804" s="214">
        <f>ROUND(BU61,0)</f>
        <v>0</v>
      </c>
      <c r="E804" s="214">
        <f>ROUND(BU62,0)</f>
        <v>0</v>
      </c>
      <c r="F804" s="214">
        <f>ROUND(BU63,0)</f>
        <v>0</v>
      </c>
      <c r="G804" s="214">
        <f>ROUND(BU64,0)</f>
        <v>0</v>
      </c>
      <c r="H804" s="214">
        <f>ROUND(BU65,0)</f>
        <v>0</v>
      </c>
      <c r="I804" s="214">
        <f>ROUND(BU66,0)</f>
        <v>0</v>
      </c>
      <c r="J804" s="214">
        <f>ROUND(BU67,0)</f>
        <v>0</v>
      </c>
      <c r="K804" s="214">
        <f>ROUND(BU68,0)</f>
        <v>0</v>
      </c>
      <c r="L804" s="214">
        <f>ROUND(BU69,0)</f>
        <v>0</v>
      </c>
      <c r="M804" s="214">
        <f>ROUND(BU70,0)</f>
        <v>0</v>
      </c>
      <c r="N804" s="214"/>
      <c r="O804" s="214"/>
      <c r="P804" s="214">
        <f>IF(BU76&gt;0,ROUND(BU76,0),0)</f>
        <v>0</v>
      </c>
      <c r="Q804" s="214">
        <f>IF(BU77&gt;0,ROUND(BU77,0),0)</f>
        <v>0</v>
      </c>
      <c r="R804" s="214">
        <f>IF(BU78&gt;0,ROUND(BU78,0),0)</f>
        <v>0</v>
      </c>
      <c r="S804" s="214">
        <f>IF(BU79&gt;0,ROUND(BU79,0),0)</f>
        <v>0</v>
      </c>
      <c r="T804" s="216">
        <f>IF(BU80&gt;0,ROUND(BU80,2),0)</f>
        <v>0</v>
      </c>
      <c r="U804" s="214"/>
      <c r="V804" s="215"/>
      <c r="W804" s="214"/>
      <c r="X804" s="214"/>
      <c r="Y804" s="214"/>
      <c r="Z804" s="215"/>
      <c r="AA804" s="215"/>
      <c r="AB804" s="215"/>
      <c r="AC804" s="215"/>
      <c r="AD804" s="215"/>
      <c r="AE804" s="215"/>
      <c r="AF804" s="215"/>
      <c r="AG804" s="215"/>
      <c r="AH804" s="215"/>
      <c r="AI804" s="215"/>
      <c r="AJ804" s="215"/>
      <c r="AK804" s="215"/>
      <c r="AL804" s="215"/>
      <c r="AM804" s="215"/>
      <c r="AN804" s="215"/>
      <c r="AO804" s="215"/>
      <c r="AP804" s="215"/>
      <c r="AQ804" s="215"/>
      <c r="AR804" s="215"/>
      <c r="AS804" s="215"/>
      <c r="AT804" s="215"/>
      <c r="AU804" s="215"/>
      <c r="AV804" s="215"/>
      <c r="AW804" s="215"/>
      <c r="AX804" s="215"/>
      <c r="AY804" s="215"/>
      <c r="AZ804" s="215"/>
      <c r="BA804" s="215"/>
      <c r="BB804" s="215"/>
      <c r="BC804" s="215"/>
      <c r="BD804" s="215"/>
      <c r="BE804" s="215"/>
      <c r="BF804" s="215"/>
      <c r="BG804" s="215"/>
      <c r="BH804" s="215"/>
      <c r="BI804" s="215"/>
      <c r="BJ804" s="215"/>
      <c r="BK804" s="215"/>
      <c r="BL804" s="215"/>
      <c r="BM804" s="215"/>
      <c r="BN804" s="215"/>
      <c r="BO804" s="215"/>
      <c r="BP804" s="215"/>
      <c r="BQ804" s="215"/>
      <c r="BR804" s="215"/>
      <c r="BS804" s="215"/>
      <c r="BT804" s="215"/>
      <c r="BU804" s="215"/>
      <c r="BV804" s="215"/>
      <c r="BW804" s="215"/>
      <c r="BX804" s="215"/>
      <c r="BY804" s="215"/>
      <c r="BZ804" s="215"/>
      <c r="CA804" s="215"/>
      <c r="CB804" s="215"/>
      <c r="CC804" s="215"/>
      <c r="CD804" s="215"/>
      <c r="CE804" s="215"/>
    </row>
    <row r="805" spans="1:83" ht="12.65" customHeight="1" x14ac:dyDescent="0.3">
      <c r="A805" s="160" t="str">
        <f>RIGHT($C$83,3)&amp;"*"&amp;RIGHT($C$82,4)&amp;"*"&amp;BV$55&amp;"*"&amp;"A"</f>
        <v>039*2021*8690*A</v>
      </c>
      <c r="B805" s="214"/>
      <c r="C805" s="216">
        <f>ROUND(BV60,2)</f>
        <v>5.21</v>
      </c>
      <c r="D805" s="214">
        <f>ROUND(BV61,0)</f>
        <v>366726</v>
      </c>
      <c r="E805" s="214">
        <f>ROUND(BV62,0)</f>
        <v>69846</v>
      </c>
      <c r="F805" s="214">
        <f>ROUND(BV63,0)</f>
        <v>-640</v>
      </c>
      <c r="G805" s="214">
        <f>ROUND(BV64,0)</f>
        <v>0</v>
      </c>
      <c r="H805" s="214">
        <f>ROUND(BV65,0)</f>
        <v>0</v>
      </c>
      <c r="I805" s="214">
        <f>ROUND(BV66,0)</f>
        <v>631897</v>
      </c>
      <c r="J805" s="214">
        <f>ROUND(BV67,0)</f>
        <v>8255</v>
      </c>
      <c r="K805" s="214">
        <f>ROUND(BV68,0)</f>
        <v>-111</v>
      </c>
      <c r="L805" s="214">
        <f>ROUND(BV69,0)</f>
        <v>0</v>
      </c>
      <c r="M805" s="214">
        <f>ROUND(BV70,0)</f>
        <v>0</v>
      </c>
      <c r="N805" s="214"/>
      <c r="O805" s="214"/>
      <c r="P805" s="214">
        <f>IF(BV76&gt;0,ROUND(BV76,0),0)</f>
        <v>708</v>
      </c>
      <c r="Q805" s="214">
        <f>IF(BV77&gt;0,ROUND(BV77,0),0)</f>
        <v>0</v>
      </c>
      <c r="R805" s="214">
        <f>IF(BV78&gt;0,ROUND(BV78,0),0)</f>
        <v>98</v>
      </c>
      <c r="S805" s="214">
        <f>IF(BV79&gt;0,ROUND(BV79,0),0)</f>
        <v>0</v>
      </c>
      <c r="T805" s="216">
        <f>IF(BV80&gt;0,ROUND(BV80,2),0)</f>
        <v>0</v>
      </c>
      <c r="U805" s="214"/>
      <c r="V805" s="215"/>
      <c r="W805" s="214"/>
      <c r="X805" s="214"/>
      <c r="Y805" s="214"/>
      <c r="Z805" s="215"/>
      <c r="AA805" s="215"/>
      <c r="AB805" s="215"/>
      <c r="AC805" s="215"/>
      <c r="AD805" s="215"/>
      <c r="AE805" s="215"/>
      <c r="AF805" s="215"/>
      <c r="AG805" s="215"/>
      <c r="AH805" s="215"/>
      <c r="AI805" s="215"/>
      <c r="AJ805" s="215"/>
      <c r="AK805" s="215"/>
      <c r="AL805" s="215"/>
      <c r="AM805" s="215"/>
      <c r="AN805" s="215"/>
      <c r="AO805" s="215"/>
      <c r="AP805" s="215"/>
      <c r="AQ805" s="215"/>
      <c r="AR805" s="215"/>
      <c r="AS805" s="215"/>
      <c r="AT805" s="215"/>
      <c r="AU805" s="215"/>
      <c r="AV805" s="215"/>
      <c r="AW805" s="215"/>
      <c r="AX805" s="215"/>
      <c r="AY805" s="215"/>
      <c r="AZ805" s="215"/>
      <c r="BA805" s="215"/>
      <c r="BB805" s="215"/>
      <c r="BC805" s="215"/>
      <c r="BD805" s="215"/>
      <c r="BE805" s="215"/>
      <c r="BF805" s="215"/>
      <c r="BG805" s="215"/>
      <c r="BH805" s="215"/>
      <c r="BI805" s="215"/>
      <c r="BJ805" s="215"/>
      <c r="BK805" s="215"/>
      <c r="BL805" s="215"/>
      <c r="BM805" s="215"/>
      <c r="BN805" s="215"/>
      <c r="BO805" s="215"/>
      <c r="BP805" s="215"/>
      <c r="BQ805" s="215"/>
      <c r="BR805" s="215"/>
      <c r="BS805" s="215"/>
      <c r="BT805" s="215"/>
      <c r="BU805" s="215"/>
      <c r="BV805" s="215"/>
      <c r="BW805" s="215"/>
      <c r="BX805" s="215"/>
      <c r="BY805" s="215"/>
      <c r="BZ805" s="215"/>
      <c r="CA805" s="215"/>
      <c r="CB805" s="215"/>
      <c r="CC805" s="215"/>
      <c r="CD805" s="215"/>
      <c r="CE805" s="215"/>
    </row>
    <row r="806" spans="1:83" ht="12.65" customHeight="1" x14ac:dyDescent="0.3">
      <c r="A806" s="160" t="str">
        <f>RIGHT($C$83,3)&amp;"*"&amp;RIGHT($C$82,4)&amp;"*"&amp;BW$55&amp;"*"&amp;"A"</f>
        <v>039*2021*8700*A</v>
      </c>
      <c r="B806" s="214"/>
      <c r="C806" s="216">
        <f>ROUND(BW60,2)</f>
        <v>2.12</v>
      </c>
      <c r="D806" s="214">
        <f>ROUND(BW61,0)</f>
        <v>120352</v>
      </c>
      <c r="E806" s="214">
        <f>ROUND(BW62,0)</f>
        <v>22922</v>
      </c>
      <c r="F806" s="214">
        <f>ROUND(BW63,0)</f>
        <v>0</v>
      </c>
      <c r="G806" s="214">
        <f>ROUND(BW64,0)</f>
        <v>68443</v>
      </c>
      <c r="H806" s="214">
        <f>ROUND(BW65,0)</f>
        <v>0</v>
      </c>
      <c r="I806" s="214">
        <f>ROUND(BW66,0)</f>
        <v>125447</v>
      </c>
      <c r="J806" s="214">
        <f>ROUND(BW67,0)</f>
        <v>95804</v>
      </c>
      <c r="K806" s="214">
        <f>ROUND(BW68,0)</f>
        <v>0</v>
      </c>
      <c r="L806" s="214">
        <f>ROUND(BW69,0)</f>
        <v>0</v>
      </c>
      <c r="M806" s="214">
        <f>ROUND(BW70,0)</f>
        <v>17375</v>
      </c>
      <c r="N806" s="214"/>
      <c r="O806" s="214"/>
      <c r="P806" s="214">
        <f>IF(BW76&gt;0,ROUND(BW76,0),0)</f>
        <v>8217</v>
      </c>
      <c r="Q806" s="214">
        <f>IF(BW77&gt;0,ROUND(BW77,0),0)</f>
        <v>0</v>
      </c>
      <c r="R806" s="214">
        <f>IF(BW78&gt;0,ROUND(BW78,0),0)</f>
        <v>1141</v>
      </c>
      <c r="S806" s="214">
        <f>IF(BW79&gt;0,ROUND(BW79,0),0)</f>
        <v>0</v>
      </c>
      <c r="T806" s="216">
        <f>IF(BW80&gt;0,ROUND(BW80,2),0)</f>
        <v>0</v>
      </c>
      <c r="U806" s="214"/>
      <c r="V806" s="215"/>
      <c r="W806" s="214"/>
      <c r="X806" s="214"/>
      <c r="Y806" s="214"/>
      <c r="Z806" s="215"/>
      <c r="AA806" s="215"/>
      <c r="AB806" s="215"/>
      <c r="AC806" s="215"/>
      <c r="AD806" s="215"/>
      <c r="AE806" s="215"/>
      <c r="AF806" s="215"/>
      <c r="AG806" s="215"/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  <c r="AU806" s="215"/>
      <c r="AV806" s="215"/>
      <c r="AW806" s="215"/>
      <c r="AX806" s="215"/>
      <c r="AY806" s="215"/>
      <c r="AZ806" s="215"/>
      <c r="BA806" s="215"/>
      <c r="BB806" s="215"/>
      <c r="BC806" s="215"/>
      <c r="BD806" s="215"/>
      <c r="BE806" s="215"/>
      <c r="BF806" s="215"/>
      <c r="BG806" s="215"/>
      <c r="BH806" s="215"/>
      <c r="BI806" s="215"/>
      <c r="BJ806" s="215"/>
      <c r="BK806" s="215"/>
      <c r="BL806" s="215"/>
      <c r="BM806" s="215"/>
      <c r="BN806" s="215"/>
      <c r="BO806" s="215"/>
      <c r="BP806" s="215"/>
      <c r="BQ806" s="215"/>
      <c r="BR806" s="215"/>
      <c r="BS806" s="215"/>
      <c r="BT806" s="215"/>
      <c r="BU806" s="215"/>
      <c r="BV806" s="215"/>
      <c r="BW806" s="215"/>
      <c r="BX806" s="215"/>
      <c r="BY806" s="215"/>
      <c r="BZ806" s="215"/>
      <c r="CA806" s="215"/>
      <c r="CB806" s="215"/>
      <c r="CC806" s="215"/>
      <c r="CD806" s="215"/>
      <c r="CE806" s="215"/>
    </row>
    <row r="807" spans="1:83" ht="12.65" customHeight="1" x14ac:dyDescent="0.3">
      <c r="A807" s="160" t="str">
        <f>RIGHT($C$83,3)&amp;"*"&amp;RIGHT($C$82,4)&amp;"*"&amp;BX$55&amp;"*"&amp;"A"</f>
        <v>039*2021*8710*A</v>
      </c>
      <c r="B807" s="214"/>
      <c r="C807" s="216">
        <f>ROUND(BX60,2)</f>
        <v>12.36</v>
      </c>
      <c r="D807" s="214">
        <f>ROUND(BX61,0)</f>
        <v>1062044</v>
      </c>
      <c r="E807" s="214">
        <f>ROUND(BX62,0)</f>
        <v>202276</v>
      </c>
      <c r="F807" s="214">
        <f>ROUND(BX63,0)</f>
        <v>0</v>
      </c>
      <c r="G807" s="214">
        <f>ROUND(BX64,0)</f>
        <v>25022</v>
      </c>
      <c r="H807" s="214">
        <f>ROUND(BX65,0)</f>
        <v>0</v>
      </c>
      <c r="I807" s="214">
        <f>ROUND(BX66,0)</f>
        <v>354037</v>
      </c>
      <c r="J807" s="214">
        <f>ROUND(BX67,0)</f>
        <v>6203</v>
      </c>
      <c r="K807" s="214">
        <f>ROUND(BX68,0)</f>
        <v>-230</v>
      </c>
      <c r="L807" s="214">
        <f>ROUND(BX69,0)</f>
        <v>1905</v>
      </c>
      <c r="M807" s="214">
        <f>ROUND(BX70,0)</f>
        <v>0</v>
      </c>
      <c r="N807" s="214"/>
      <c r="O807" s="214"/>
      <c r="P807" s="214">
        <f>IF(BX76&gt;0,ROUND(BX76,0),0)</f>
        <v>532</v>
      </c>
      <c r="Q807" s="214">
        <f>IF(BX77&gt;0,ROUND(BX77,0),0)</f>
        <v>0</v>
      </c>
      <c r="R807" s="214">
        <f>IF(BX78&gt;0,ROUND(BX78,0),0)</f>
        <v>74</v>
      </c>
      <c r="S807" s="214">
        <f>IF(BX79&gt;0,ROUND(BX79,0),0)</f>
        <v>0</v>
      </c>
      <c r="T807" s="216">
        <f>IF(BX80&gt;0,ROUND(BX80,2),0)</f>
        <v>0</v>
      </c>
      <c r="U807" s="214"/>
      <c r="V807" s="215"/>
      <c r="W807" s="214"/>
      <c r="X807" s="214"/>
      <c r="Y807" s="214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  <c r="AU807" s="215"/>
      <c r="AV807" s="215"/>
      <c r="AW807" s="215"/>
      <c r="AX807" s="215"/>
      <c r="AY807" s="215"/>
      <c r="AZ807" s="215"/>
      <c r="BA807" s="215"/>
      <c r="BB807" s="215"/>
      <c r="BC807" s="215"/>
      <c r="BD807" s="215"/>
      <c r="BE807" s="215"/>
      <c r="BF807" s="215"/>
      <c r="BG807" s="215"/>
      <c r="BH807" s="215"/>
      <c r="BI807" s="215"/>
      <c r="BJ807" s="215"/>
      <c r="BK807" s="215"/>
      <c r="BL807" s="215"/>
      <c r="BM807" s="215"/>
      <c r="BN807" s="215"/>
      <c r="BO807" s="215"/>
      <c r="BP807" s="215"/>
      <c r="BQ807" s="215"/>
      <c r="BR807" s="215"/>
      <c r="BS807" s="215"/>
      <c r="BT807" s="215"/>
      <c r="BU807" s="215"/>
      <c r="BV807" s="215"/>
      <c r="BW807" s="215"/>
      <c r="BX807" s="215"/>
      <c r="BY807" s="215"/>
      <c r="BZ807" s="215"/>
      <c r="CA807" s="215"/>
      <c r="CB807" s="215"/>
      <c r="CC807" s="215"/>
      <c r="CD807" s="215"/>
      <c r="CE807" s="215"/>
    </row>
    <row r="808" spans="1:83" ht="12.65" customHeight="1" x14ac:dyDescent="0.3">
      <c r="A808" s="160" t="str">
        <f>RIGHT($C$83,3)&amp;"*"&amp;RIGHT($C$82,4)&amp;"*"&amp;BY$55&amp;"*"&amp;"A"</f>
        <v>039*2021*8720*A</v>
      </c>
      <c r="B808" s="214"/>
      <c r="C808" s="216">
        <f>ROUND(BY60,2)</f>
        <v>6.75</v>
      </c>
      <c r="D808" s="214">
        <f>ROUND(BY61,0)</f>
        <v>820861</v>
      </c>
      <c r="E808" s="214">
        <f>ROUND(BY62,0)</f>
        <v>156341</v>
      </c>
      <c r="F808" s="214">
        <f>ROUND(BY63,0)</f>
        <v>18312</v>
      </c>
      <c r="G808" s="214">
        <f>ROUND(BY64,0)</f>
        <v>55707</v>
      </c>
      <c r="H808" s="214">
        <f>ROUND(BY65,0)</f>
        <v>966</v>
      </c>
      <c r="I808" s="214">
        <f>ROUND(BY66,0)</f>
        <v>10802</v>
      </c>
      <c r="J808" s="214">
        <f>ROUND(BY67,0)</f>
        <v>10295</v>
      </c>
      <c r="K808" s="214">
        <f>ROUND(BY68,0)</f>
        <v>157</v>
      </c>
      <c r="L808" s="214">
        <f>ROUND(BY69,0)</f>
        <v>0</v>
      </c>
      <c r="M808" s="214">
        <f>ROUND(BY70,0)</f>
        <v>0</v>
      </c>
      <c r="N808" s="214"/>
      <c r="O808" s="214"/>
      <c r="P808" s="214">
        <f>IF(BY76&gt;0,ROUND(BY76,0),0)</f>
        <v>883</v>
      </c>
      <c r="Q808" s="214">
        <f>IF(BY77&gt;0,ROUND(BY77,0),0)</f>
        <v>0</v>
      </c>
      <c r="R808" s="214">
        <f>IF(BY78&gt;0,ROUND(BY78,0),0)</f>
        <v>123</v>
      </c>
      <c r="S808" s="214">
        <f>IF(BY79&gt;0,ROUND(BY79,0),0)</f>
        <v>0</v>
      </c>
      <c r="T808" s="216">
        <f>IF(BY80&gt;0,ROUND(BY80,2),0)</f>
        <v>0</v>
      </c>
      <c r="U808" s="214"/>
      <c r="V808" s="215"/>
      <c r="W808" s="214"/>
      <c r="X808" s="214"/>
      <c r="Y808" s="214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  <c r="AU808" s="215"/>
      <c r="AV808" s="215"/>
      <c r="AW808" s="215"/>
      <c r="AX808" s="215"/>
      <c r="AY808" s="215"/>
      <c r="AZ808" s="215"/>
      <c r="BA808" s="215"/>
      <c r="BB808" s="215"/>
      <c r="BC808" s="215"/>
      <c r="BD808" s="215"/>
      <c r="BE808" s="215"/>
      <c r="BF808" s="215"/>
      <c r="BG808" s="215"/>
      <c r="BH808" s="215"/>
      <c r="BI808" s="215"/>
      <c r="BJ808" s="215"/>
      <c r="BK808" s="215"/>
      <c r="BL808" s="215"/>
      <c r="BM808" s="215"/>
      <c r="BN808" s="215"/>
      <c r="BO808" s="215"/>
      <c r="BP808" s="215"/>
      <c r="BQ808" s="215"/>
      <c r="BR808" s="215"/>
      <c r="BS808" s="215"/>
      <c r="BT808" s="215"/>
      <c r="BU808" s="215"/>
      <c r="BV808" s="215"/>
      <c r="BW808" s="215"/>
      <c r="BX808" s="215"/>
      <c r="BY808" s="215"/>
      <c r="BZ808" s="215"/>
      <c r="CA808" s="215"/>
      <c r="CB808" s="215"/>
      <c r="CC808" s="215"/>
      <c r="CD808" s="215"/>
      <c r="CE808" s="215"/>
    </row>
    <row r="809" spans="1:83" ht="12.65" customHeight="1" x14ac:dyDescent="0.3">
      <c r="A809" s="160" t="str">
        <f>RIGHT($C$83,3)&amp;"*"&amp;RIGHT($C$82,4)&amp;"*"&amp;BZ$55&amp;"*"&amp;"A"</f>
        <v>039*2021*8730*A</v>
      </c>
      <c r="B809" s="214"/>
      <c r="C809" s="216">
        <f>ROUND(BZ60,2)</f>
        <v>0</v>
      </c>
      <c r="D809" s="214">
        <f>ROUND(BZ61,0)</f>
        <v>0</v>
      </c>
      <c r="E809" s="214">
        <f>ROUND(BZ62,0)</f>
        <v>0</v>
      </c>
      <c r="F809" s="214">
        <f>ROUND(BZ63,0)</f>
        <v>0</v>
      </c>
      <c r="G809" s="214">
        <f>ROUND(BZ64,0)</f>
        <v>0</v>
      </c>
      <c r="H809" s="214">
        <f>ROUND(BZ65,0)</f>
        <v>0</v>
      </c>
      <c r="I809" s="214">
        <f>ROUND(BZ66,0)</f>
        <v>0</v>
      </c>
      <c r="J809" s="214">
        <f>ROUND(BZ67,0)</f>
        <v>0</v>
      </c>
      <c r="K809" s="214">
        <f>ROUND(BZ68,0)</f>
        <v>0</v>
      </c>
      <c r="L809" s="214">
        <f>ROUND(BZ69,0)</f>
        <v>0</v>
      </c>
      <c r="M809" s="214">
        <f>ROUND(BZ70,0)</f>
        <v>0</v>
      </c>
      <c r="N809" s="214"/>
      <c r="O809" s="214"/>
      <c r="P809" s="214">
        <f>IF(BZ76&gt;0,ROUND(BZ76,0),0)</f>
        <v>0</v>
      </c>
      <c r="Q809" s="214">
        <f>IF(BZ77&gt;0,ROUND(BZ77,0),0)</f>
        <v>0</v>
      </c>
      <c r="R809" s="214">
        <f>IF(BZ78&gt;0,ROUND(BZ78,0),0)</f>
        <v>0</v>
      </c>
      <c r="S809" s="214">
        <f>IF(BZ79&gt;0,ROUND(BZ79,0),0)</f>
        <v>0</v>
      </c>
      <c r="T809" s="216">
        <f>IF(BZ80&gt;0,ROUND(BZ80,2),0)</f>
        <v>0</v>
      </c>
      <c r="U809" s="214"/>
      <c r="V809" s="215"/>
      <c r="W809" s="214"/>
      <c r="X809" s="214"/>
      <c r="Y809" s="214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  <c r="BI809" s="215"/>
      <c r="BJ809" s="215"/>
      <c r="BK809" s="215"/>
      <c r="BL809" s="215"/>
      <c r="BM809" s="215"/>
      <c r="BN809" s="215"/>
      <c r="BO809" s="215"/>
      <c r="BP809" s="215"/>
      <c r="BQ809" s="215"/>
      <c r="BR809" s="215"/>
      <c r="BS809" s="215"/>
      <c r="BT809" s="215"/>
      <c r="BU809" s="215"/>
      <c r="BV809" s="215"/>
      <c r="BW809" s="215"/>
      <c r="BX809" s="215"/>
      <c r="BY809" s="215"/>
      <c r="BZ809" s="215"/>
      <c r="CA809" s="215"/>
      <c r="CB809" s="215"/>
      <c r="CC809" s="215"/>
      <c r="CD809" s="215"/>
      <c r="CE809" s="215"/>
    </row>
    <row r="810" spans="1:83" ht="12.65" customHeight="1" x14ac:dyDescent="0.3">
      <c r="A810" s="160" t="str">
        <f>RIGHT($C$83,3)&amp;"*"&amp;RIGHT($C$82,4)&amp;"*"&amp;CA$55&amp;"*"&amp;"A"</f>
        <v>039*2021*8740*A</v>
      </c>
      <c r="B810" s="214"/>
      <c r="C810" s="216">
        <f>ROUND(CA60,2)</f>
        <v>2.44</v>
      </c>
      <c r="D810" s="214">
        <f>ROUND(CA61,0)</f>
        <v>206038</v>
      </c>
      <c r="E810" s="214">
        <f>ROUND(CA62,0)</f>
        <v>39242</v>
      </c>
      <c r="F810" s="214">
        <f>ROUND(CA63,0)</f>
        <v>0</v>
      </c>
      <c r="G810" s="214">
        <f>ROUND(CA64,0)</f>
        <v>3222</v>
      </c>
      <c r="H810" s="214">
        <f>ROUND(CA65,0)</f>
        <v>0</v>
      </c>
      <c r="I810" s="214">
        <f>ROUND(CA66,0)</f>
        <v>59021</v>
      </c>
      <c r="J810" s="214">
        <f>ROUND(CA67,0)</f>
        <v>2938</v>
      </c>
      <c r="K810" s="214">
        <f>ROUND(CA68,0)</f>
        <v>-19</v>
      </c>
      <c r="L810" s="214">
        <f>ROUND(CA69,0)</f>
        <v>40703</v>
      </c>
      <c r="M810" s="214">
        <f>ROUND(CA70,0)</f>
        <v>3450</v>
      </c>
      <c r="N810" s="214"/>
      <c r="O810" s="214"/>
      <c r="P810" s="214">
        <f>IF(CA76&gt;0,ROUND(CA76,0),0)</f>
        <v>252</v>
      </c>
      <c r="Q810" s="214">
        <f>IF(CA77&gt;0,ROUND(CA77,0),0)</f>
        <v>0</v>
      </c>
      <c r="R810" s="214">
        <f>IF(CA78&gt;0,ROUND(CA78,0),0)</f>
        <v>35</v>
      </c>
      <c r="S810" s="214">
        <f>IF(CA79&gt;0,ROUND(CA79,0),0)</f>
        <v>0</v>
      </c>
      <c r="T810" s="216">
        <f>IF(CA80&gt;0,ROUND(CA80,2),0)</f>
        <v>0</v>
      </c>
      <c r="U810" s="214"/>
      <c r="V810" s="215"/>
      <c r="W810" s="214"/>
      <c r="X810" s="214"/>
      <c r="Y810" s="214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  <c r="BI810" s="215"/>
      <c r="BJ810" s="215"/>
      <c r="BK810" s="215"/>
      <c r="BL810" s="215"/>
      <c r="BM810" s="215"/>
      <c r="BN810" s="215"/>
      <c r="BO810" s="215"/>
      <c r="BP810" s="215"/>
      <c r="BQ810" s="215"/>
      <c r="BR810" s="215"/>
      <c r="BS810" s="215"/>
      <c r="BT810" s="215"/>
      <c r="BU810" s="215"/>
      <c r="BV810" s="215"/>
      <c r="BW810" s="215"/>
      <c r="BX810" s="215"/>
      <c r="BY810" s="215"/>
      <c r="BZ810" s="215"/>
      <c r="CA810" s="215"/>
      <c r="CB810" s="215"/>
      <c r="CC810" s="215"/>
      <c r="CD810" s="215"/>
      <c r="CE810" s="215"/>
    </row>
    <row r="811" spans="1:83" ht="12.65" customHeight="1" x14ac:dyDescent="0.3">
      <c r="A811" s="160" t="str">
        <f>RIGHT($C$83,3)&amp;"*"&amp;RIGHT($C$82,4)&amp;"*"&amp;CB$55&amp;"*"&amp;"A"</f>
        <v>039*2021*8770*A</v>
      </c>
      <c r="B811" s="214"/>
      <c r="C811" s="216">
        <f>ROUND(CB60,2)</f>
        <v>0</v>
      </c>
      <c r="D811" s="214">
        <f>ROUND(CB61,0)</f>
        <v>0</v>
      </c>
      <c r="E811" s="214">
        <f>ROUND(CB62,0)</f>
        <v>0</v>
      </c>
      <c r="F811" s="214">
        <f>ROUND(CB63,0)</f>
        <v>0</v>
      </c>
      <c r="G811" s="214">
        <f>ROUND(CB64,0)</f>
        <v>0</v>
      </c>
      <c r="H811" s="214">
        <f>ROUND(CB65,0)</f>
        <v>0</v>
      </c>
      <c r="I811" s="214">
        <f>ROUND(CB66,0)</f>
        <v>146562</v>
      </c>
      <c r="J811" s="214">
        <f>ROUND(CB67,0)</f>
        <v>3603</v>
      </c>
      <c r="K811" s="214">
        <f>ROUND(CB68,0)</f>
        <v>0</v>
      </c>
      <c r="L811" s="214">
        <f>ROUND(CB69,0)</f>
        <v>662</v>
      </c>
      <c r="M811" s="214">
        <f>ROUND(CB70,0)</f>
        <v>0</v>
      </c>
      <c r="N811" s="214"/>
      <c r="O811" s="214"/>
      <c r="P811" s="214">
        <f>IF(CB76&gt;0,ROUND(CB76,0),0)</f>
        <v>309</v>
      </c>
      <c r="Q811" s="214">
        <f>IF(CB77&gt;0,ROUND(CB77,0),0)</f>
        <v>0</v>
      </c>
      <c r="R811" s="214">
        <f>IF(CB78&gt;0,ROUND(CB78,0),0)</f>
        <v>43</v>
      </c>
      <c r="S811" s="214">
        <f>IF(CB79&gt;0,ROUND(CB79,0),0)</f>
        <v>0</v>
      </c>
      <c r="T811" s="216">
        <f>IF(CB80&gt;0,ROUND(CB80,2),0)</f>
        <v>0</v>
      </c>
      <c r="U811" s="214"/>
      <c r="V811" s="215"/>
      <c r="W811" s="214"/>
      <c r="X811" s="214"/>
      <c r="Y811" s="214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  <c r="AU811" s="215"/>
      <c r="AV811" s="215"/>
      <c r="AW811" s="215"/>
      <c r="AX811" s="215"/>
      <c r="AY811" s="215"/>
      <c r="AZ811" s="215"/>
      <c r="BA811" s="215"/>
      <c r="BB811" s="215"/>
      <c r="BC811" s="215"/>
      <c r="BD811" s="215"/>
      <c r="BE811" s="215"/>
      <c r="BF811" s="215"/>
      <c r="BG811" s="215"/>
      <c r="BH811" s="215"/>
      <c r="BI811" s="215"/>
      <c r="BJ811" s="215"/>
      <c r="BK811" s="215"/>
      <c r="BL811" s="215"/>
      <c r="BM811" s="215"/>
      <c r="BN811" s="215"/>
      <c r="BO811" s="215"/>
      <c r="BP811" s="215"/>
      <c r="BQ811" s="215"/>
      <c r="BR811" s="215"/>
      <c r="BS811" s="215"/>
      <c r="BT811" s="215"/>
      <c r="BU811" s="215"/>
      <c r="BV811" s="215"/>
      <c r="BW811" s="215"/>
      <c r="BX811" s="215"/>
      <c r="BY811" s="215"/>
      <c r="BZ811" s="215"/>
      <c r="CA811" s="215"/>
      <c r="CB811" s="215"/>
      <c r="CC811" s="215"/>
      <c r="CD811" s="215"/>
      <c r="CE811" s="215"/>
    </row>
    <row r="812" spans="1:83" ht="12.65" customHeight="1" x14ac:dyDescent="0.3">
      <c r="A812" s="160" t="str">
        <f>RIGHT($C$83,3)&amp;"*"&amp;RIGHT($C$82,4)&amp;"*"&amp;CC$55&amp;"*"&amp;"A"</f>
        <v>039*2021*8790*A</v>
      </c>
      <c r="B812" s="214"/>
      <c r="C812" s="216">
        <f>ROUND(CC60,2)</f>
        <v>4.16</v>
      </c>
      <c r="D812" s="214">
        <f>ROUND(CC61,0)</f>
        <v>575412</v>
      </c>
      <c r="E812" s="214">
        <f>ROUND(CC62,0)</f>
        <v>109593</v>
      </c>
      <c r="F812" s="214">
        <f>ROUND(CC63,0)</f>
        <v>126657</v>
      </c>
      <c r="G812" s="214">
        <f>ROUND(CC64,0)</f>
        <v>671436</v>
      </c>
      <c r="H812" s="214">
        <f>ROUND(CC65,0)</f>
        <v>828</v>
      </c>
      <c r="I812" s="214">
        <f>ROUND(CC66,0)</f>
        <v>2466179</v>
      </c>
      <c r="J812" s="214">
        <f>ROUND(CC67,0)</f>
        <v>1265080</v>
      </c>
      <c r="K812" s="214">
        <f>ROUND(CC68,0)</f>
        <v>0</v>
      </c>
      <c r="L812" s="214">
        <f>ROUND(CC69,0)</f>
        <v>-139925</v>
      </c>
      <c r="M812" s="214">
        <f>ROUND(CC70,0)</f>
        <v>0</v>
      </c>
      <c r="N812" s="214"/>
      <c r="O812" s="214"/>
      <c r="P812" s="214">
        <f>IF(CC76&gt;0,ROUND(CC76,0),0)</f>
        <v>108505</v>
      </c>
      <c r="Q812" s="214">
        <f>IF(CC77&gt;0,ROUND(CC77,0),0)</f>
        <v>0</v>
      </c>
      <c r="R812" s="214">
        <f>IF(CC78&gt;0,ROUND(CC78,0),0)</f>
        <v>0</v>
      </c>
      <c r="S812" s="214">
        <f>IF(CC79&gt;0,ROUND(CC79,0),0)</f>
        <v>0</v>
      </c>
      <c r="T812" s="216">
        <f>IF(CC80&gt;0,ROUND(CC80,2),0)</f>
        <v>0</v>
      </c>
      <c r="U812" s="214"/>
      <c r="V812" s="215"/>
      <c r="W812" s="214"/>
      <c r="X812" s="214"/>
      <c r="Y812" s="214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  <c r="AU812" s="215"/>
      <c r="AV812" s="215"/>
      <c r="AW812" s="215"/>
      <c r="AX812" s="215"/>
      <c r="AY812" s="215"/>
      <c r="AZ812" s="215"/>
      <c r="BA812" s="215"/>
      <c r="BB812" s="215"/>
      <c r="BC812" s="215"/>
      <c r="BD812" s="215"/>
      <c r="BE812" s="215"/>
      <c r="BF812" s="215"/>
      <c r="BG812" s="215"/>
      <c r="BH812" s="215"/>
      <c r="BI812" s="215"/>
      <c r="BJ812" s="215"/>
      <c r="BK812" s="215"/>
      <c r="BL812" s="215"/>
      <c r="BM812" s="215"/>
      <c r="BN812" s="215"/>
      <c r="BO812" s="215"/>
      <c r="BP812" s="215"/>
      <c r="BQ812" s="215"/>
      <c r="BR812" s="215"/>
      <c r="BS812" s="215"/>
      <c r="BT812" s="215"/>
      <c r="BU812" s="215"/>
      <c r="BV812" s="215"/>
      <c r="BW812" s="215"/>
      <c r="BX812" s="215"/>
      <c r="BY812" s="215"/>
      <c r="BZ812" s="215"/>
      <c r="CA812" s="215"/>
      <c r="CB812" s="215"/>
      <c r="CC812" s="215"/>
      <c r="CD812" s="215"/>
      <c r="CE812" s="215"/>
    </row>
    <row r="813" spans="1:83" ht="12.65" customHeight="1" x14ac:dyDescent="0.3">
      <c r="A813" s="160" t="str">
        <f>RIGHT($C$83,3)&amp;"*"&amp;RIGHT($C$82,4)&amp;"*"&amp;"9000"&amp;"*"&amp;"A"</f>
        <v>039*2021*9000*A</v>
      </c>
      <c r="B813" s="214"/>
      <c r="C813" s="217"/>
      <c r="D813" s="214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7"/>
      <c r="U813" s="214">
        <f>ROUND(CD69,0)</f>
        <v>12400690</v>
      </c>
      <c r="V813" s="215">
        <f>ROUND(CD70,0)</f>
        <v>283996</v>
      </c>
      <c r="W813" s="214">
        <f>ROUND(CE72,0)</f>
        <v>0</v>
      </c>
      <c r="X813" s="214">
        <f>ROUND(C131,0)</f>
        <v>0</v>
      </c>
      <c r="Y813" s="214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15"/>
      <c r="AT813" s="215"/>
      <c r="AU813" s="215"/>
      <c r="AV813" s="215"/>
      <c r="AW813" s="215"/>
      <c r="AX813" s="215"/>
      <c r="AY813" s="215"/>
      <c r="AZ813" s="215"/>
      <c r="BA813" s="215"/>
      <c r="BB813" s="215"/>
      <c r="BC813" s="215"/>
      <c r="BD813" s="215"/>
      <c r="BE813" s="215"/>
      <c r="BF813" s="215"/>
      <c r="BG813" s="215"/>
      <c r="BH813" s="215"/>
      <c r="BI813" s="215"/>
      <c r="BJ813" s="215"/>
      <c r="BK813" s="215"/>
      <c r="BL813" s="215"/>
      <c r="BM813" s="215"/>
      <c r="BN813" s="215"/>
      <c r="BO813" s="215"/>
      <c r="BP813" s="215"/>
      <c r="BQ813" s="215"/>
      <c r="BR813" s="215"/>
      <c r="BS813" s="215"/>
      <c r="BT813" s="215"/>
      <c r="BU813" s="215"/>
      <c r="BV813" s="215"/>
      <c r="BW813" s="215"/>
      <c r="BX813" s="215"/>
      <c r="BY813" s="215"/>
      <c r="BZ813" s="215"/>
      <c r="CA813" s="215"/>
      <c r="CB813" s="215"/>
      <c r="CC813" s="215"/>
      <c r="CD813" s="215"/>
      <c r="CE813" s="215"/>
    </row>
    <row r="814" spans="1:83" ht="12.65" customHeight="1" x14ac:dyDescent="0.3"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15"/>
      <c r="AT814" s="215"/>
      <c r="AU814" s="215"/>
      <c r="AV814" s="215"/>
      <c r="AW814" s="215"/>
      <c r="AX814" s="215"/>
      <c r="AY814" s="215"/>
      <c r="AZ814" s="215"/>
      <c r="BA814" s="215"/>
      <c r="BB814" s="215"/>
      <c r="BC814" s="215"/>
      <c r="BD814" s="215"/>
      <c r="BE814" s="215"/>
      <c r="BF814" s="215"/>
      <c r="BG814" s="215"/>
      <c r="BH814" s="215"/>
      <c r="BI814" s="215"/>
      <c r="BJ814" s="215"/>
      <c r="BK814" s="215"/>
      <c r="BL814" s="215"/>
      <c r="BM814" s="215"/>
      <c r="BN814" s="215"/>
      <c r="BO814" s="215"/>
      <c r="BP814" s="215"/>
      <c r="BQ814" s="215"/>
      <c r="BR814" s="215"/>
      <c r="BS814" s="215"/>
      <c r="BT814" s="215"/>
      <c r="BU814" s="215"/>
      <c r="BV814" s="215"/>
      <c r="BW814" s="215"/>
      <c r="BX814" s="215"/>
      <c r="BY814" s="215"/>
      <c r="BZ814" s="215"/>
      <c r="CA814" s="215"/>
      <c r="CB814" s="215"/>
      <c r="CC814" s="215"/>
      <c r="CD814" s="215"/>
      <c r="CE814" s="215"/>
    </row>
    <row r="815" spans="1:83" ht="12.65" customHeight="1" x14ac:dyDescent="0.3">
      <c r="B815" s="218" t="s">
        <v>1004</v>
      </c>
      <c r="C815" s="219">
        <f t="shared" ref="C815:K815" si="24">SUM(C734:C813)</f>
        <v>766.06999999999982</v>
      </c>
      <c r="D815" s="215">
        <f t="shared" si="24"/>
        <v>73357192</v>
      </c>
      <c r="E815" s="215">
        <f t="shared" si="24"/>
        <v>13971563</v>
      </c>
      <c r="F815" s="215">
        <f t="shared" si="24"/>
        <v>12377772</v>
      </c>
      <c r="G815" s="215">
        <f t="shared" si="24"/>
        <v>34200152</v>
      </c>
      <c r="H815" s="215">
        <f t="shared" si="24"/>
        <v>2309697</v>
      </c>
      <c r="I815" s="215">
        <f t="shared" si="24"/>
        <v>16251996</v>
      </c>
      <c r="J815" s="215">
        <f t="shared" si="24"/>
        <v>5756294</v>
      </c>
      <c r="K815" s="215">
        <f t="shared" si="24"/>
        <v>-417432</v>
      </c>
      <c r="L815" s="215">
        <f>SUM(L734:L813)+SUM(U734:U813)</f>
        <v>14082301</v>
      </c>
      <c r="M815" s="215">
        <f>SUM(M734:M813)+SUM(V734:V813)</f>
        <v>1689480</v>
      </c>
      <c r="N815" s="215">
        <f t="shared" ref="N815:Y815" si="25">SUM(N734:N813)</f>
        <v>601232886</v>
      </c>
      <c r="O815" s="215">
        <f t="shared" si="25"/>
        <v>215234725</v>
      </c>
      <c r="P815" s="215">
        <f t="shared" si="25"/>
        <v>493713</v>
      </c>
      <c r="Q815" s="215">
        <f t="shared" si="25"/>
        <v>56341</v>
      </c>
      <c r="R815" s="215">
        <f t="shared" si="25"/>
        <v>45343</v>
      </c>
      <c r="S815" s="215">
        <f t="shared" si="25"/>
        <v>504499</v>
      </c>
      <c r="T815" s="219">
        <f t="shared" si="25"/>
        <v>186.70000000000002</v>
      </c>
      <c r="U815" s="215">
        <f t="shared" si="25"/>
        <v>12400690</v>
      </c>
      <c r="V815" s="215">
        <f t="shared" si="25"/>
        <v>283996</v>
      </c>
      <c r="W815" s="215">
        <f t="shared" si="25"/>
        <v>0</v>
      </c>
      <c r="X815" s="215">
        <f t="shared" si="25"/>
        <v>0</v>
      </c>
      <c r="Y815" s="215">
        <f t="shared" si="25"/>
        <v>42808586</v>
      </c>
      <c r="Z815" s="215"/>
      <c r="AA815" s="215"/>
      <c r="AB815" s="215"/>
      <c r="AC815" s="215"/>
      <c r="AD815" s="215"/>
      <c r="AE815" s="215"/>
      <c r="AF815" s="215"/>
      <c r="AG815" s="215"/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15"/>
      <c r="AT815" s="215"/>
      <c r="AU815" s="215"/>
      <c r="AV815" s="215"/>
      <c r="AW815" s="215"/>
      <c r="AX815" s="215"/>
      <c r="AY815" s="215"/>
      <c r="AZ815" s="215"/>
      <c r="BA815" s="215"/>
      <c r="BB815" s="215"/>
      <c r="BC815" s="215"/>
      <c r="BD815" s="215"/>
      <c r="BE815" s="215"/>
      <c r="BF815" s="215"/>
      <c r="BG815" s="215"/>
      <c r="BH815" s="215"/>
      <c r="BI815" s="215"/>
      <c r="BJ815" s="215"/>
      <c r="BK815" s="215"/>
      <c r="BL815" s="215"/>
      <c r="BM815" s="215"/>
      <c r="BN815" s="215"/>
      <c r="BO815" s="215"/>
      <c r="BP815" s="215"/>
      <c r="BQ815" s="215"/>
      <c r="BR815" s="215"/>
      <c r="BS815" s="215"/>
      <c r="BT815" s="215"/>
      <c r="BU815" s="215"/>
      <c r="BV815" s="215"/>
      <c r="BW815" s="215"/>
      <c r="BX815" s="215"/>
      <c r="BY815" s="215"/>
      <c r="BZ815" s="215"/>
      <c r="CA815" s="215"/>
      <c r="CB815" s="215"/>
      <c r="CC815" s="215"/>
      <c r="CD815" s="215"/>
      <c r="CE815" s="215"/>
    </row>
    <row r="816" spans="1:83" ht="12.65" customHeight="1" x14ac:dyDescent="0.3">
      <c r="B816" s="215" t="s">
        <v>1005</v>
      </c>
      <c r="C816" s="219">
        <f>CE60</f>
        <v>766.06999999999994</v>
      </c>
      <c r="D816" s="215">
        <f>CE61</f>
        <v>73357192.25</v>
      </c>
      <c r="E816" s="215">
        <f>CE62</f>
        <v>13971563</v>
      </c>
      <c r="F816" s="215">
        <f>CE63</f>
        <v>12377772.310000001</v>
      </c>
      <c r="G816" s="215">
        <f>CE64</f>
        <v>34200152</v>
      </c>
      <c r="H816" s="218">
        <f>CE65</f>
        <v>2309697</v>
      </c>
      <c r="I816" s="218">
        <f>CE66</f>
        <v>16251996</v>
      </c>
      <c r="J816" s="218">
        <f>CE67</f>
        <v>5756294</v>
      </c>
      <c r="K816" s="218">
        <f>CE68</f>
        <v>-417432</v>
      </c>
      <c r="L816" s="218">
        <f>CE69</f>
        <v>14082300.640000001</v>
      </c>
      <c r="M816" s="218">
        <f>CE70</f>
        <v>1689480</v>
      </c>
      <c r="N816" s="215">
        <f>CE75</f>
        <v>601232886</v>
      </c>
      <c r="O816" s="215">
        <f>CE73</f>
        <v>215234725</v>
      </c>
      <c r="P816" s="215">
        <f>CE76</f>
        <v>493713</v>
      </c>
      <c r="Q816" s="215">
        <f>CE77</f>
        <v>56341</v>
      </c>
      <c r="R816" s="215">
        <f>CE78</f>
        <v>45342.95293773913</v>
      </c>
      <c r="S816" s="215">
        <f>CE79</f>
        <v>504499</v>
      </c>
      <c r="T816" s="219">
        <f>CE80</f>
        <v>186.70000250000001</v>
      </c>
      <c r="U816" s="215" t="s">
        <v>1006</v>
      </c>
      <c r="V816" s="215" t="s">
        <v>1006</v>
      </c>
      <c r="W816" s="215" t="s">
        <v>1006</v>
      </c>
      <c r="X816" s="215" t="s">
        <v>1006</v>
      </c>
      <c r="Y816" s="215">
        <f>M716</f>
        <v>42808584</v>
      </c>
      <c r="Z816" s="215"/>
      <c r="AA816" s="215"/>
      <c r="AB816" s="215"/>
      <c r="AC816" s="215"/>
      <c r="AD816" s="215"/>
      <c r="AE816" s="215"/>
      <c r="AF816" s="215"/>
      <c r="AG816" s="215"/>
      <c r="AH816" s="215"/>
      <c r="AI816" s="215"/>
      <c r="AJ816" s="215"/>
      <c r="AK816" s="215"/>
      <c r="AL816" s="215"/>
      <c r="AM816" s="215"/>
      <c r="AN816" s="215"/>
      <c r="AO816" s="215"/>
      <c r="AP816" s="215"/>
      <c r="AQ816" s="215"/>
      <c r="AR816" s="215"/>
      <c r="AS816" s="215"/>
      <c r="AT816" s="215"/>
      <c r="AU816" s="215"/>
      <c r="AV816" s="215"/>
      <c r="AW816" s="215"/>
      <c r="AX816" s="215"/>
      <c r="AY816" s="215"/>
      <c r="AZ816" s="215"/>
      <c r="BA816" s="215"/>
      <c r="BB816" s="215"/>
      <c r="BC816" s="215"/>
      <c r="BD816" s="215"/>
      <c r="BE816" s="215"/>
      <c r="BF816" s="215"/>
      <c r="BG816" s="215"/>
      <c r="BH816" s="215"/>
      <c r="BI816" s="215"/>
      <c r="BJ816" s="215"/>
      <c r="BK816" s="215"/>
      <c r="BL816" s="215"/>
      <c r="BM816" s="215"/>
      <c r="BN816" s="215"/>
      <c r="BO816" s="215"/>
      <c r="BP816" s="215"/>
      <c r="BQ816" s="215"/>
      <c r="BR816" s="215"/>
      <c r="BS816" s="215"/>
      <c r="BT816" s="215"/>
      <c r="BU816" s="215"/>
      <c r="BV816" s="215"/>
      <c r="BW816" s="215"/>
      <c r="BX816" s="215"/>
      <c r="BY816" s="215"/>
      <c r="BZ816" s="215"/>
      <c r="CA816" s="215"/>
      <c r="CB816" s="215"/>
      <c r="CC816" s="215"/>
      <c r="CD816" s="215"/>
      <c r="CE816" s="215"/>
    </row>
    <row r="817" spans="2:15" ht="12.65" customHeight="1" x14ac:dyDescent="0.3">
      <c r="B817" s="1" t="s">
        <v>471</v>
      </c>
      <c r="C817" s="150" t="s">
        <v>1007</v>
      </c>
      <c r="D817" s="1">
        <f>C378</f>
        <v>73357192</v>
      </c>
      <c r="E817" s="1">
        <f>C379</f>
        <v>13971563</v>
      </c>
      <c r="F817" s="1">
        <f>C380</f>
        <v>12377772</v>
      </c>
      <c r="G817" s="185">
        <f>C381</f>
        <v>34200152</v>
      </c>
      <c r="H817" s="185">
        <f>C382</f>
        <v>2309697</v>
      </c>
      <c r="I817" s="185">
        <f>C383</f>
        <v>16251996</v>
      </c>
      <c r="J817" s="185">
        <f>C384</f>
        <v>5756291</v>
      </c>
      <c r="K817" s="185">
        <f>C385</f>
        <v>-417432.38</v>
      </c>
      <c r="L817" s="185">
        <f>C386+C387+C388+C389</f>
        <v>14082301</v>
      </c>
      <c r="M817" s="185">
        <f>C370</f>
        <v>1689480</v>
      </c>
      <c r="N817" s="1">
        <f>D361</f>
        <v>601232886</v>
      </c>
      <c r="O817" s="1">
        <f>C359</f>
        <v>215234725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85" fitToWidth="3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G31" transitionEvaluation="1" transitionEntry="1" codeName="Sheet10">
    <pageSetUpPr autoPageBreaks="0" fitToPage="1"/>
  </sheetPr>
  <dimension ref="A1:CF816"/>
  <sheetViews>
    <sheetView showGridLines="0" topLeftCell="BG31" zoomScale="90" zoomScaleNormal="90" workbookViewId="0">
      <selection activeCell="CE80" sqref="CE80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3" ht="12.75" customHeight="1" x14ac:dyDescent="0.3">
      <c r="A1" s="149" t="s">
        <v>1231</v>
      </c>
    </row>
    <row r="2" spans="1:3" ht="12.75" customHeight="1" x14ac:dyDescent="0.3">
      <c r="A2" s="1" t="s">
        <v>1232</v>
      </c>
      <c r="C2" s="180"/>
    </row>
    <row r="3" spans="1:3" ht="12.75" customHeight="1" x14ac:dyDescent="0.3">
      <c r="A3" s="150"/>
      <c r="C3" s="180"/>
    </row>
    <row r="4" spans="1:3" ht="12.75" customHeight="1" x14ac:dyDescent="0.3">
      <c r="C4" s="180"/>
    </row>
    <row r="5" spans="1:3" ht="12.75" customHeight="1" x14ac:dyDescent="0.3">
      <c r="A5" s="150" t="s">
        <v>1258</v>
      </c>
      <c r="C5" s="180"/>
    </row>
    <row r="6" spans="1:3" ht="12.75" customHeight="1" x14ac:dyDescent="0.3">
      <c r="A6" s="150" t="s">
        <v>0</v>
      </c>
      <c r="C6" s="180"/>
    </row>
    <row r="7" spans="1:3" ht="12.75" customHeight="1" x14ac:dyDescent="0.3">
      <c r="A7" s="150" t="s">
        <v>1</v>
      </c>
      <c r="C7" s="180"/>
    </row>
    <row r="8" spans="1:3" ht="12.75" customHeight="1" x14ac:dyDescent="0.3">
      <c r="C8" s="180"/>
    </row>
    <row r="9" spans="1:3" ht="12.75" customHeight="1" x14ac:dyDescent="0.3">
      <c r="C9" s="180"/>
    </row>
    <row r="10" spans="1:3" ht="12.75" customHeight="1" x14ac:dyDescent="0.3">
      <c r="A10" s="149" t="s">
        <v>1228</v>
      </c>
      <c r="C10" s="180"/>
    </row>
    <row r="11" spans="1:3" ht="12.75" customHeight="1" x14ac:dyDescent="0.3">
      <c r="A11" s="149" t="s">
        <v>1230</v>
      </c>
      <c r="C11" s="180"/>
    </row>
    <row r="12" spans="1:3" ht="12.75" customHeight="1" x14ac:dyDescent="0.3">
      <c r="C12" s="180"/>
    </row>
    <row r="13" spans="1:3" ht="12.75" customHeight="1" x14ac:dyDescent="0.3">
      <c r="C13" s="180"/>
    </row>
    <row r="14" spans="1:3" ht="12.75" customHeight="1" x14ac:dyDescent="0.3">
      <c r="A14" s="150" t="s">
        <v>2</v>
      </c>
      <c r="C14" s="180"/>
    </row>
    <row r="15" spans="1:3" ht="12.75" customHeight="1" x14ac:dyDescent="0.3">
      <c r="A15" s="150"/>
      <c r="C15" s="180"/>
    </row>
    <row r="16" spans="1:3" ht="12.75" customHeight="1" x14ac:dyDescent="0.3">
      <c r="A16" s="229" t="s">
        <v>1265</v>
      </c>
      <c r="C16" s="180"/>
    </row>
    <row r="17" spans="1:7" ht="12.75" customHeight="1" x14ac:dyDescent="0.3">
      <c r="A17" s="229" t="s">
        <v>1264</v>
      </c>
      <c r="C17" s="224"/>
      <c r="F17" s="181"/>
    </row>
    <row r="18" spans="1:7" ht="12.75" customHeight="1" x14ac:dyDescent="0.3">
      <c r="A18" s="227"/>
      <c r="C18" s="180"/>
    </row>
    <row r="19" spans="1:7" ht="12.75" customHeight="1" x14ac:dyDescent="0.3">
      <c r="C19" s="180"/>
    </row>
    <row r="20" spans="1:7" ht="12.75" customHeight="1" x14ac:dyDescent="0.3">
      <c r="A20" s="211" t="s">
        <v>1233</v>
      </c>
      <c r="B20" s="211"/>
      <c r="C20" s="225"/>
      <c r="D20" s="211"/>
      <c r="E20" s="211"/>
      <c r="F20" s="211"/>
      <c r="G20" s="211"/>
    </row>
    <row r="21" spans="1:7" ht="22.5" customHeight="1" x14ac:dyDescent="0.3">
      <c r="A21" s="150"/>
      <c r="C21" s="180"/>
    </row>
    <row r="22" spans="1:7" ht="12.65" customHeight="1" x14ac:dyDescent="0.3">
      <c r="A22" s="211" t="s">
        <v>1253</v>
      </c>
      <c r="B22" s="228"/>
      <c r="C22" s="225"/>
      <c r="D22" s="211"/>
      <c r="E22" s="211"/>
      <c r="F22" s="211"/>
    </row>
    <row r="23" spans="1:7" ht="12.65" customHeight="1" x14ac:dyDescent="0.3">
      <c r="B23" s="150"/>
      <c r="C23" s="180"/>
    </row>
    <row r="24" spans="1:7" ht="12.65" customHeight="1" x14ac:dyDescent="0.3">
      <c r="A24" s="185" t="s">
        <v>3</v>
      </c>
      <c r="C24" s="180"/>
    </row>
    <row r="25" spans="1:7" ht="12.65" customHeight="1" x14ac:dyDescent="0.3">
      <c r="A25" s="149" t="s">
        <v>1234</v>
      </c>
      <c r="C25" s="180"/>
    </row>
    <row r="26" spans="1:7" ht="12.65" customHeight="1" x14ac:dyDescent="0.3">
      <c r="A26" s="150" t="s">
        <v>4</v>
      </c>
      <c r="C26" s="180"/>
    </row>
    <row r="27" spans="1:7" ht="12.65" customHeight="1" x14ac:dyDescent="0.3">
      <c r="A27" s="149" t="s">
        <v>1235</v>
      </c>
      <c r="C27" s="180"/>
    </row>
    <row r="28" spans="1:7" ht="12.65" customHeight="1" x14ac:dyDescent="0.3">
      <c r="A28" s="150" t="s">
        <v>5</v>
      </c>
      <c r="C28" s="180"/>
    </row>
    <row r="29" spans="1:7" ht="12.65" customHeight="1" x14ac:dyDescent="0.3">
      <c r="A29" s="149"/>
      <c r="C29" s="180"/>
    </row>
    <row r="30" spans="1:7" ht="12.65" customHeight="1" x14ac:dyDescent="0.3">
      <c r="A30" s="1" t="s">
        <v>6</v>
      </c>
      <c r="C30" s="180"/>
    </row>
    <row r="31" spans="1:7" ht="12.65" customHeight="1" x14ac:dyDescent="0.3">
      <c r="A31" s="150" t="s">
        <v>7</v>
      </c>
      <c r="C31" s="180"/>
    </row>
    <row r="32" spans="1:7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>
        <v>13412128</v>
      </c>
      <c r="C48" s="132">
        <f>ROUND(((B48/CE61)*C61),0)</f>
        <v>604938</v>
      </c>
      <c r="D48" s="132">
        <f>ROUND(((B48/CE61)*D61),0)</f>
        <v>0</v>
      </c>
      <c r="E48" s="129">
        <f>ROUND(((B48/CE61)*E61),0)</f>
        <v>959033</v>
      </c>
      <c r="F48" s="129">
        <f>ROUND(((B48/CE61)*F61),0)</f>
        <v>782948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235969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270994</v>
      </c>
      <c r="Q48" s="129">
        <f>ROUND(((B48/CE61)*Q61),0)</f>
        <v>98759</v>
      </c>
      <c r="R48" s="129">
        <f>ROUND(((B48/CE61)*R61),0)</f>
        <v>22463</v>
      </c>
      <c r="S48" s="129">
        <f>ROUND(((B48/CE61)*S61),0)</f>
        <v>65886</v>
      </c>
      <c r="T48" s="129">
        <f>ROUND(((B48/CE61)*T61),0)</f>
        <v>0</v>
      </c>
      <c r="U48" s="129">
        <f>ROUND(((B48/CE61)*U61),0)</f>
        <v>262701</v>
      </c>
      <c r="V48" s="129">
        <f>ROUND(((B48/CE61)*V61),0)</f>
        <v>7332</v>
      </c>
      <c r="W48" s="129">
        <f>ROUND(((B48/CE61)*W61),0)</f>
        <v>55978</v>
      </c>
      <c r="X48" s="129">
        <f>ROUND(((B48/CE61)*X61),0)</f>
        <v>87667</v>
      </c>
      <c r="Y48" s="129">
        <f>ROUND(((B48/CE61)*Y61),0)</f>
        <v>509393</v>
      </c>
      <c r="Z48" s="129">
        <f>ROUND(((B48/CE61)*Z61),0)</f>
        <v>0</v>
      </c>
      <c r="AA48" s="129">
        <f>ROUND(((B48/CE61)*AA61),0)</f>
        <v>55098</v>
      </c>
      <c r="AB48" s="129">
        <f>ROUND(((B48/CE61)*AB61),0)</f>
        <v>296451</v>
      </c>
      <c r="AC48" s="129">
        <f>ROUND(((B48/CE61)*AC61),0)</f>
        <v>239496</v>
      </c>
      <c r="AD48" s="129">
        <f>ROUND(((B48/CE61)*AD61),0)</f>
        <v>0</v>
      </c>
      <c r="AE48" s="129">
        <f>ROUND(((B48/CE61)*AE61),0)</f>
        <v>153535</v>
      </c>
      <c r="AF48" s="129">
        <f>ROUND(((B48/CE61)*AF61),0)</f>
        <v>0</v>
      </c>
      <c r="AG48" s="129">
        <f>ROUND(((B48/CE61)*AG61),0)</f>
        <v>1117884</v>
      </c>
      <c r="AH48" s="129">
        <f>ROUND(((B48/CE61)*AH61),0)</f>
        <v>0</v>
      </c>
      <c r="AI48" s="129">
        <f>ROUND(((B48/CE61)*AI61),0)</f>
        <v>348906</v>
      </c>
      <c r="AJ48" s="129">
        <f>ROUND(((B48/CE61)*AJ61),0)</f>
        <v>128020</v>
      </c>
      <c r="AK48" s="129">
        <f>ROUND(((B48/CE61)*AK61),0)</f>
        <v>0</v>
      </c>
      <c r="AL48" s="129">
        <f>ROUND(((B48/CE61)*AL61),0)</f>
        <v>20128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4457315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342826</v>
      </c>
      <c r="AX48" s="129">
        <f>ROUND(((B48/CE61)*AX61),0)</f>
        <v>0</v>
      </c>
      <c r="AY48" s="129">
        <f>ROUND(((B48/CE61)*AY61),0)</f>
        <v>160016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74240</v>
      </c>
      <c r="BE48" s="129">
        <f>ROUND(((B48/CE61)*BE61),0)</f>
        <v>116198</v>
      </c>
      <c r="BF48" s="129">
        <f>ROUND(((B48/CE61)*BF61),0)</f>
        <v>282845</v>
      </c>
      <c r="BG48" s="129">
        <f>ROUND(((B48/CE61)*BG61),0)</f>
        <v>0</v>
      </c>
      <c r="BH48" s="129">
        <f>ROUND(((B48/CE61)*BH61),0)</f>
        <v>226648</v>
      </c>
      <c r="BI48" s="129">
        <f>ROUND(((B48/CE61)*BI61),0)</f>
        <v>0</v>
      </c>
      <c r="BJ48" s="129">
        <f>ROUND(((B48/CE61)*BJ61),0)</f>
        <v>91101</v>
      </c>
      <c r="BK48" s="129">
        <f>ROUND(((B48/CE61)*BK61),0)</f>
        <v>134873</v>
      </c>
      <c r="BL48" s="129">
        <f>ROUND(((B48/CE61)*BL61),0)</f>
        <v>153163</v>
      </c>
      <c r="BM48" s="129">
        <f>ROUND(((B48/CE61)*BM61),0)</f>
        <v>0</v>
      </c>
      <c r="BN48" s="129">
        <f>ROUND(((B48/CE61)*BN61),0)</f>
        <v>321705</v>
      </c>
      <c r="BO48" s="129">
        <f>ROUND(((B48/CE61)*BO61),0)</f>
        <v>5793</v>
      </c>
      <c r="BP48" s="129">
        <f>ROUND(((B48/CE61)*BP61),0)</f>
        <v>17434</v>
      </c>
      <c r="BQ48" s="129">
        <f>ROUND(((B48/CE61)*BQ61),0)</f>
        <v>0</v>
      </c>
      <c r="BR48" s="129">
        <f>ROUND(((B48/CE61)*BR61),0)</f>
        <v>78447</v>
      </c>
      <c r="BS48" s="129">
        <f>ROUND(((B48/CE61)*BS61),0)</f>
        <v>54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63839</v>
      </c>
      <c r="BW48" s="129">
        <f>ROUND(((B48/CE61)*BW61),0)</f>
        <v>21829</v>
      </c>
      <c r="BX48" s="129">
        <f>ROUND(((B48/CE61)*BX61),0)</f>
        <v>192963</v>
      </c>
      <c r="BY48" s="129">
        <f>ROUND(((B48/CE61)*BY61),0)</f>
        <v>162223</v>
      </c>
      <c r="BZ48" s="129">
        <f>ROUND(((B48/CE61)*BZ61),0)</f>
        <v>0</v>
      </c>
      <c r="CA48" s="129">
        <f>ROUND(((B48/CE61)*CA61),0)</f>
        <v>30558</v>
      </c>
      <c r="CB48" s="129">
        <f>ROUND(((B48/CE61)*CB61),0)</f>
        <v>0</v>
      </c>
      <c r="CC48" s="129">
        <f>ROUND(((B48/CE61)*CC61),0)</f>
        <v>154477</v>
      </c>
      <c r="CD48" s="129"/>
      <c r="CE48" s="129">
        <f>SUM(C48:CD48)</f>
        <v>13412126</v>
      </c>
    </row>
    <row r="49" spans="1:83" ht="12.65" customHeight="1" x14ac:dyDescent="0.3">
      <c r="A49" s="129" t="s">
        <v>206</v>
      </c>
      <c r="B49" s="129">
        <f>B47+B48</f>
        <v>13412128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8545162</v>
      </c>
      <c r="C52" s="129">
        <f>ROUND((B52/(CE76+CF76)*C76),0)</f>
        <v>135901</v>
      </c>
      <c r="D52" s="129">
        <f>ROUND((B52/(CE76+CF76)*D76),0)</f>
        <v>0</v>
      </c>
      <c r="E52" s="129">
        <f>ROUND((B52/(CE76+CF76)*E76),0)</f>
        <v>459474</v>
      </c>
      <c r="F52" s="129">
        <f>ROUND((B52/(CE76+CF76)*F76),0)</f>
        <v>217950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55899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359431</v>
      </c>
      <c r="Q52" s="129">
        <f>ROUND((B52/(CE76+CF76)*Q76),0)</f>
        <v>55470</v>
      </c>
      <c r="R52" s="129">
        <f>ROUND((B52/(CE76+CF76)*R76),0)</f>
        <v>9113</v>
      </c>
      <c r="S52" s="129">
        <f>ROUND((B52/(CE76+CF76)*S76),0)</f>
        <v>80316</v>
      </c>
      <c r="T52" s="129">
        <f>ROUND((B52/(CE76+CF76)*T76),0)</f>
        <v>0</v>
      </c>
      <c r="U52" s="129">
        <f>ROUND((B52/(CE76+CF76)*U76),0)</f>
        <v>217405</v>
      </c>
      <c r="V52" s="129">
        <f>ROUND((B52/(CE76+CF76)*V76),0)</f>
        <v>2476</v>
      </c>
      <c r="W52" s="129">
        <f>ROUND((B52/(CE76+CF76)*W76),0)</f>
        <v>91789</v>
      </c>
      <c r="X52" s="129">
        <f>ROUND((B52/(CE76+CF76)*X76),0)</f>
        <v>52333</v>
      </c>
      <c r="Y52" s="129">
        <f>ROUND((B52/(CE76+CF76)*Y76),0)</f>
        <v>313668</v>
      </c>
      <c r="Z52" s="129">
        <f>ROUND((B52/(CE76+CF76)*Z76),0)</f>
        <v>0</v>
      </c>
      <c r="AA52" s="129">
        <f>ROUND((B52/(CE76+CF76)*AA76),0)</f>
        <v>70113</v>
      </c>
      <c r="AB52" s="129">
        <f>ROUND((B52/(CE76+CF76)*AB76),0)</f>
        <v>92334</v>
      </c>
      <c r="AC52" s="129">
        <f>ROUND((B52/(CE76+CF76)*AC76),0)</f>
        <v>66976</v>
      </c>
      <c r="AD52" s="129">
        <f>ROUND((B52/(CE76+CF76)*AD76),0)</f>
        <v>0</v>
      </c>
      <c r="AE52" s="129">
        <f>ROUND((B52/(CE76+CF76)*AE76),0)</f>
        <v>134597</v>
      </c>
      <c r="AF52" s="129">
        <f>ROUND((B52/(CE76+CF76)*AF76),0)</f>
        <v>0</v>
      </c>
      <c r="AG52" s="129">
        <f>ROUND((B52/(CE76+CF76)*AG76),0)</f>
        <v>206559</v>
      </c>
      <c r="AH52" s="129">
        <f>ROUND((B52/(CE76+CF76)*AH76),0)</f>
        <v>0</v>
      </c>
      <c r="AI52" s="129">
        <f>ROUND((B52/(CE76+CF76)*AI76),0)</f>
        <v>417806</v>
      </c>
      <c r="AJ52" s="129">
        <f>ROUND((B52/(CE76+CF76)*AJ76),0)</f>
        <v>135207</v>
      </c>
      <c r="AK52" s="129">
        <f>ROUND((B52/(CE76+CF76)*AK76),0)</f>
        <v>0</v>
      </c>
      <c r="AL52" s="129">
        <f>ROUND((B52/(CE76+CF76)*AL76),0)</f>
        <v>3302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1695987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23030</v>
      </c>
      <c r="AX52" s="129">
        <f>ROUND((B52/(CE76+CF76)*AX76),0)</f>
        <v>0</v>
      </c>
      <c r="AY52" s="129">
        <f>ROUND((B52/(CE76+CF76)*AY76),0)</f>
        <v>171676</v>
      </c>
      <c r="AZ52" s="129">
        <f>ROUND((B52/(CE76+CF76)*AZ76),0)</f>
        <v>0</v>
      </c>
      <c r="BA52" s="129">
        <f>ROUND((B52/(CE76+CF76)*BA76),0)</f>
        <v>28230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239857</v>
      </c>
      <c r="BE52" s="129">
        <f>ROUND((B52/(CE76+CF76)*BE76),0)</f>
        <v>724210</v>
      </c>
      <c r="BF52" s="129">
        <f>ROUND((B52/(CE76+CF76)*BF76),0)</f>
        <v>48965</v>
      </c>
      <c r="BG52" s="129">
        <f>ROUND((B52/(CE76+CF76)*BG76),0)</f>
        <v>23674</v>
      </c>
      <c r="BH52" s="129">
        <f>ROUND((B52/(CE76+CF76)*BH76),0)</f>
        <v>146896</v>
      </c>
      <c r="BI52" s="129">
        <f>ROUND((B52/(CE76+CF76)*BI76),0)</f>
        <v>0</v>
      </c>
      <c r="BJ52" s="129">
        <f>ROUND((B52/(CE76+CF76)*BJ76),0)</f>
        <v>10599</v>
      </c>
      <c r="BK52" s="129">
        <f>ROUND((B52/(CE76+CF76)*BK76),0)</f>
        <v>67884</v>
      </c>
      <c r="BL52" s="129">
        <f>ROUND((B52/(CE76+CF76)*BL76),0)</f>
        <v>96676</v>
      </c>
      <c r="BM52" s="129">
        <f>ROUND((B52/(CE76+CF76)*BM76),0)</f>
        <v>0</v>
      </c>
      <c r="BN52" s="129">
        <f>ROUND((B52/(CE76+CF76)*BN76),0)</f>
        <v>28247</v>
      </c>
      <c r="BO52" s="129">
        <f>ROUND((B52/(CE76+CF76)*BO76),0)</f>
        <v>4078</v>
      </c>
      <c r="BP52" s="129">
        <f>ROUND((B52/(CE76+CF76)*BP76),0)</f>
        <v>4292</v>
      </c>
      <c r="BQ52" s="129">
        <f>ROUND((B52/(CE76+CF76)*BQ76),0)</f>
        <v>0</v>
      </c>
      <c r="BR52" s="129">
        <f>ROUND((B52/(CE76+CF76)*BR76),0)</f>
        <v>31037</v>
      </c>
      <c r="BS52" s="129">
        <f>ROUND((B52/(CE76+CF76)*BS76),0)</f>
        <v>36204</v>
      </c>
      <c r="BT52" s="129">
        <f>ROUND((B52/(CE76+CF76)*BT76),0)</f>
        <v>14247</v>
      </c>
      <c r="BU52" s="129">
        <f>ROUND((B52/(CE76+CF76)*BU76),0)</f>
        <v>0</v>
      </c>
      <c r="BV52" s="129">
        <f>ROUND((B52/(CE76+CF76)*BV76),0)</f>
        <v>11688</v>
      </c>
      <c r="BW52" s="129">
        <f>ROUND((B52/(CE76+CF76)*BW76),0)</f>
        <v>135653</v>
      </c>
      <c r="BX52" s="129">
        <f>ROUND((B52/(CE76+CF76)*BX76),0)</f>
        <v>8783</v>
      </c>
      <c r="BY52" s="129">
        <f>ROUND((B52/(CE76+CF76)*BY76),0)</f>
        <v>14577</v>
      </c>
      <c r="BZ52" s="129">
        <f>ROUND((B52/(CE76+CF76)*BZ76),0)</f>
        <v>0</v>
      </c>
      <c r="CA52" s="129">
        <f>ROUND((B52/(CE76+CF76)*CA76),0)</f>
        <v>4160</v>
      </c>
      <c r="CB52" s="129">
        <f>ROUND((B52/(CE76+CF76)*CB76),0)</f>
        <v>5101</v>
      </c>
      <c r="CC52" s="129">
        <f>ROUND((B52/(CE76+CF76)*CC76),0)</f>
        <v>1791293</v>
      </c>
      <c r="CD52" s="129"/>
      <c r="CE52" s="129">
        <f>SUM(C52:CD52)</f>
        <v>8545163</v>
      </c>
    </row>
    <row r="53" spans="1:83" ht="12.65" customHeight="1" x14ac:dyDescent="0.3">
      <c r="A53" s="129" t="s">
        <v>206</v>
      </c>
      <c r="B53" s="129">
        <f>B51+B52</f>
        <v>8545162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4094</v>
      </c>
      <c r="D59" s="137"/>
      <c r="E59" s="137">
        <f>8085+3831</f>
        <v>11916</v>
      </c>
      <c r="F59" s="137">
        <v>2915</v>
      </c>
      <c r="G59" s="137"/>
      <c r="H59" s="137"/>
      <c r="I59" s="137"/>
      <c r="J59" s="137">
        <v>3513</v>
      </c>
      <c r="K59" s="137"/>
      <c r="L59" s="137"/>
      <c r="M59" s="137"/>
      <c r="N59" s="137"/>
      <c r="O59" s="137"/>
      <c r="P59" s="138">
        <v>250834</v>
      </c>
      <c r="Q59" s="138">
        <v>125744</v>
      </c>
      <c r="R59" s="138"/>
      <c r="S59" s="192"/>
      <c r="T59" s="192"/>
      <c r="U59" s="172">
        <v>334281</v>
      </c>
      <c r="V59" s="138">
        <v>407</v>
      </c>
      <c r="W59" s="138">
        <v>2269</v>
      </c>
      <c r="X59" s="138">
        <v>11097</v>
      </c>
      <c r="Y59" s="138">
        <f>27045+17575</f>
        <v>44620</v>
      </c>
      <c r="Z59" s="138">
        <v>729652</v>
      </c>
      <c r="AA59" s="138">
        <v>1002</v>
      </c>
      <c r="AB59" s="192"/>
      <c r="AC59" s="138">
        <v>59135</v>
      </c>
      <c r="AD59" s="138"/>
      <c r="AE59" s="138">
        <v>23438</v>
      </c>
      <c r="AF59" s="138"/>
      <c r="AG59" s="138">
        <f>20760+2250</f>
        <v>23010</v>
      </c>
      <c r="AH59" s="138"/>
      <c r="AI59" s="138">
        <f>13001+18248</f>
        <v>31249</v>
      </c>
      <c r="AJ59" s="138">
        <f>3444+195+2485</f>
        <v>6124</v>
      </c>
      <c r="AK59" s="138"/>
      <c r="AL59" s="138"/>
      <c r="AM59" s="138"/>
      <c r="AN59" s="138"/>
      <c r="AO59" s="138"/>
      <c r="AP59" s="138">
        <f>688+4188+1131</f>
        <v>6007</v>
      </c>
      <c r="AQ59" s="138"/>
      <c r="AR59" s="138"/>
      <c r="AS59" s="138"/>
      <c r="AT59" s="138"/>
      <c r="AU59" s="138"/>
      <c r="AV59" s="192"/>
      <c r="AW59" s="192"/>
      <c r="AX59" s="192"/>
      <c r="AY59" s="138">
        <v>271970</v>
      </c>
      <c r="AZ59" s="138"/>
      <c r="BA59" s="192"/>
      <c r="BB59" s="192"/>
      <c r="BC59" s="192"/>
      <c r="BD59" s="192"/>
      <c r="BE59" s="138">
        <v>517611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232">
        <v>38.869999999999997</v>
      </c>
      <c r="D60" s="140"/>
      <c r="E60" s="140">
        <v>68.62</v>
      </c>
      <c r="F60" s="171">
        <v>48.31</v>
      </c>
      <c r="G60" s="140"/>
      <c r="H60" s="140"/>
      <c r="I60" s="140"/>
      <c r="J60" s="171">
        <v>12.7</v>
      </c>
      <c r="K60" s="140"/>
      <c r="L60" s="140"/>
      <c r="M60" s="140"/>
      <c r="N60" s="140"/>
      <c r="O60" s="140"/>
      <c r="P60" s="169">
        <v>18.420000000000002</v>
      </c>
      <c r="Q60" s="169">
        <v>4.43</v>
      </c>
      <c r="R60" s="169">
        <v>1.61</v>
      </c>
      <c r="S60" s="169">
        <v>8.1300000000000008</v>
      </c>
      <c r="T60" s="169"/>
      <c r="U60" s="169">
        <f>19.24+3+1.41</f>
        <v>23.65</v>
      </c>
      <c r="V60" s="169">
        <v>0.59</v>
      </c>
      <c r="W60" s="169">
        <f>2.08+0.51</f>
        <v>2.59</v>
      </c>
      <c r="X60" s="169">
        <f>4.7+0.91</f>
        <v>5.61</v>
      </c>
      <c r="Y60" s="169">
        <f>12.98+0.03+6.49+5.36+1.71+1.93+3.05</f>
        <v>31.55</v>
      </c>
      <c r="Z60" s="169"/>
      <c r="AA60" s="169">
        <f>2.26+0.5</f>
        <v>2.76</v>
      </c>
      <c r="AB60" s="169">
        <v>14.7</v>
      </c>
      <c r="AC60" s="169">
        <v>17.48</v>
      </c>
      <c r="AD60" s="169"/>
      <c r="AE60" s="169">
        <f>7.42+0.96</f>
        <v>8.379999999999999</v>
      </c>
      <c r="AF60" s="169"/>
      <c r="AG60" s="169">
        <f>29.34+5.64+2.17+1.02+1.02</f>
        <v>39.190000000000005</v>
      </c>
      <c r="AH60" s="169"/>
      <c r="AI60" s="169">
        <f>15.98+6.28</f>
        <v>22.26</v>
      </c>
      <c r="AJ60" s="169">
        <f>0.37+5.39+3</f>
        <v>8.76</v>
      </c>
      <c r="AK60" s="169"/>
      <c r="AL60" s="169">
        <v>1.05</v>
      </c>
      <c r="AM60" s="169"/>
      <c r="AN60" s="169"/>
      <c r="AO60" s="169"/>
      <c r="AP60" s="169">
        <f>3.08+6.72+24.32+13.24+18.11+30.61+29.59+11.21+10.03+28.36+5.97+2.24</f>
        <v>183.48</v>
      </c>
      <c r="AQ60" s="169"/>
      <c r="AR60" s="169"/>
      <c r="AS60" s="169"/>
      <c r="AT60" s="169"/>
      <c r="AU60" s="169"/>
      <c r="AV60" s="169"/>
      <c r="AW60" s="169">
        <v>26.41</v>
      </c>
      <c r="AX60" s="169"/>
      <c r="AY60" s="169">
        <v>25.24</v>
      </c>
      <c r="AZ60" s="169"/>
      <c r="BA60" s="169"/>
      <c r="BB60" s="169"/>
      <c r="BC60" s="169"/>
      <c r="BD60" s="169">
        <v>7.65</v>
      </c>
      <c r="BE60" s="169">
        <v>9.06</v>
      </c>
      <c r="BF60" s="169">
        <v>40.729999999999997</v>
      </c>
      <c r="BG60" s="169"/>
      <c r="BH60" s="169">
        <v>14.61</v>
      </c>
      <c r="BI60" s="169"/>
      <c r="BJ60" s="169">
        <v>6.13</v>
      </c>
      <c r="BK60" s="169">
        <f>13.81+2.04</f>
        <v>15.850000000000001</v>
      </c>
      <c r="BL60" s="169">
        <f>18.02+2.52</f>
        <v>20.54</v>
      </c>
      <c r="BM60" s="169"/>
      <c r="BN60" s="169">
        <v>6.76</v>
      </c>
      <c r="BO60" s="169">
        <v>0.38</v>
      </c>
      <c r="BP60" s="169">
        <v>1</v>
      </c>
      <c r="BQ60" s="169"/>
      <c r="BR60" s="169">
        <f>6.01+1.05</f>
        <v>7.06</v>
      </c>
      <c r="BS60" s="169"/>
      <c r="BT60" s="169"/>
      <c r="BU60" s="169"/>
      <c r="BV60" s="169">
        <v>3.7</v>
      </c>
      <c r="BW60" s="169">
        <v>2.0099999999999998</v>
      </c>
      <c r="BX60" s="169">
        <f>4.67+0.01+7.37</f>
        <v>12.05</v>
      </c>
      <c r="BY60" s="169">
        <f>7.15+0.51</f>
        <v>7.66</v>
      </c>
      <c r="BZ60" s="169"/>
      <c r="CA60" s="169">
        <v>2.11</v>
      </c>
      <c r="CB60" s="169"/>
      <c r="CC60" s="169">
        <v>9.5299999999999994</v>
      </c>
      <c r="CD60" s="191" t="s">
        <v>221</v>
      </c>
      <c r="CE60" s="194">
        <f t="shared" ref="CE60:CE70" si="0">SUM(C60:CD60)</f>
        <v>781.61999999999978</v>
      </c>
    </row>
    <row r="61" spans="1:83" ht="12.65" customHeight="1" x14ac:dyDescent="0.3">
      <c r="A61" s="127" t="s">
        <v>235</v>
      </c>
      <c r="B61" s="129"/>
      <c r="C61" s="137">
        <f>2940722+227582.37+28388.43</f>
        <v>3196692.8000000003</v>
      </c>
      <c r="D61" s="137"/>
      <c r="E61" s="137">
        <f>3040785.2+2027062.02</f>
        <v>5067847.2200000007</v>
      </c>
      <c r="F61" s="138">
        <v>4137358.65</v>
      </c>
      <c r="G61" s="137"/>
      <c r="H61" s="137"/>
      <c r="I61" s="138"/>
      <c r="J61" s="138">
        <v>1246937.32</v>
      </c>
      <c r="K61" s="138"/>
      <c r="L61" s="138"/>
      <c r="M61" s="137"/>
      <c r="N61" s="137"/>
      <c r="O61" s="137"/>
      <c r="P61" s="138">
        <v>1432023.34</v>
      </c>
      <c r="Q61" s="138">
        <v>521875.44</v>
      </c>
      <c r="R61" s="138">
        <v>118699.69</v>
      </c>
      <c r="S61" s="138">
        <v>348165.36</v>
      </c>
      <c r="T61" s="138"/>
      <c r="U61" s="138">
        <f>1134565.88+207358.4+46273.81</f>
        <v>1388198.0899999999</v>
      </c>
      <c r="V61" s="138">
        <v>38746.449999999997</v>
      </c>
      <c r="W61" s="138">
        <f>247428.83+48379.76</f>
        <v>295808.58999999997</v>
      </c>
      <c r="X61" s="138">
        <f>394247.97+69015.71</f>
        <v>463263.68</v>
      </c>
      <c r="Y61" s="138">
        <f>918093.02+346.66+687303.68+578097.92+140899.74+187492.62+179568.58</f>
        <v>2691802.2200000007</v>
      </c>
      <c r="Z61" s="138"/>
      <c r="AA61" s="138">
        <f>245028.05+46127.7</f>
        <v>291155.75</v>
      </c>
      <c r="AB61" s="138">
        <v>1566547.5</v>
      </c>
      <c r="AC61" s="138">
        <v>1265575</v>
      </c>
      <c r="AD61" s="138"/>
      <c r="AE61" s="138">
        <f>723942.69+87388.37</f>
        <v>811331.05999999994</v>
      </c>
      <c r="AF61" s="138"/>
      <c r="AG61" s="138">
        <f>2758053.61+1899038.17+695963.33+449365.55+104847.56</f>
        <v>5907268.2199999988</v>
      </c>
      <c r="AH61" s="138"/>
      <c r="AI61" s="138">
        <f>1367212.97+476520.37</f>
        <v>1843733.3399999999</v>
      </c>
      <c r="AJ61" s="138">
        <f>14633.5+459007.66+202859.05</f>
        <v>676500.21</v>
      </c>
      <c r="AK61" s="138"/>
      <c r="AL61" s="138">
        <v>106364.2</v>
      </c>
      <c r="AM61" s="138"/>
      <c r="AN61" s="138"/>
      <c r="AO61" s="138"/>
      <c r="AP61" s="138">
        <v>23553928.129999999</v>
      </c>
      <c r="AQ61" s="138"/>
      <c r="AR61" s="138"/>
      <c r="AS61" s="138"/>
      <c r="AT61" s="138"/>
      <c r="AU61" s="138"/>
      <c r="AV61" s="138"/>
      <c r="AW61" s="138">
        <v>1811605.84</v>
      </c>
      <c r="AX61" s="138"/>
      <c r="AY61" s="138">
        <v>845577.72</v>
      </c>
      <c r="AZ61" s="138"/>
      <c r="BA61" s="138"/>
      <c r="BB61" s="138"/>
      <c r="BC61" s="138"/>
      <c r="BD61" s="138">
        <v>392308.56</v>
      </c>
      <c r="BE61" s="138">
        <v>614028.46</v>
      </c>
      <c r="BF61" s="138">
        <v>1494648.79</v>
      </c>
      <c r="BG61" s="138"/>
      <c r="BH61" s="138">
        <v>1197682.32</v>
      </c>
      <c r="BI61" s="138"/>
      <c r="BJ61" s="138">
        <v>481405.92</v>
      </c>
      <c r="BK61" s="138">
        <f>483076.61+229638.06</f>
        <v>712714.66999999993</v>
      </c>
      <c r="BL61" s="138">
        <f>741017.29+68347.07</f>
        <v>809364.3600000001</v>
      </c>
      <c r="BM61" s="138"/>
      <c r="BN61" s="138">
        <v>1699996.17</v>
      </c>
      <c r="BO61" s="138">
        <v>30609.98</v>
      </c>
      <c r="BP61" s="138">
        <v>92125.24</v>
      </c>
      <c r="BQ61" s="138"/>
      <c r="BR61" s="138">
        <f>344781.49+69757.99</f>
        <v>414539.48</v>
      </c>
      <c r="BS61" s="138">
        <v>284.27999999999997</v>
      </c>
      <c r="BT61" s="138"/>
      <c r="BU61" s="138"/>
      <c r="BV61" s="138">
        <v>337344.92</v>
      </c>
      <c r="BW61" s="138">
        <v>115349.95</v>
      </c>
      <c r="BX61" s="138">
        <f>392418.87+842.12+626420.05</f>
        <v>1019681.04</v>
      </c>
      <c r="BY61" s="138">
        <f>799806.28+57434.07</f>
        <v>857240.35</v>
      </c>
      <c r="BZ61" s="138"/>
      <c r="CA61" s="138">
        <v>161481.01999999999</v>
      </c>
      <c r="CB61" s="138"/>
      <c r="CC61" s="138">
        <f>59888.89+756421.26</f>
        <v>816310.15</v>
      </c>
      <c r="CD61" s="191" t="s">
        <v>221</v>
      </c>
      <c r="CE61" s="129">
        <f t="shared" si="0"/>
        <v>70874121.480000019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604938</v>
      </c>
      <c r="D62" s="129">
        <f t="shared" si="1"/>
        <v>0</v>
      </c>
      <c r="E62" s="129">
        <f t="shared" si="1"/>
        <v>959033</v>
      </c>
      <c r="F62" s="129">
        <f t="shared" si="1"/>
        <v>782948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235969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270994</v>
      </c>
      <c r="Q62" s="129">
        <f t="shared" si="1"/>
        <v>98759</v>
      </c>
      <c r="R62" s="129">
        <f t="shared" si="1"/>
        <v>22463</v>
      </c>
      <c r="S62" s="129">
        <f t="shared" si="1"/>
        <v>65886</v>
      </c>
      <c r="T62" s="129">
        <f t="shared" si="1"/>
        <v>0</v>
      </c>
      <c r="U62" s="129">
        <f t="shared" si="1"/>
        <v>262701</v>
      </c>
      <c r="V62" s="129">
        <f t="shared" si="1"/>
        <v>7332</v>
      </c>
      <c r="W62" s="129">
        <f t="shared" si="1"/>
        <v>55978</v>
      </c>
      <c r="X62" s="129">
        <f t="shared" si="1"/>
        <v>87667</v>
      </c>
      <c r="Y62" s="129">
        <f t="shared" si="1"/>
        <v>509393</v>
      </c>
      <c r="Z62" s="129">
        <f t="shared" si="1"/>
        <v>0</v>
      </c>
      <c r="AA62" s="129">
        <f t="shared" si="1"/>
        <v>55098</v>
      </c>
      <c r="AB62" s="129">
        <f t="shared" si="1"/>
        <v>296451</v>
      </c>
      <c r="AC62" s="129">
        <f t="shared" si="1"/>
        <v>239496</v>
      </c>
      <c r="AD62" s="129">
        <f t="shared" si="1"/>
        <v>0</v>
      </c>
      <c r="AE62" s="129">
        <f t="shared" si="1"/>
        <v>153535</v>
      </c>
      <c r="AF62" s="129">
        <f t="shared" si="1"/>
        <v>0</v>
      </c>
      <c r="AG62" s="129">
        <f t="shared" si="1"/>
        <v>1117884</v>
      </c>
      <c r="AH62" s="129">
        <f t="shared" si="1"/>
        <v>0</v>
      </c>
      <c r="AI62" s="129">
        <f t="shared" si="1"/>
        <v>348906</v>
      </c>
      <c r="AJ62" s="129">
        <f t="shared" si="1"/>
        <v>128020</v>
      </c>
      <c r="AK62" s="129">
        <f t="shared" si="1"/>
        <v>0</v>
      </c>
      <c r="AL62" s="129">
        <f t="shared" si="1"/>
        <v>20128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4457315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342826</v>
      </c>
      <c r="AX62" s="129">
        <f t="shared" si="1"/>
        <v>0</v>
      </c>
      <c r="AY62" s="129">
        <f>ROUND(AY47+AY48,0)</f>
        <v>160016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74240</v>
      </c>
      <c r="BE62" s="129">
        <f t="shared" si="1"/>
        <v>116198</v>
      </c>
      <c r="BF62" s="129">
        <f t="shared" si="1"/>
        <v>282845</v>
      </c>
      <c r="BG62" s="129">
        <f t="shared" si="1"/>
        <v>0</v>
      </c>
      <c r="BH62" s="129">
        <f t="shared" si="1"/>
        <v>226648</v>
      </c>
      <c r="BI62" s="129">
        <f t="shared" si="1"/>
        <v>0</v>
      </c>
      <c r="BJ62" s="129">
        <f t="shared" si="1"/>
        <v>91101</v>
      </c>
      <c r="BK62" s="129">
        <f t="shared" si="1"/>
        <v>134873</v>
      </c>
      <c r="BL62" s="129">
        <f t="shared" si="1"/>
        <v>153163</v>
      </c>
      <c r="BM62" s="129">
        <f t="shared" si="1"/>
        <v>0</v>
      </c>
      <c r="BN62" s="129">
        <f t="shared" si="1"/>
        <v>321705</v>
      </c>
      <c r="BO62" s="129">
        <f t="shared" ref="BO62:CC62" si="2">ROUND(BO47+BO48,0)</f>
        <v>5793</v>
      </c>
      <c r="BP62" s="129">
        <f t="shared" si="2"/>
        <v>17434</v>
      </c>
      <c r="BQ62" s="129">
        <f t="shared" si="2"/>
        <v>0</v>
      </c>
      <c r="BR62" s="129">
        <f t="shared" si="2"/>
        <v>78447</v>
      </c>
      <c r="BS62" s="129">
        <f t="shared" si="2"/>
        <v>54</v>
      </c>
      <c r="BT62" s="129">
        <f t="shared" si="2"/>
        <v>0</v>
      </c>
      <c r="BU62" s="129">
        <f t="shared" si="2"/>
        <v>0</v>
      </c>
      <c r="BV62" s="129">
        <f t="shared" si="2"/>
        <v>63839</v>
      </c>
      <c r="BW62" s="129">
        <f t="shared" si="2"/>
        <v>21829</v>
      </c>
      <c r="BX62" s="129">
        <f t="shared" si="2"/>
        <v>192963</v>
      </c>
      <c r="BY62" s="129">
        <f t="shared" si="2"/>
        <v>162223</v>
      </c>
      <c r="BZ62" s="129">
        <f t="shared" si="2"/>
        <v>0</v>
      </c>
      <c r="CA62" s="129">
        <f t="shared" si="2"/>
        <v>30558</v>
      </c>
      <c r="CB62" s="129">
        <f t="shared" si="2"/>
        <v>0</v>
      </c>
      <c r="CC62" s="129">
        <f t="shared" si="2"/>
        <v>154477</v>
      </c>
      <c r="CD62" s="191" t="s">
        <v>221</v>
      </c>
      <c r="CE62" s="129">
        <f t="shared" si="0"/>
        <v>13412126</v>
      </c>
    </row>
    <row r="63" spans="1:83" ht="12.65" customHeight="1" x14ac:dyDescent="0.3">
      <c r="A63" s="127" t="s">
        <v>236</v>
      </c>
      <c r="B63" s="129"/>
      <c r="C63" s="137">
        <v>1016682.3</v>
      </c>
      <c r="D63" s="137"/>
      <c r="E63" s="137">
        <f>147765.08+84160.33</f>
        <v>231925.40999999997</v>
      </c>
      <c r="F63" s="233">
        <v>291570.40999999997</v>
      </c>
      <c r="G63" s="137"/>
      <c r="H63" s="137"/>
      <c r="I63" s="233"/>
      <c r="J63" s="233">
        <v>132504.51</v>
      </c>
      <c r="K63" s="233"/>
      <c r="L63" s="233"/>
      <c r="M63" s="137"/>
      <c r="N63" s="137"/>
      <c r="O63" s="137"/>
      <c r="P63" s="233">
        <v>68125</v>
      </c>
      <c r="Q63" s="233"/>
      <c r="R63" s="233"/>
      <c r="S63" s="233"/>
      <c r="T63" s="233"/>
      <c r="U63" s="233">
        <f>279069.88+105344</f>
        <v>384413.88</v>
      </c>
      <c r="V63" s="233">
        <v>22096</v>
      </c>
      <c r="W63" s="233"/>
      <c r="X63" s="233"/>
      <c r="Y63" s="233">
        <f>748.65+1768631.5+150000</f>
        <v>1919380.15</v>
      </c>
      <c r="Z63" s="233"/>
      <c r="AA63" s="233"/>
      <c r="AB63" s="233"/>
      <c r="AC63" s="233">
        <v>68341</v>
      </c>
      <c r="AD63" s="233"/>
      <c r="AE63" s="233">
        <v>37422.15</v>
      </c>
      <c r="AF63" s="233"/>
      <c r="AG63" s="233">
        <f>201784.57+116975+974796.41</f>
        <v>1293555.98</v>
      </c>
      <c r="AH63" s="138"/>
      <c r="AI63" s="138"/>
      <c r="AJ63" s="138">
        <v>50114.38</v>
      </c>
      <c r="AK63" s="138"/>
      <c r="AL63" s="233"/>
      <c r="AM63" s="138"/>
      <c r="AN63" s="138"/>
      <c r="AO63" s="138"/>
      <c r="AP63" s="233">
        <f>71100+71408.99+1200+365238.47+339815</f>
        <v>848762.46</v>
      </c>
      <c r="AQ63" s="138"/>
      <c r="AR63" s="138"/>
      <c r="AS63" s="138"/>
      <c r="AT63" s="138"/>
      <c r="AU63" s="138"/>
      <c r="AV63" s="138"/>
      <c r="AW63" s="138">
        <v>-9950</v>
      </c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>
        <v>22592.95</v>
      </c>
      <c r="BI63" s="138"/>
      <c r="BJ63" s="138">
        <v>39535.81</v>
      </c>
      <c r="BK63" s="138"/>
      <c r="BL63" s="138">
        <v>717.21</v>
      </c>
      <c r="BM63" s="138"/>
      <c r="BN63" s="138">
        <v>66386.98</v>
      </c>
      <c r="BO63" s="138"/>
      <c r="BP63" s="138"/>
      <c r="BQ63" s="138"/>
      <c r="BR63" s="138">
        <v>1095.2</v>
      </c>
      <c r="BS63" s="138"/>
      <c r="BT63" s="138"/>
      <c r="BU63" s="138"/>
      <c r="BV63" s="138">
        <v>640</v>
      </c>
      <c r="BW63" s="138"/>
      <c r="BX63" s="138">
        <v>16600.509999999998</v>
      </c>
      <c r="BY63" s="138">
        <v>437.6</v>
      </c>
      <c r="BZ63" s="138"/>
      <c r="CA63" s="138"/>
      <c r="CB63" s="138"/>
      <c r="CC63" s="138">
        <f>121903.89+36670.94</f>
        <v>158574.83000000002</v>
      </c>
      <c r="CD63" s="191" t="s">
        <v>221</v>
      </c>
      <c r="CE63" s="129">
        <f t="shared" si="0"/>
        <v>6661524.7199999988</v>
      </c>
    </row>
    <row r="64" spans="1:83" ht="12.65" customHeight="1" x14ac:dyDescent="0.3">
      <c r="A64" s="127" t="s">
        <v>237</v>
      </c>
      <c r="B64" s="129"/>
      <c r="C64" s="137">
        <f>376450.03+12065.84+44439.03</f>
        <v>432954.9</v>
      </c>
      <c r="D64" s="137">
        <v>40</v>
      </c>
      <c r="E64" s="233">
        <f>243200.94+154599.04</f>
        <v>397799.98</v>
      </c>
      <c r="F64" s="233">
        <v>475777.4</v>
      </c>
      <c r="G64" s="137"/>
      <c r="H64" s="137"/>
      <c r="I64" s="233"/>
      <c r="J64" s="233">
        <v>105812.51</v>
      </c>
      <c r="K64" s="233"/>
      <c r="L64" s="233"/>
      <c r="M64" s="137"/>
      <c r="N64" s="137"/>
      <c r="O64" s="137"/>
      <c r="P64" s="233">
        <f>6925040.9+120</f>
        <v>6925160.9000000004</v>
      </c>
      <c r="Q64" s="233">
        <v>13372.93</v>
      </c>
      <c r="R64" s="233">
        <v>192596.76</v>
      </c>
      <c r="S64" s="233">
        <v>247758.61</v>
      </c>
      <c r="T64" s="233">
        <v>272375.12</v>
      </c>
      <c r="U64" s="233">
        <f>1828033.97+186291.82</f>
        <v>2014325.79</v>
      </c>
      <c r="V64" s="233">
        <v>1090.81</v>
      </c>
      <c r="W64" s="233">
        <f>4867.84+3239.79</f>
        <v>8107.63</v>
      </c>
      <c r="X64" s="233">
        <f>119253.67+13113.897</f>
        <v>132367.56700000001</v>
      </c>
      <c r="Y64" s="233">
        <f>11.1+42540.69+763259.37-18612.05+5307.68+11357.92+5165.49+3132</f>
        <v>812162.20000000007</v>
      </c>
      <c r="Z64" s="233">
        <f>9178126.91</f>
        <v>9178126.9100000001</v>
      </c>
      <c r="AA64" s="233">
        <f>179386.91+1479.25</f>
        <v>180866.16</v>
      </c>
      <c r="AB64" s="233">
        <f>5101306.89+35.03</f>
        <v>5101341.92</v>
      </c>
      <c r="AC64" s="233">
        <v>241001.53</v>
      </c>
      <c r="AD64" s="233"/>
      <c r="AE64" s="233">
        <f>10812.81+2708.31</f>
        <v>13521.119999999999</v>
      </c>
      <c r="AF64" s="233">
        <v>447546.26</v>
      </c>
      <c r="AG64" s="233"/>
      <c r="AH64" s="138"/>
      <c r="AI64" s="138">
        <f>3205.74+164244.86+171053.95</f>
        <v>338504.55</v>
      </c>
      <c r="AJ64" s="138">
        <f>1803.11+6852.89+23574.42+261592.06+98.4</f>
        <v>293920.88</v>
      </c>
      <c r="AK64" s="138"/>
      <c r="AL64" s="233"/>
      <c r="AM64" s="138"/>
      <c r="AN64" s="138"/>
      <c r="AO64" s="138"/>
      <c r="AP64" s="138">
        <f>5194.81+235349.26+59555.71+125277.86+168094.14+193558.9+7443.68+72+343314.21+96375.57+60.07+757.7-472.94+626.05+1318.88</f>
        <v>1236525.9000000001</v>
      </c>
      <c r="AQ64" s="138"/>
      <c r="AR64" s="138"/>
      <c r="AS64" s="138"/>
      <c r="AT64" s="138"/>
      <c r="AU64" s="138"/>
      <c r="AV64" s="138"/>
      <c r="AW64" s="138">
        <v>38282.449999999997</v>
      </c>
      <c r="AX64" s="138"/>
      <c r="AY64" s="138">
        <v>377479.38</v>
      </c>
      <c r="AZ64" s="138"/>
      <c r="BA64" s="138">
        <v>40465.33</v>
      </c>
      <c r="BB64" s="138"/>
      <c r="BC64" s="138"/>
      <c r="BD64" s="233">
        <f>-681131.57+580732.1</f>
        <v>-100399.46999999997</v>
      </c>
      <c r="BE64" s="138">
        <f>65017.15+86</f>
        <v>65103.15</v>
      </c>
      <c r="BF64" s="138">
        <v>116948.55</v>
      </c>
      <c r="BG64" s="138">
        <v>237.57</v>
      </c>
      <c r="BH64" s="233">
        <v>11557.62</v>
      </c>
      <c r="BI64" s="138"/>
      <c r="BJ64" s="138">
        <v>2814.27</v>
      </c>
      <c r="BK64" s="138">
        <v>2519.2399999999998</v>
      </c>
      <c r="BL64" s="138">
        <v>24451.41</v>
      </c>
      <c r="BM64" s="138"/>
      <c r="BN64" s="138">
        <v>21152.78</v>
      </c>
      <c r="BO64" s="138">
        <v>9991.14</v>
      </c>
      <c r="BP64" s="138">
        <v>58.78</v>
      </c>
      <c r="BQ64" s="138"/>
      <c r="BR64" s="138">
        <v>9872.67</v>
      </c>
      <c r="BS64" s="138">
        <v>1856.08</v>
      </c>
      <c r="BT64" s="138"/>
      <c r="BU64" s="138"/>
      <c r="BV64" s="138">
        <v>7129.03</v>
      </c>
      <c r="BW64" s="138">
        <v>62201.39</v>
      </c>
      <c r="BX64" s="138">
        <f>2760+452.7+136+8373.69</f>
        <v>11722.39</v>
      </c>
      <c r="BY64" s="138">
        <v>2133.34</v>
      </c>
      <c r="BZ64" s="138"/>
      <c r="CA64" s="138">
        <v>3285.98</v>
      </c>
      <c r="CB64" s="138">
        <f>1337.37</f>
        <v>1337.37</v>
      </c>
      <c r="CC64" s="138">
        <f>474637.33+4695.36</f>
        <v>479332.69</v>
      </c>
      <c r="CD64" s="191" t="s">
        <v>221</v>
      </c>
      <c r="CE64" s="129">
        <f t="shared" si="0"/>
        <v>30252591.477000002</v>
      </c>
    </row>
    <row r="65" spans="1:84" ht="12.65" customHeight="1" x14ac:dyDescent="0.3">
      <c r="A65" s="127" t="s">
        <v>238</v>
      </c>
      <c r="B65" s="129"/>
      <c r="C65" s="137">
        <v>690</v>
      </c>
      <c r="D65" s="137"/>
      <c r="E65" s="137"/>
      <c r="F65" s="137"/>
      <c r="G65" s="137"/>
      <c r="H65" s="137"/>
      <c r="I65" s="233"/>
      <c r="J65" s="137"/>
      <c r="K65" s="233"/>
      <c r="L65" s="233"/>
      <c r="M65" s="137"/>
      <c r="N65" s="137"/>
      <c r="O65" s="137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>
        <v>345</v>
      </c>
      <c r="AD65" s="233"/>
      <c r="AE65" s="233">
        <v>966</v>
      </c>
      <c r="AF65" s="233"/>
      <c r="AG65" s="233">
        <f>345+3000+720+720</f>
        <v>4785</v>
      </c>
      <c r="AH65" s="138"/>
      <c r="AI65" s="138"/>
      <c r="AJ65" s="138"/>
      <c r="AK65" s="138"/>
      <c r="AL65" s="138"/>
      <c r="AM65" s="138"/>
      <c r="AN65" s="138"/>
      <c r="AO65" s="138"/>
      <c r="AP65" s="138">
        <f>10427.45+8220.81+53226.16+55846.2+13543.36+5580+47020.43+11295.43+6963.86+34648.63+54788.32+131231.79+4186.02</f>
        <v>436978.45999999996</v>
      </c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>
        <f>5034.7+33222.88+3935.24</f>
        <v>42192.819999999992</v>
      </c>
      <c r="BE65" s="138">
        <f>1169977.6+2902.11</f>
        <v>1172879.7100000002</v>
      </c>
      <c r="BF65" s="138">
        <v>132842.38</v>
      </c>
      <c r="BG65" s="138"/>
      <c r="BH65" s="138">
        <f>345506.15</f>
        <v>345506.15</v>
      </c>
      <c r="BI65" s="138"/>
      <c r="BJ65" s="138">
        <f>1656</f>
        <v>1656</v>
      </c>
      <c r="BK65" s="138"/>
      <c r="BL65" s="233"/>
      <c r="BM65" s="138"/>
      <c r="BN65" s="138">
        <v>600</v>
      </c>
      <c r="BO65" s="138"/>
      <c r="BP65" s="138"/>
      <c r="BQ65" s="138"/>
      <c r="BR65" s="138">
        <f>1076</f>
        <v>1076</v>
      </c>
      <c r="BS65" s="138"/>
      <c r="BT65" s="138"/>
      <c r="BU65" s="138"/>
      <c r="BV65" s="138"/>
      <c r="BW65" s="138"/>
      <c r="BX65" s="138"/>
      <c r="BY65" s="138">
        <v>483</v>
      </c>
      <c r="BZ65" s="138"/>
      <c r="CA65" s="138"/>
      <c r="CB65" s="138"/>
      <c r="CC65" s="138">
        <f>828+1455.33+8664.72+5346.66-460+10780.3</f>
        <v>26615.01</v>
      </c>
      <c r="CD65" s="191" t="s">
        <v>221</v>
      </c>
      <c r="CE65" s="129">
        <f t="shared" si="0"/>
        <v>2167615.5299999998</v>
      </c>
    </row>
    <row r="66" spans="1:84" ht="12.65" customHeight="1" x14ac:dyDescent="0.3">
      <c r="A66" s="127" t="s">
        <v>239</v>
      </c>
      <c r="B66" s="129"/>
      <c r="C66" s="137">
        <f>17865.09+227.98</f>
        <v>18093.07</v>
      </c>
      <c r="D66" s="137">
        <v>43.27</v>
      </c>
      <c r="E66" s="137">
        <f>583021.76+2175.03</f>
        <v>585196.79</v>
      </c>
      <c r="F66" s="137">
        <v>66983.09</v>
      </c>
      <c r="G66" s="137"/>
      <c r="H66" s="137"/>
      <c r="I66" s="137"/>
      <c r="J66" s="137">
        <v>2366.8000000000002</v>
      </c>
      <c r="K66" s="233"/>
      <c r="L66" s="233"/>
      <c r="M66" s="137"/>
      <c r="N66" s="137"/>
      <c r="O66" s="233"/>
      <c r="P66" s="233">
        <v>307194.19</v>
      </c>
      <c r="Q66" s="233">
        <v>862.29</v>
      </c>
      <c r="R66" s="233">
        <v>372.75</v>
      </c>
      <c r="S66" s="137">
        <v>43546.69</v>
      </c>
      <c r="T66" s="137"/>
      <c r="U66" s="233">
        <f>897089.95+179713.39+454171.55+85.81</f>
        <v>1531060.7</v>
      </c>
      <c r="V66" s="233"/>
      <c r="W66" s="233">
        <f>221389.1+41623.3</f>
        <v>263012.40000000002</v>
      </c>
      <c r="X66" s="233">
        <v>305011.18</v>
      </c>
      <c r="Y66" s="233">
        <f>377723.37+87432.67+163923.07+265348.38+16452.08+109399.57</f>
        <v>1020279.1399999999</v>
      </c>
      <c r="Z66" s="233">
        <v>12.84</v>
      </c>
      <c r="AA66" s="233">
        <f>45117.86+8445.31</f>
        <v>53563.17</v>
      </c>
      <c r="AB66" s="233">
        <f>373970.67+39.95+25.05</f>
        <v>374035.67</v>
      </c>
      <c r="AC66" s="233">
        <v>1346.76</v>
      </c>
      <c r="AD66" s="233"/>
      <c r="AE66" s="233">
        <f>21245.3+10777.93</f>
        <v>32023.23</v>
      </c>
      <c r="AF66" s="233"/>
      <c r="AG66" s="233">
        <f>117335.52+76053.28+27523.12+23317.27-1750</f>
        <v>242479.18999999997</v>
      </c>
      <c r="AH66" s="138"/>
      <c r="AI66" s="138">
        <f>68.25+1214.07+3320.41</f>
        <v>4602.7299999999996</v>
      </c>
      <c r="AJ66" s="138">
        <f>7.8+59213.89+11360.14</f>
        <v>70581.83</v>
      </c>
      <c r="AK66" s="138"/>
      <c r="AL66" s="138">
        <v>512.96</v>
      </c>
      <c r="AM66" s="138"/>
      <c r="AN66" s="138"/>
      <c r="AO66" s="138"/>
      <c r="AP66" s="138">
        <f>41565.22+315551.14+144844.68+372.6+221908.1+385007.02+376361.6+197524.4+129768.49+321889.83+37645.86+9716.14+12301.82-64563.52+1509.7+2411.5+5604.5+15801.13</f>
        <v>2155220.2099999995</v>
      </c>
      <c r="AQ66" s="138"/>
      <c r="AR66" s="138"/>
      <c r="AS66" s="138"/>
      <c r="AT66" s="138"/>
      <c r="AU66" s="138"/>
      <c r="AV66" s="138"/>
      <c r="AW66" s="138">
        <v>3502.77</v>
      </c>
      <c r="AX66" s="138"/>
      <c r="AY66" s="138">
        <v>45296.66</v>
      </c>
      <c r="AZ66" s="138"/>
      <c r="BA66" s="138">
        <v>249936.66</v>
      </c>
      <c r="BB66" s="138"/>
      <c r="BC66" s="138"/>
      <c r="BD66" s="138">
        <f>10506.07+11118.28+32766.72</f>
        <v>54391.07</v>
      </c>
      <c r="BE66" s="138">
        <f>612845.25+411440.23+763.65</f>
        <v>1025049.13</v>
      </c>
      <c r="BF66" s="138">
        <v>50655.1</v>
      </c>
      <c r="BG66" s="138">
        <v>490180.56</v>
      </c>
      <c r="BH66" s="138">
        <v>1058668.02</v>
      </c>
      <c r="BI66" s="138"/>
      <c r="BJ66" s="138">
        <v>43316.03</v>
      </c>
      <c r="BK66" s="138">
        <v>1356331.14</v>
      </c>
      <c r="BL66" s="138">
        <v>240423.28</v>
      </c>
      <c r="BM66" s="138"/>
      <c r="BN66" s="138">
        <v>647057.63</v>
      </c>
      <c r="BO66" s="138">
        <v>187846.84</v>
      </c>
      <c r="BP66" s="233">
        <f>64563.52-49878.1</f>
        <v>14685.419999999998</v>
      </c>
      <c r="BQ66" s="138"/>
      <c r="BR66" s="138">
        <v>135962.67000000001</v>
      </c>
      <c r="BS66" s="138">
        <v>0.51</v>
      </c>
      <c r="BT66" s="138">
        <v>64231.16</v>
      </c>
      <c r="BU66" s="138"/>
      <c r="BV66" s="138">
        <v>664369.52</v>
      </c>
      <c r="BW66" s="138">
        <v>48365.33</v>
      </c>
      <c r="BX66" s="138">
        <f>60263+19363.96+221979.05+955.15+16116.23</f>
        <v>318677.39</v>
      </c>
      <c r="BY66" s="138">
        <v>2484.37</v>
      </c>
      <c r="BZ66" s="138"/>
      <c r="CA66" s="138">
        <v>120104.33</v>
      </c>
      <c r="CB66" s="138">
        <v>199058.38</v>
      </c>
      <c r="CC66" s="138">
        <f>13190+578.5+2143.5+7653.24+349.35+133510.79</f>
        <v>157425.38</v>
      </c>
      <c r="CD66" s="191" t="s">
        <v>221</v>
      </c>
      <c r="CE66" s="129">
        <f t="shared" si="0"/>
        <v>14256420.300000001</v>
      </c>
    </row>
    <row r="67" spans="1:84" ht="12.65" customHeight="1" x14ac:dyDescent="0.3">
      <c r="A67" s="127" t="s">
        <v>6</v>
      </c>
      <c r="B67" s="129"/>
      <c r="C67" s="129">
        <f>ROUND(C51+C52,0)</f>
        <v>135901</v>
      </c>
      <c r="D67" s="129">
        <f>ROUND(D51+D52,0)</f>
        <v>0</v>
      </c>
      <c r="E67" s="129">
        <f t="shared" ref="E67:BP67" si="3">ROUND(E51+E52,0)</f>
        <v>459474</v>
      </c>
      <c r="F67" s="129">
        <f t="shared" si="3"/>
        <v>217950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55899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359431</v>
      </c>
      <c r="Q67" s="129">
        <f t="shared" si="3"/>
        <v>55470</v>
      </c>
      <c r="R67" s="129">
        <f t="shared" si="3"/>
        <v>9113</v>
      </c>
      <c r="S67" s="129">
        <f t="shared" si="3"/>
        <v>80316</v>
      </c>
      <c r="T67" s="129">
        <f t="shared" si="3"/>
        <v>0</v>
      </c>
      <c r="U67" s="129">
        <f t="shared" si="3"/>
        <v>217405</v>
      </c>
      <c r="V67" s="129">
        <f t="shared" si="3"/>
        <v>2476</v>
      </c>
      <c r="W67" s="129">
        <f t="shared" si="3"/>
        <v>91789</v>
      </c>
      <c r="X67" s="129">
        <f t="shared" si="3"/>
        <v>52333</v>
      </c>
      <c r="Y67" s="129">
        <f t="shared" si="3"/>
        <v>313668</v>
      </c>
      <c r="Z67" s="129">
        <f t="shared" si="3"/>
        <v>0</v>
      </c>
      <c r="AA67" s="129">
        <f t="shared" si="3"/>
        <v>70113</v>
      </c>
      <c r="AB67" s="129">
        <f t="shared" si="3"/>
        <v>92334</v>
      </c>
      <c r="AC67" s="129">
        <f t="shared" si="3"/>
        <v>66976</v>
      </c>
      <c r="AD67" s="129">
        <f t="shared" si="3"/>
        <v>0</v>
      </c>
      <c r="AE67" s="129">
        <f t="shared" si="3"/>
        <v>134597</v>
      </c>
      <c r="AF67" s="129">
        <f t="shared" si="3"/>
        <v>0</v>
      </c>
      <c r="AG67" s="129">
        <f t="shared" si="3"/>
        <v>206559</v>
      </c>
      <c r="AH67" s="129">
        <f t="shared" si="3"/>
        <v>0</v>
      </c>
      <c r="AI67" s="129">
        <f t="shared" si="3"/>
        <v>417806</v>
      </c>
      <c r="AJ67" s="129">
        <f t="shared" si="3"/>
        <v>135207</v>
      </c>
      <c r="AK67" s="129">
        <f t="shared" si="3"/>
        <v>0</v>
      </c>
      <c r="AL67" s="129">
        <f t="shared" si="3"/>
        <v>3302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1695987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23030</v>
      </c>
      <c r="AX67" s="129">
        <f t="shared" si="3"/>
        <v>0</v>
      </c>
      <c r="AY67" s="129">
        <f t="shared" si="3"/>
        <v>171676</v>
      </c>
      <c r="AZ67" s="129">
        <f>ROUND(AZ51+AZ52,0)</f>
        <v>0</v>
      </c>
      <c r="BA67" s="129">
        <f>ROUND(BA51+BA52,0)</f>
        <v>28230</v>
      </c>
      <c r="BB67" s="129">
        <f t="shared" si="3"/>
        <v>0</v>
      </c>
      <c r="BC67" s="129">
        <f t="shared" si="3"/>
        <v>0</v>
      </c>
      <c r="BD67" s="129">
        <f t="shared" si="3"/>
        <v>239857</v>
      </c>
      <c r="BE67" s="129">
        <f t="shared" si="3"/>
        <v>724210</v>
      </c>
      <c r="BF67" s="129">
        <f t="shared" si="3"/>
        <v>48965</v>
      </c>
      <c r="BG67" s="129">
        <f t="shared" si="3"/>
        <v>23674</v>
      </c>
      <c r="BH67" s="129">
        <f t="shared" si="3"/>
        <v>146896</v>
      </c>
      <c r="BI67" s="129">
        <f t="shared" si="3"/>
        <v>0</v>
      </c>
      <c r="BJ67" s="129">
        <f t="shared" si="3"/>
        <v>10599</v>
      </c>
      <c r="BK67" s="129">
        <f t="shared" si="3"/>
        <v>67884</v>
      </c>
      <c r="BL67" s="129">
        <f t="shared" si="3"/>
        <v>96676</v>
      </c>
      <c r="BM67" s="129">
        <f t="shared" si="3"/>
        <v>0</v>
      </c>
      <c r="BN67" s="129">
        <f t="shared" si="3"/>
        <v>28247</v>
      </c>
      <c r="BO67" s="129">
        <f t="shared" si="3"/>
        <v>4078</v>
      </c>
      <c r="BP67" s="129">
        <f t="shared" si="3"/>
        <v>4292</v>
      </c>
      <c r="BQ67" s="129">
        <f t="shared" ref="BQ67:CC67" si="4">ROUND(BQ51+BQ52,0)</f>
        <v>0</v>
      </c>
      <c r="BR67" s="129">
        <f t="shared" si="4"/>
        <v>31037</v>
      </c>
      <c r="BS67" s="129">
        <f t="shared" si="4"/>
        <v>36204</v>
      </c>
      <c r="BT67" s="129">
        <f t="shared" si="4"/>
        <v>14247</v>
      </c>
      <c r="BU67" s="129">
        <f t="shared" si="4"/>
        <v>0</v>
      </c>
      <c r="BV67" s="129">
        <f t="shared" si="4"/>
        <v>11688</v>
      </c>
      <c r="BW67" s="129">
        <f t="shared" si="4"/>
        <v>135653</v>
      </c>
      <c r="BX67" s="129">
        <f t="shared" si="4"/>
        <v>8783</v>
      </c>
      <c r="BY67" s="129">
        <f t="shared" si="4"/>
        <v>14577</v>
      </c>
      <c r="BZ67" s="129">
        <f t="shared" si="4"/>
        <v>0</v>
      </c>
      <c r="CA67" s="129">
        <f t="shared" si="4"/>
        <v>4160</v>
      </c>
      <c r="CB67" s="129">
        <f t="shared" si="4"/>
        <v>5101</v>
      </c>
      <c r="CC67" s="129">
        <f t="shared" si="4"/>
        <v>1791293</v>
      </c>
      <c r="CD67" s="191" t="s">
        <v>221</v>
      </c>
      <c r="CE67" s="129">
        <f t="shared" si="0"/>
        <v>8545163</v>
      </c>
    </row>
    <row r="68" spans="1:84" ht="12.65" customHeight="1" x14ac:dyDescent="0.3">
      <c r="A68" s="127" t="s">
        <v>240</v>
      </c>
      <c r="B68" s="129"/>
      <c r="C68" s="137">
        <v>3024.21</v>
      </c>
      <c r="D68" s="137"/>
      <c r="E68" s="137">
        <f>12138.23+4951.98</f>
        <v>17090.21</v>
      </c>
      <c r="F68" s="137">
        <v>12603.14</v>
      </c>
      <c r="G68" s="137"/>
      <c r="H68" s="137"/>
      <c r="I68" s="137"/>
      <c r="J68" s="137"/>
      <c r="K68" s="138"/>
      <c r="L68" s="138"/>
      <c r="M68" s="137"/>
      <c r="N68" s="137"/>
      <c r="O68" s="137"/>
      <c r="P68" s="138">
        <v>40660.980000000003</v>
      </c>
      <c r="Q68" s="233"/>
      <c r="R68" s="233"/>
      <c r="S68" s="233">
        <v>1386.61</v>
      </c>
      <c r="T68" s="233"/>
      <c r="U68" s="138">
        <f>100703.35+50411.5+1535.9</f>
        <v>152650.75</v>
      </c>
      <c r="V68" s="138"/>
      <c r="W68" s="138">
        <v>256.06</v>
      </c>
      <c r="X68" s="138">
        <v>324.05</v>
      </c>
      <c r="Y68" s="138">
        <f>7510.45+9.25+1314.31+1252.27+448.77+439.58+561.54</f>
        <v>11536.170000000002</v>
      </c>
      <c r="Z68" s="138">
        <v>54.93</v>
      </c>
      <c r="AA68" s="138">
        <v>595.70000000000005</v>
      </c>
      <c r="AB68" s="138">
        <v>4939.92</v>
      </c>
      <c r="AC68" s="138">
        <v>21000.49</v>
      </c>
      <c r="AD68" s="138"/>
      <c r="AE68" s="138">
        <f>1384.05+1201.77</f>
        <v>2585.8199999999997</v>
      </c>
      <c r="AF68" s="138"/>
      <c r="AG68" s="138">
        <f>23676.15+1059.83</f>
        <v>24735.980000000003</v>
      </c>
      <c r="AH68" s="138"/>
      <c r="AI68" s="138">
        <f>6258.59+2754.25</f>
        <v>9012.84</v>
      </c>
      <c r="AJ68" s="138">
        <f>115.74+13803.9+1222.48</f>
        <v>15142.119999999999</v>
      </c>
      <c r="AK68" s="138"/>
      <c r="AL68" s="138"/>
      <c r="AM68" s="138"/>
      <c r="AN68" s="138"/>
      <c r="AO68" s="138"/>
      <c r="AP68" s="138">
        <f>874.7+12267.2+2633.52+5492.66+18574.09+4503.83+3904.2+327649.35</f>
        <v>375899.55</v>
      </c>
      <c r="AQ68" s="138"/>
      <c r="AR68" s="138"/>
      <c r="AS68" s="138"/>
      <c r="AT68" s="138"/>
      <c r="AU68" s="138"/>
      <c r="AV68" s="138"/>
      <c r="AW68" s="138">
        <v>2998.54</v>
      </c>
      <c r="AX68" s="138"/>
      <c r="AY68" s="138">
        <v>2516.84</v>
      </c>
      <c r="AZ68" s="138"/>
      <c r="BA68" s="138"/>
      <c r="BB68" s="138"/>
      <c r="BC68" s="138"/>
      <c r="BD68" s="138">
        <v>6017.13</v>
      </c>
      <c r="BE68" s="138">
        <v>3643.85</v>
      </c>
      <c r="BF68" s="138"/>
      <c r="BG68" s="138"/>
      <c r="BH68" s="138">
        <v>5278.69</v>
      </c>
      <c r="BI68" s="138"/>
      <c r="BJ68" s="138">
        <v>2642.08</v>
      </c>
      <c r="BK68" s="138">
        <v>26077.54</v>
      </c>
      <c r="BL68" s="138">
        <v>8236.4699999999993</v>
      </c>
      <c r="BM68" s="138"/>
      <c r="BN68" s="138">
        <v>9547.2999999999993</v>
      </c>
      <c r="BO68" s="138">
        <v>362.1</v>
      </c>
      <c r="BP68" s="138">
        <v>3765.66</v>
      </c>
      <c r="BQ68" s="138"/>
      <c r="BR68" s="138">
        <v>6382.81</v>
      </c>
      <c r="BS68" s="138">
        <v>8.2200000000000006</v>
      </c>
      <c r="BT68" s="138">
        <v>348.33</v>
      </c>
      <c r="BU68" s="138"/>
      <c r="BV68" s="138">
        <v>5165.7700000000004</v>
      </c>
      <c r="BW68" s="138">
        <v>1575.74</v>
      </c>
      <c r="BX68" s="138">
        <f>15446.87+1483.82</f>
        <v>16930.690000000002</v>
      </c>
      <c r="BY68" s="138">
        <v>5031.78</v>
      </c>
      <c r="BZ68" s="138"/>
      <c r="CA68" s="138">
        <v>2890.54</v>
      </c>
      <c r="CB68" s="138"/>
      <c r="CC68" s="138">
        <f>4487+8957.3</f>
        <v>13444.3</v>
      </c>
      <c r="CD68" s="191" t="s">
        <v>221</v>
      </c>
      <c r="CE68" s="129">
        <f t="shared" si="0"/>
        <v>816363.91000000015</v>
      </c>
    </row>
    <row r="69" spans="1:84" ht="12.65" customHeight="1" x14ac:dyDescent="0.3">
      <c r="A69" s="127" t="s">
        <v>241</v>
      </c>
      <c r="B69" s="129"/>
      <c r="C69" s="137">
        <v>200</v>
      </c>
      <c r="D69" s="137"/>
      <c r="E69" s="138">
        <f>9785.26+930.22</f>
        <v>10715.48</v>
      </c>
      <c r="F69" s="138">
        <v>34339.910000000003</v>
      </c>
      <c r="G69" s="137"/>
      <c r="H69" s="137"/>
      <c r="I69" s="138"/>
      <c r="J69" s="138">
        <v>250</v>
      </c>
      <c r="K69" s="138"/>
      <c r="L69" s="138"/>
      <c r="M69" s="137"/>
      <c r="N69" s="137"/>
      <c r="O69" s="137"/>
      <c r="P69" s="138">
        <v>1004.31</v>
      </c>
      <c r="Q69" s="233"/>
      <c r="R69" s="234">
        <v>79.38</v>
      </c>
      <c r="S69" s="233">
        <v>1810</v>
      </c>
      <c r="T69" s="137"/>
      <c r="U69" s="138">
        <v>7151.83</v>
      </c>
      <c r="V69" s="138"/>
      <c r="W69" s="137"/>
      <c r="X69" s="138"/>
      <c r="Y69" s="138">
        <f>178.42+7485.99</f>
        <v>7664.41</v>
      </c>
      <c r="Z69" s="138"/>
      <c r="AA69" s="138"/>
      <c r="AB69" s="138">
        <v>2589.21</v>
      </c>
      <c r="AC69" s="138"/>
      <c r="AD69" s="138"/>
      <c r="AE69" s="138">
        <v>1369.5</v>
      </c>
      <c r="AF69" s="138"/>
      <c r="AG69" s="138">
        <f>17897.12+1840-4183+938</f>
        <v>16492.12</v>
      </c>
      <c r="AH69" s="138"/>
      <c r="AI69" s="138"/>
      <c r="AJ69" s="138">
        <v>124.3</v>
      </c>
      <c r="AK69" s="138"/>
      <c r="AL69" s="138">
        <v>166.08</v>
      </c>
      <c r="AM69" s="138"/>
      <c r="AN69" s="138"/>
      <c r="AO69" s="137"/>
      <c r="AP69" s="138">
        <f>1200+37165.37+9598.87+25980.96+58810.39+32889.56+14143.27+34201.04+46603.83+3250.83-17260.41-4380.96</f>
        <v>242202.75000000006</v>
      </c>
      <c r="AQ69" s="137"/>
      <c r="AR69" s="137"/>
      <c r="AS69" s="137"/>
      <c r="AT69" s="137"/>
      <c r="AU69" s="138"/>
      <c r="AV69" s="138"/>
      <c r="AW69" s="138">
        <f>56616.24-20407.81</f>
        <v>36208.429999999993</v>
      </c>
      <c r="AX69" s="138"/>
      <c r="AY69" s="138">
        <v>1130.55</v>
      </c>
      <c r="AZ69" s="138"/>
      <c r="BA69" s="138"/>
      <c r="BB69" s="138"/>
      <c r="BC69" s="138"/>
      <c r="BD69" s="138">
        <v>229211.76</v>
      </c>
      <c r="BE69" s="138">
        <v>4927.03</v>
      </c>
      <c r="BF69" s="138">
        <v>1205.02</v>
      </c>
      <c r="BG69" s="138">
        <v>32.57</v>
      </c>
      <c r="BH69" s="172"/>
      <c r="BI69" s="138"/>
      <c r="BJ69" s="138">
        <v>549</v>
      </c>
      <c r="BK69" s="138">
        <v>25338.39</v>
      </c>
      <c r="BL69" s="138">
        <v>100</v>
      </c>
      <c r="BM69" s="138"/>
      <c r="BN69" s="138">
        <f>760635.78-197813.66-5925.44</f>
        <v>556896.68000000005</v>
      </c>
      <c r="BO69" s="138"/>
      <c r="BP69" s="138">
        <v>168578.33</v>
      </c>
      <c r="BQ69" s="138"/>
      <c r="BR69" s="138">
        <v>143172.84</v>
      </c>
      <c r="BS69" s="138"/>
      <c r="BT69" s="138"/>
      <c r="BU69" s="138"/>
      <c r="BV69" s="138">
        <v>877.44</v>
      </c>
      <c r="BW69" s="138">
        <v>474</v>
      </c>
      <c r="BX69" s="138">
        <f>150+12408.35</f>
        <v>12558.35</v>
      </c>
      <c r="BY69" s="138">
        <v>3686.21</v>
      </c>
      <c r="BZ69" s="138"/>
      <c r="CA69" s="138">
        <v>9245.18</v>
      </c>
      <c r="CB69" s="138"/>
      <c r="CC69" s="138">
        <f>370.79+164143.62-133327.81-116</f>
        <v>31070.600000000006</v>
      </c>
      <c r="CD69" s="141">
        <v>20449570</v>
      </c>
      <c r="CE69" s="129">
        <f t="shared" si="0"/>
        <v>22000991.66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>
        <v>3000</v>
      </c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>
        <v>21229.82</v>
      </c>
      <c r="AC70" s="138"/>
      <c r="AD70" s="138"/>
      <c r="AE70" s="138"/>
      <c r="AF70" s="138"/>
      <c r="AG70" s="138">
        <v>667861.56999999995</v>
      </c>
      <c r="AH70" s="138"/>
      <c r="AI70" s="138"/>
      <c r="AJ70" s="138"/>
      <c r="AK70" s="138"/>
      <c r="AL70" s="138"/>
      <c r="AM70" s="138"/>
      <c r="AN70" s="138"/>
      <c r="AO70" s="138"/>
      <c r="AP70" s="138">
        <v>240218.26</v>
      </c>
      <c r="AQ70" s="138"/>
      <c r="AR70" s="138"/>
      <c r="AS70" s="138"/>
      <c r="AT70" s="138"/>
      <c r="AU70" s="138"/>
      <c r="AV70" s="138"/>
      <c r="AW70" s="138">
        <v>38500</v>
      </c>
      <c r="AX70" s="138"/>
      <c r="AY70" s="138">
        <v>330408.99</v>
      </c>
      <c r="AZ70" s="138"/>
      <c r="BA70" s="138">
        <v>31800</v>
      </c>
      <c r="BB70" s="138"/>
      <c r="BC70" s="138"/>
      <c r="BD70" s="138">
        <v>580732.1</v>
      </c>
      <c r="BE70" s="138"/>
      <c r="BF70" s="138"/>
      <c r="BG70" s="138"/>
      <c r="BH70" s="138">
        <v>1650</v>
      </c>
      <c r="BI70" s="138"/>
      <c r="BJ70" s="138"/>
      <c r="BK70" s="233"/>
      <c r="BL70" s="138"/>
      <c r="BM70" s="138"/>
      <c r="BN70" s="138"/>
      <c r="BO70" s="138"/>
      <c r="BP70" s="138">
        <v>25000</v>
      </c>
      <c r="BQ70" s="138"/>
      <c r="BR70" s="138"/>
      <c r="BS70" s="138"/>
      <c r="BT70" s="138"/>
      <c r="BU70" s="138"/>
      <c r="BV70" s="138"/>
      <c r="BW70" s="138">
        <v>22350</v>
      </c>
      <c r="BX70" s="138"/>
      <c r="BY70" s="138"/>
      <c r="BZ70" s="138"/>
      <c r="CA70" s="138">
        <v>24375.88</v>
      </c>
      <c r="CB70" s="138">
        <v>7680</v>
      </c>
      <c r="CC70" s="138">
        <f>544422.26-381497.76</f>
        <v>162924.5</v>
      </c>
      <c r="CD70" s="138">
        <v>1400027.77</v>
      </c>
      <c r="CE70" s="129">
        <f t="shared" si="0"/>
        <v>3557758.8899999997</v>
      </c>
    </row>
    <row r="71" spans="1:84" ht="12.65" customHeight="1" x14ac:dyDescent="0.3">
      <c r="A71" s="127" t="s">
        <v>243</v>
      </c>
      <c r="B71" s="129"/>
      <c r="C71" s="129">
        <f>SUM(C61:C68)+C69-C70</f>
        <v>5409176.2800000012</v>
      </c>
      <c r="D71" s="129">
        <f t="shared" ref="D71:AI71" si="5">SUM(D61:D69)-D70</f>
        <v>83.27000000000001</v>
      </c>
      <c r="E71" s="129">
        <f t="shared" si="5"/>
        <v>7729082.0900000017</v>
      </c>
      <c r="F71" s="129">
        <f t="shared" si="5"/>
        <v>6019530.6000000006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1779739.1400000001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9401593.7200000007</v>
      </c>
      <c r="Q71" s="129">
        <f t="shared" si="5"/>
        <v>690339.66</v>
      </c>
      <c r="R71" s="129">
        <f t="shared" si="5"/>
        <v>343324.58</v>
      </c>
      <c r="S71" s="129">
        <f t="shared" si="5"/>
        <v>788869.2699999999</v>
      </c>
      <c r="T71" s="129">
        <f t="shared" si="5"/>
        <v>272375.12</v>
      </c>
      <c r="U71" s="129">
        <f t="shared" si="5"/>
        <v>5957907.04</v>
      </c>
      <c r="V71" s="129">
        <f t="shared" si="5"/>
        <v>71741.259999999995</v>
      </c>
      <c r="W71" s="129">
        <f t="shared" si="5"/>
        <v>714951.68000000005</v>
      </c>
      <c r="X71" s="129">
        <f t="shared" si="5"/>
        <v>1040966.477</v>
      </c>
      <c r="Y71" s="129">
        <f t="shared" si="5"/>
        <v>7285885.290000001</v>
      </c>
      <c r="Z71" s="129">
        <f t="shared" si="5"/>
        <v>9178194.6799999997</v>
      </c>
      <c r="AA71" s="129">
        <f t="shared" si="5"/>
        <v>651391.78</v>
      </c>
      <c r="AB71" s="129">
        <f t="shared" si="5"/>
        <v>7417009.3999999994</v>
      </c>
      <c r="AC71" s="129">
        <f t="shared" si="5"/>
        <v>1904081.78</v>
      </c>
      <c r="AD71" s="129">
        <f t="shared" si="5"/>
        <v>0</v>
      </c>
      <c r="AE71" s="129">
        <f t="shared" si="5"/>
        <v>1187350.8800000001</v>
      </c>
      <c r="AF71" s="129">
        <f t="shared" si="5"/>
        <v>447546.26</v>
      </c>
      <c r="AG71" s="129">
        <f t="shared" si="5"/>
        <v>8145897.9199999981</v>
      </c>
      <c r="AH71" s="129">
        <f t="shared" si="5"/>
        <v>0</v>
      </c>
      <c r="AI71" s="129">
        <f t="shared" si="5"/>
        <v>2962565.4599999995</v>
      </c>
      <c r="AJ71" s="129">
        <f t="shared" ref="AJ71:BO71" si="6">SUM(AJ61:AJ69)-AJ70</f>
        <v>1369610.7200000002</v>
      </c>
      <c r="AK71" s="129">
        <f t="shared" si="6"/>
        <v>0</v>
      </c>
      <c r="AL71" s="129">
        <f t="shared" si="6"/>
        <v>130473.24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34762601.199999996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0</v>
      </c>
      <c r="AW71" s="129">
        <f t="shared" si="6"/>
        <v>2210004.0300000003</v>
      </c>
      <c r="AX71" s="129">
        <f t="shared" si="6"/>
        <v>0</v>
      </c>
      <c r="AY71" s="129">
        <f t="shared" si="6"/>
        <v>1273284.1600000001</v>
      </c>
      <c r="AZ71" s="129">
        <f t="shared" si="6"/>
        <v>0</v>
      </c>
      <c r="BA71" s="129">
        <f t="shared" si="6"/>
        <v>286831.99</v>
      </c>
      <c r="BB71" s="129">
        <f t="shared" si="6"/>
        <v>0</v>
      </c>
      <c r="BC71" s="129">
        <f t="shared" si="6"/>
        <v>0</v>
      </c>
      <c r="BD71" s="129">
        <f t="shared" si="6"/>
        <v>357086.77</v>
      </c>
      <c r="BE71" s="129">
        <f t="shared" si="6"/>
        <v>3726039.33</v>
      </c>
      <c r="BF71" s="129">
        <f t="shared" si="6"/>
        <v>2128109.8400000003</v>
      </c>
      <c r="BG71" s="129">
        <f t="shared" si="6"/>
        <v>514124.7</v>
      </c>
      <c r="BH71" s="129">
        <f t="shared" si="6"/>
        <v>3013179.75</v>
      </c>
      <c r="BI71" s="129">
        <f t="shared" si="6"/>
        <v>0</v>
      </c>
      <c r="BJ71" s="129">
        <f t="shared" si="6"/>
        <v>673619.11</v>
      </c>
      <c r="BK71" s="129">
        <f t="shared" si="6"/>
        <v>2325737.98</v>
      </c>
      <c r="BL71" s="129">
        <f t="shared" si="6"/>
        <v>1333131.73</v>
      </c>
      <c r="BM71" s="129">
        <f t="shared" si="6"/>
        <v>0</v>
      </c>
      <c r="BN71" s="129">
        <f t="shared" si="6"/>
        <v>3351589.5399999996</v>
      </c>
      <c r="BO71" s="129">
        <f t="shared" si="6"/>
        <v>238681.06</v>
      </c>
      <c r="BP71" s="129">
        <f t="shared" ref="BP71:CC71" si="7">SUM(BP61:BP69)-BP70</f>
        <v>275939.43</v>
      </c>
      <c r="BQ71" s="129">
        <f t="shared" si="7"/>
        <v>0</v>
      </c>
      <c r="BR71" s="129">
        <f t="shared" si="7"/>
        <v>821585.67</v>
      </c>
      <c r="BS71" s="129">
        <f t="shared" si="7"/>
        <v>38407.090000000004</v>
      </c>
      <c r="BT71" s="129">
        <f t="shared" si="7"/>
        <v>78826.490000000005</v>
      </c>
      <c r="BU71" s="129">
        <f t="shared" si="7"/>
        <v>0</v>
      </c>
      <c r="BV71" s="129">
        <f t="shared" si="7"/>
        <v>1091053.68</v>
      </c>
      <c r="BW71" s="129">
        <f t="shared" si="7"/>
        <v>363098.41000000003</v>
      </c>
      <c r="BX71" s="129">
        <f t="shared" si="7"/>
        <v>1597916.37</v>
      </c>
      <c r="BY71" s="129">
        <f t="shared" si="7"/>
        <v>1048296.6499999999</v>
      </c>
      <c r="BZ71" s="129">
        <f t="shared" si="7"/>
        <v>0</v>
      </c>
      <c r="CA71" s="129">
        <f t="shared" si="7"/>
        <v>307349.17</v>
      </c>
      <c r="CB71" s="129">
        <f t="shared" si="7"/>
        <v>197816.75</v>
      </c>
      <c r="CC71" s="129">
        <f t="shared" si="7"/>
        <v>3465618.46</v>
      </c>
      <c r="CD71" s="132">
        <f>CD69-CD70</f>
        <v>19049542.23</v>
      </c>
      <c r="CE71" s="129">
        <f>SUM(CE61:CE69)-CE70</f>
        <v>165429159.18700004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v>15407708.859999999</v>
      </c>
      <c r="D73" s="137"/>
      <c r="E73" s="138">
        <v>22100226.66</v>
      </c>
      <c r="F73" s="138">
        <v>19902593.809999999</v>
      </c>
      <c r="G73" s="137"/>
      <c r="H73" s="137"/>
      <c r="I73" s="138"/>
      <c r="J73" s="138">
        <v>4927265.3899999997</v>
      </c>
      <c r="K73" s="138"/>
      <c r="L73" s="138"/>
      <c r="M73" s="137"/>
      <c r="N73" s="137"/>
      <c r="O73" s="137"/>
      <c r="P73" s="138">
        <v>21945934.41</v>
      </c>
      <c r="Q73" s="138">
        <v>1137199.5900000001</v>
      </c>
      <c r="R73" s="138">
        <v>3010299.53</v>
      </c>
      <c r="S73" s="138">
        <v>3614220.93</v>
      </c>
      <c r="T73" s="138">
        <v>3970950.98</v>
      </c>
      <c r="U73" s="138">
        <v>27605385.57</v>
      </c>
      <c r="V73" s="138">
        <v>183845.13</v>
      </c>
      <c r="W73" s="138">
        <v>1260639.58</v>
      </c>
      <c r="X73" s="138">
        <v>9941374.3300000001</v>
      </c>
      <c r="Y73" s="138">
        <f>13005973.92+7585.57</f>
        <v>13013559.49</v>
      </c>
      <c r="Z73" s="138">
        <v>1124238.81</v>
      </c>
      <c r="AA73" s="138">
        <v>327849.44</v>
      </c>
      <c r="AB73" s="138">
        <v>21072737.789999999</v>
      </c>
      <c r="AC73" s="138">
        <v>16983866.93</v>
      </c>
      <c r="AD73" s="138"/>
      <c r="AE73" s="138">
        <v>1848993.02</v>
      </c>
      <c r="AF73" s="138"/>
      <c r="AG73" s="138">
        <v>15253353.49</v>
      </c>
      <c r="AH73" s="138"/>
      <c r="AI73" s="138">
        <v>47794.58</v>
      </c>
      <c r="AJ73" s="138">
        <v>1035591.33</v>
      </c>
      <c r="AK73" s="138"/>
      <c r="AL73" s="138">
        <v>453959.82</v>
      </c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206169589.47000006</v>
      </c>
    </row>
    <row r="74" spans="1:84" ht="12.65" customHeight="1" x14ac:dyDescent="0.3">
      <c r="A74" s="127" t="s">
        <v>246</v>
      </c>
      <c r="B74" s="129"/>
      <c r="C74" s="138">
        <v>537773.96</v>
      </c>
      <c r="D74" s="137"/>
      <c r="E74" s="138">
        <v>3657675.7</v>
      </c>
      <c r="F74" s="138">
        <v>1570467.63</v>
      </c>
      <c r="G74" s="137"/>
      <c r="H74" s="137"/>
      <c r="I74" s="137"/>
      <c r="J74" s="138"/>
      <c r="K74" s="138"/>
      <c r="L74" s="138"/>
      <c r="M74" s="137"/>
      <c r="N74" s="137"/>
      <c r="O74" s="137"/>
      <c r="P74" s="138">
        <v>28345711.52</v>
      </c>
      <c r="Q74" s="138">
        <v>2375696.89</v>
      </c>
      <c r="R74" s="138">
        <v>4749369.76</v>
      </c>
      <c r="S74" s="138">
        <v>4151551.96</v>
      </c>
      <c r="T74" s="138">
        <v>4840366.47</v>
      </c>
      <c r="U74" s="138">
        <v>25577507.66</v>
      </c>
      <c r="V74" s="138">
        <v>201499.37</v>
      </c>
      <c r="W74" s="138">
        <v>7416901.9299999997</v>
      </c>
      <c r="X74" s="138">
        <v>29896941.960000001</v>
      </c>
      <c r="Y74" s="138">
        <f>17338970.95+8630933.49</f>
        <v>25969904.439999998</v>
      </c>
      <c r="Z74" s="138">
        <v>45272021.409999996</v>
      </c>
      <c r="AA74" s="138">
        <v>3218099.6</v>
      </c>
      <c r="AB74" s="138">
        <v>11353189.710000001</v>
      </c>
      <c r="AC74" s="138">
        <v>4794694.08</v>
      </c>
      <c r="AD74" s="138"/>
      <c r="AE74" s="138">
        <v>1196627.1499999999</v>
      </c>
      <c r="AF74" s="138"/>
      <c r="AG74" s="138">
        <v>29785959.93</v>
      </c>
      <c r="AH74" s="138"/>
      <c r="AI74" s="138">
        <v>10337297.23</v>
      </c>
      <c r="AJ74" s="138">
        <f>7222890.88+281242.9</f>
        <v>7504133.7800000003</v>
      </c>
      <c r="AK74" s="138"/>
      <c r="AL74" s="138">
        <v>271671.15000000002</v>
      </c>
      <c r="AM74" s="138"/>
      <c r="AN74" s="138"/>
      <c r="AO74" s="138"/>
      <c r="AP74" s="138">
        <v>65060285.729999997</v>
      </c>
      <c r="AQ74" s="138"/>
      <c r="AR74" s="138"/>
      <c r="AS74" s="138"/>
      <c r="AT74" s="138"/>
      <c r="AU74" s="138"/>
      <c r="AV74" s="138"/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318085349.02000004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15945482.82</v>
      </c>
      <c r="D75" s="129">
        <f t="shared" si="9"/>
        <v>0</v>
      </c>
      <c r="E75" s="129">
        <f t="shared" si="9"/>
        <v>25757902.359999999</v>
      </c>
      <c r="F75" s="129">
        <f t="shared" si="9"/>
        <v>21473061.439999998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4927265.3899999997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50291645.93</v>
      </c>
      <c r="Q75" s="129">
        <f t="shared" si="9"/>
        <v>3512896.4800000004</v>
      </c>
      <c r="R75" s="129">
        <f t="shared" si="9"/>
        <v>7759669.2899999991</v>
      </c>
      <c r="S75" s="129">
        <f t="shared" si="9"/>
        <v>7765772.8900000006</v>
      </c>
      <c r="T75" s="129">
        <f t="shared" si="9"/>
        <v>8811317.4499999993</v>
      </c>
      <c r="U75" s="129">
        <f t="shared" si="9"/>
        <v>53182893.230000004</v>
      </c>
      <c r="V75" s="129">
        <f t="shared" si="9"/>
        <v>385344.5</v>
      </c>
      <c r="W75" s="129">
        <f t="shared" si="9"/>
        <v>8677541.5099999998</v>
      </c>
      <c r="X75" s="129">
        <f t="shared" si="9"/>
        <v>39838316.289999999</v>
      </c>
      <c r="Y75" s="129">
        <f t="shared" si="9"/>
        <v>38983463.93</v>
      </c>
      <c r="Z75" s="129">
        <f t="shared" si="9"/>
        <v>46396260.219999999</v>
      </c>
      <c r="AA75" s="129">
        <f t="shared" si="9"/>
        <v>3545949.04</v>
      </c>
      <c r="AB75" s="129">
        <f t="shared" si="9"/>
        <v>32425927.5</v>
      </c>
      <c r="AC75" s="129">
        <f t="shared" si="9"/>
        <v>21778561.009999998</v>
      </c>
      <c r="AD75" s="129">
        <f t="shared" si="9"/>
        <v>0</v>
      </c>
      <c r="AE75" s="129">
        <f t="shared" si="9"/>
        <v>3045620.17</v>
      </c>
      <c r="AF75" s="129">
        <f t="shared" si="9"/>
        <v>0</v>
      </c>
      <c r="AG75" s="129">
        <f t="shared" si="9"/>
        <v>45039313.420000002</v>
      </c>
      <c r="AH75" s="129">
        <f t="shared" si="9"/>
        <v>0</v>
      </c>
      <c r="AI75" s="129">
        <f t="shared" si="9"/>
        <v>10385091.810000001</v>
      </c>
      <c r="AJ75" s="129">
        <f t="shared" si="9"/>
        <v>8539725.1099999994</v>
      </c>
      <c r="AK75" s="129">
        <f t="shared" si="9"/>
        <v>0</v>
      </c>
      <c r="AL75" s="129">
        <f t="shared" si="9"/>
        <v>725630.97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65060285.729999997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0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524254938.49000013</v>
      </c>
    </row>
    <row r="76" spans="1:84" ht="12.65" customHeight="1" x14ac:dyDescent="0.3">
      <c r="A76" s="127" t="s">
        <v>248</v>
      </c>
      <c r="B76" s="129"/>
      <c r="C76" s="137">
        <v>8232</v>
      </c>
      <c r="D76" s="137"/>
      <c r="E76" s="138">
        <f>13916+13916</f>
        <v>27832</v>
      </c>
      <c r="F76" s="138">
        <v>13202</v>
      </c>
      <c r="G76" s="137"/>
      <c r="H76" s="137"/>
      <c r="I76" s="138"/>
      <c r="J76" s="138">
        <v>3386</v>
      </c>
      <c r="K76" s="138"/>
      <c r="L76" s="138"/>
      <c r="M76" s="138"/>
      <c r="N76" s="138"/>
      <c r="O76" s="138"/>
      <c r="P76" s="138">
        <v>21772</v>
      </c>
      <c r="Q76" s="138">
        <v>3360</v>
      </c>
      <c r="R76" s="138">
        <v>552</v>
      </c>
      <c r="S76" s="138">
        <v>4865</v>
      </c>
      <c r="T76" s="138"/>
      <c r="U76" s="138">
        <f>10447+2722</f>
        <v>13169</v>
      </c>
      <c r="V76" s="138">
        <v>150</v>
      </c>
      <c r="W76" s="138">
        <v>5560</v>
      </c>
      <c r="X76" s="138">
        <v>3170</v>
      </c>
      <c r="Y76" s="138">
        <f>9156+1924+2980+739+4201</f>
        <v>19000</v>
      </c>
      <c r="Z76" s="138"/>
      <c r="AA76" s="138">
        <v>4247</v>
      </c>
      <c r="AB76" s="138">
        <v>5593</v>
      </c>
      <c r="AC76" s="138">
        <v>4057</v>
      </c>
      <c r="AD76" s="138"/>
      <c r="AE76" s="138">
        <v>8153</v>
      </c>
      <c r="AF76" s="138"/>
      <c r="AG76" s="138">
        <v>12512</v>
      </c>
      <c r="AH76" s="138"/>
      <c r="AI76" s="138">
        <f>3360+21948</f>
        <v>25308</v>
      </c>
      <c r="AJ76" s="138">
        <f>6578+1612</f>
        <v>8190</v>
      </c>
      <c r="AK76" s="138"/>
      <c r="AL76" s="138">
        <v>200</v>
      </c>
      <c r="AM76" s="138"/>
      <c r="AN76" s="138"/>
      <c r="AO76" s="138"/>
      <c r="AP76" s="138">
        <f>2601+2500+2672+3035+4142+19386+5024+19584+19584+13998+780+1680+984+5586+1176</f>
        <v>102732</v>
      </c>
      <c r="AQ76" s="138"/>
      <c r="AR76" s="138"/>
      <c r="AS76" s="138"/>
      <c r="AT76" s="138"/>
      <c r="AU76" s="138"/>
      <c r="AV76" s="138"/>
      <c r="AW76" s="138">
        <v>1395</v>
      </c>
      <c r="AX76" s="138"/>
      <c r="AY76" s="138">
        <v>10399</v>
      </c>
      <c r="AZ76" s="138"/>
      <c r="BA76" s="138">
        <v>1710</v>
      </c>
      <c r="BB76" s="138"/>
      <c r="BC76" s="138"/>
      <c r="BD76" s="138">
        <v>14529</v>
      </c>
      <c r="BE76" s="138">
        <f>43600+268</f>
        <v>43868</v>
      </c>
      <c r="BF76" s="138">
        <v>2966</v>
      </c>
      <c r="BG76" s="138">
        <v>1434</v>
      </c>
      <c r="BH76" s="138">
        <v>8898</v>
      </c>
      <c r="BI76" s="138"/>
      <c r="BJ76" s="138">
        <v>642</v>
      </c>
      <c r="BK76" s="138">
        <v>4112</v>
      </c>
      <c r="BL76" s="138">
        <v>5856</v>
      </c>
      <c r="BM76" s="138"/>
      <c r="BN76" s="138">
        <v>1711</v>
      </c>
      <c r="BO76" s="138">
        <v>247</v>
      </c>
      <c r="BP76" s="138">
        <v>260</v>
      </c>
      <c r="BQ76" s="138"/>
      <c r="BR76" s="138">
        <v>1880</v>
      </c>
      <c r="BS76" s="138">
        <v>2193</v>
      </c>
      <c r="BT76" s="138">
        <v>863</v>
      </c>
      <c r="BU76" s="138"/>
      <c r="BV76" s="138">
        <v>708</v>
      </c>
      <c r="BW76" s="138">
        <v>8217</v>
      </c>
      <c r="BX76" s="138">
        <v>532</v>
      </c>
      <c r="BY76" s="138">
        <v>883</v>
      </c>
      <c r="BZ76" s="138"/>
      <c r="CA76" s="138">
        <v>252</v>
      </c>
      <c r="CB76" s="138">
        <v>309</v>
      </c>
      <c r="CC76" s="138">
        <v>108505</v>
      </c>
      <c r="CD76" s="191" t="s">
        <v>221</v>
      </c>
      <c r="CE76" s="129">
        <f t="shared" si="8"/>
        <v>517611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>
        <v>8870</v>
      </c>
      <c r="D77" s="137"/>
      <c r="E77" s="137">
        <f>18748+17601</f>
        <v>36349</v>
      </c>
      <c r="F77" s="137">
        <v>10025</v>
      </c>
      <c r="G77" s="137"/>
      <c r="H77" s="137"/>
      <c r="I77" s="137"/>
      <c r="J77" s="137">
        <v>262</v>
      </c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>
        <v>407</v>
      </c>
      <c r="AH77" s="137"/>
      <c r="AI77" s="137">
        <f>1523+446</f>
        <v>1969</v>
      </c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57882</v>
      </c>
      <c r="CF77" s="129">
        <f>AY59-CE77</f>
        <v>214088</v>
      </c>
    </row>
    <row r="78" spans="1:84" ht="11.25" customHeight="1" x14ac:dyDescent="0.3">
      <c r="A78" s="127" t="s">
        <v>250</v>
      </c>
      <c r="B78" s="129"/>
      <c r="C78" s="137">
        <f t="shared" ref="C78:AW78" si="10">(C76/$CE$76)*74434.25</f>
        <v>1183.7900392379606</v>
      </c>
      <c r="D78" s="137">
        <f t="shared" si="10"/>
        <v>0</v>
      </c>
      <c r="E78" s="137">
        <f t="shared" si="10"/>
        <v>4002.3377517092949</v>
      </c>
      <c r="F78" s="137">
        <f t="shared" si="10"/>
        <v>1898.4932091860489</v>
      </c>
      <c r="G78" s="137">
        <f t="shared" si="10"/>
        <v>0</v>
      </c>
      <c r="H78" s="137">
        <f t="shared" si="10"/>
        <v>0</v>
      </c>
      <c r="I78" s="137">
        <f t="shared" si="10"/>
        <v>0</v>
      </c>
      <c r="J78" s="137">
        <f t="shared" si="10"/>
        <v>486.91849767489487</v>
      </c>
      <c r="K78" s="137">
        <f t="shared" si="10"/>
        <v>0</v>
      </c>
      <c r="L78" s="137">
        <f t="shared" si="10"/>
        <v>0</v>
      </c>
      <c r="M78" s="137">
        <f t="shared" si="10"/>
        <v>0</v>
      </c>
      <c r="N78" s="137">
        <f t="shared" si="10"/>
        <v>0</v>
      </c>
      <c r="O78" s="137">
        <f t="shared" si="10"/>
        <v>0</v>
      </c>
      <c r="P78" s="137">
        <f t="shared" si="10"/>
        <v>3130.8888161186683</v>
      </c>
      <c r="Q78" s="137">
        <f t="shared" si="10"/>
        <v>483.17960785222886</v>
      </c>
      <c r="R78" s="137">
        <f t="shared" si="10"/>
        <v>79.379507004294723</v>
      </c>
      <c r="S78" s="137">
        <f t="shared" si="10"/>
        <v>699.60380720270632</v>
      </c>
      <c r="T78" s="137">
        <f t="shared" si="10"/>
        <v>0</v>
      </c>
      <c r="U78" s="137">
        <f t="shared" si="10"/>
        <v>1893.7476951803574</v>
      </c>
      <c r="V78" s="137">
        <f t="shared" si="10"/>
        <v>21.570518207688785</v>
      </c>
      <c r="W78" s="137">
        <f t="shared" si="10"/>
        <v>799.5472082316644</v>
      </c>
      <c r="X78" s="137">
        <f t="shared" si="10"/>
        <v>455.85695145582304</v>
      </c>
      <c r="Y78" s="137">
        <f t="shared" si="10"/>
        <v>2732.2656396405796</v>
      </c>
      <c r="Z78" s="137">
        <f t="shared" si="10"/>
        <v>0</v>
      </c>
      <c r="AA78" s="137">
        <f t="shared" si="10"/>
        <v>610.73327218702843</v>
      </c>
      <c r="AB78" s="137">
        <f t="shared" si="10"/>
        <v>804.29272223735586</v>
      </c>
      <c r="AC78" s="137">
        <f t="shared" si="10"/>
        <v>583.41061579062273</v>
      </c>
      <c r="AD78" s="137">
        <f t="shared" si="10"/>
        <v>0</v>
      </c>
      <c r="AE78" s="137">
        <f t="shared" si="10"/>
        <v>1172.4295663152443</v>
      </c>
      <c r="AF78" s="137">
        <f t="shared" si="10"/>
        <v>0</v>
      </c>
      <c r="AG78" s="137">
        <f t="shared" si="10"/>
        <v>1799.2688254306806</v>
      </c>
      <c r="AH78" s="137">
        <f t="shared" si="10"/>
        <v>0</v>
      </c>
      <c r="AI78" s="137">
        <f t="shared" si="10"/>
        <v>3639.377832001252</v>
      </c>
      <c r="AJ78" s="137">
        <f t="shared" si="10"/>
        <v>1177.7502941398077</v>
      </c>
      <c r="AK78" s="137">
        <f t="shared" si="10"/>
        <v>0</v>
      </c>
      <c r="AL78" s="137">
        <f t="shared" si="10"/>
        <v>28.760690943585047</v>
      </c>
      <c r="AM78" s="137">
        <f t="shared" si="10"/>
        <v>0</v>
      </c>
      <c r="AN78" s="137">
        <f t="shared" si="10"/>
        <v>0</v>
      </c>
      <c r="AO78" s="137">
        <f t="shared" si="10"/>
        <v>0</v>
      </c>
      <c r="AP78" s="137">
        <f t="shared" si="10"/>
        <v>14773.216510081895</v>
      </c>
      <c r="AQ78" s="137">
        <f t="shared" si="10"/>
        <v>0</v>
      </c>
      <c r="AR78" s="137">
        <f t="shared" si="10"/>
        <v>0</v>
      </c>
      <c r="AS78" s="137">
        <f t="shared" si="10"/>
        <v>0</v>
      </c>
      <c r="AT78" s="137">
        <f t="shared" si="10"/>
        <v>0</v>
      </c>
      <c r="AU78" s="137">
        <f t="shared" si="10"/>
        <v>0</v>
      </c>
      <c r="AV78" s="137">
        <f t="shared" si="10"/>
        <v>0</v>
      </c>
      <c r="AW78" s="137">
        <f t="shared" si="10"/>
        <v>200.6058193315057</v>
      </c>
      <c r="AX78" s="191" t="s">
        <v>221</v>
      </c>
      <c r="AY78" s="191" t="s">
        <v>221</v>
      </c>
      <c r="AZ78" s="191" t="s">
        <v>221</v>
      </c>
      <c r="BA78" s="137">
        <f>(BA76/$CE$76)*74434.25</f>
        <v>245.90390756765214</v>
      </c>
      <c r="BB78" s="137">
        <f>(BB76/$CE$76)*74434.25</f>
        <v>0</v>
      </c>
      <c r="BC78" s="137">
        <f>(BC76/$CE$76)*74434.25</f>
        <v>0</v>
      </c>
      <c r="BD78" s="191" t="s">
        <v>221</v>
      </c>
      <c r="BE78" s="191" t="s">
        <v>221</v>
      </c>
      <c r="BF78" s="191" t="s">
        <v>221</v>
      </c>
      <c r="BG78" s="191" t="s">
        <v>221</v>
      </c>
      <c r="BH78" s="137">
        <f>(BH76/$CE$76)*74434.25</f>
        <v>1279.5631400800987</v>
      </c>
      <c r="BI78" s="137">
        <f>(BI76/$CE$76)*74434.25</f>
        <v>0</v>
      </c>
      <c r="BJ78" s="191" t="s">
        <v>221</v>
      </c>
      <c r="BK78" s="137">
        <f>(BK76/$CE$76)*74434.25</f>
        <v>591.31980580010861</v>
      </c>
      <c r="BL78" s="137">
        <f>(BL76/$CE$76)*74434.25</f>
        <v>842.11303082817017</v>
      </c>
      <c r="BM78" s="137">
        <f>(BM76/$CE$76)*74434.25</f>
        <v>0</v>
      </c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>
        <f t="shared" ref="BS78:CB78" si="11">(BS76/$CE$76)*74434.25</f>
        <v>315.36097619641004</v>
      </c>
      <c r="BT78" s="137">
        <f t="shared" si="11"/>
        <v>124.10238142156948</v>
      </c>
      <c r="BU78" s="137">
        <f t="shared" si="11"/>
        <v>0</v>
      </c>
      <c r="BV78" s="137">
        <f t="shared" si="11"/>
        <v>101.81284594029107</v>
      </c>
      <c r="BW78" s="137">
        <f t="shared" si="11"/>
        <v>1181.6329874171918</v>
      </c>
      <c r="BX78" s="137">
        <f t="shared" si="11"/>
        <v>76.503437909936224</v>
      </c>
      <c r="BY78" s="137">
        <f t="shared" si="11"/>
        <v>126.97845051592799</v>
      </c>
      <c r="BZ78" s="137">
        <f t="shared" si="11"/>
        <v>0</v>
      </c>
      <c r="CA78" s="137">
        <f t="shared" si="11"/>
        <v>36.23847058891716</v>
      </c>
      <c r="CB78" s="137">
        <f t="shared" si="11"/>
        <v>44.435267507838894</v>
      </c>
      <c r="CC78" s="191" t="s">
        <v>221</v>
      </c>
      <c r="CD78" s="191" t="s">
        <v>221</v>
      </c>
      <c r="CE78" s="129">
        <f t="shared" si="8"/>
        <v>47623.390098935313</v>
      </c>
      <c r="CF78" s="129"/>
    </row>
    <row r="79" spans="1:84" ht="12.65" customHeight="1" x14ac:dyDescent="0.3">
      <c r="A79" s="127" t="s">
        <v>251</v>
      </c>
      <c r="B79" s="129"/>
      <c r="C79" s="235">
        <v>112173</v>
      </c>
      <c r="D79" s="173"/>
      <c r="E79" s="137">
        <f>170149+161641</f>
        <v>331790</v>
      </c>
      <c r="F79" s="137">
        <v>206422</v>
      </c>
      <c r="G79" s="137"/>
      <c r="H79" s="137"/>
      <c r="I79" s="137"/>
      <c r="J79" s="137">
        <v>47804</v>
      </c>
      <c r="K79" s="137"/>
      <c r="L79" s="137"/>
      <c r="M79" s="137"/>
      <c r="N79" s="137"/>
      <c r="O79" s="137"/>
      <c r="P79" s="137">
        <f>21139+144797+21242</f>
        <v>187178</v>
      </c>
      <c r="Q79" s="137"/>
      <c r="R79" s="137"/>
      <c r="S79" s="137"/>
      <c r="T79" s="137"/>
      <c r="U79" s="137"/>
      <c r="V79" s="137">
        <v>1341</v>
      </c>
      <c r="W79" s="137"/>
      <c r="X79" s="137">
        <v>19984</v>
      </c>
      <c r="Y79" s="137">
        <v>51954</v>
      </c>
      <c r="Z79" s="137"/>
      <c r="AA79" s="137"/>
      <c r="AB79" s="137"/>
      <c r="AC79" s="137"/>
      <c r="AD79" s="137"/>
      <c r="AE79" s="137">
        <v>35613</v>
      </c>
      <c r="AF79" s="137"/>
      <c r="AG79" s="137">
        <v>163373</v>
      </c>
      <c r="AH79" s="137"/>
      <c r="AI79" s="137">
        <f>30553+17027</f>
        <v>47580</v>
      </c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1205212</v>
      </c>
      <c r="CF79" s="129">
        <f>BA59</f>
        <v>0</v>
      </c>
    </row>
    <row r="80" spans="1:84" ht="12.65" customHeight="1" x14ac:dyDescent="0.3">
      <c r="A80" s="127" t="s">
        <v>252</v>
      </c>
      <c r="B80" s="129"/>
      <c r="C80" s="140">
        <v>37</v>
      </c>
      <c r="D80" s="140"/>
      <c r="E80" s="140">
        <f>27.4+16.2+3.6</f>
        <v>47.199999999999996</v>
      </c>
      <c r="F80" s="140">
        <v>32.774999999999999</v>
      </c>
      <c r="G80" s="140"/>
      <c r="H80" s="140"/>
      <c r="I80" s="140"/>
      <c r="J80" s="140">
        <v>10.9</v>
      </c>
      <c r="K80" s="140"/>
      <c r="L80" s="140"/>
      <c r="M80" s="140"/>
      <c r="N80" s="140"/>
      <c r="O80" s="140"/>
      <c r="P80" s="140">
        <v>5.9</v>
      </c>
      <c r="Q80" s="140">
        <v>4</v>
      </c>
      <c r="R80" s="140">
        <v>1</v>
      </c>
      <c r="S80" s="140"/>
      <c r="T80" s="140"/>
      <c r="U80" s="140"/>
      <c r="V80" s="140"/>
      <c r="W80" s="140"/>
      <c r="X80" s="140"/>
      <c r="Y80" s="140">
        <f>1.9+2</f>
        <v>3.9</v>
      </c>
      <c r="Z80" s="140"/>
      <c r="AA80" s="140">
        <v>1</v>
      </c>
      <c r="AB80" s="140"/>
      <c r="AC80" s="140"/>
      <c r="AD80" s="140"/>
      <c r="AE80" s="140">
        <v>1</v>
      </c>
      <c r="AF80" s="140"/>
      <c r="AG80" s="140">
        <v>18.55</v>
      </c>
      <c r="AH80" s="140"/>
      <c r="AI80" s="140">
        <f>13.525+4</f>
        <v>17.524999999999999</v>
      </c>
      <c r="AJ80" s="140">
        <f>1.2+1</f>
        <v>2.2000000000000002</v>
      </c>
      <c r="AK80" s="140"/>
      <c r="AL80" s="140"/>
      <c r="AM80" s="140"/>
      <c r="AN80" s="140"/>
      <c r="AO80" s="140"/>
      <c r="AP80" s="140">
        <v>1.9</v>
      </c>
      <c r="AQ80" s="140"/>
      <c r="AR80" s="140"/>
      <c r="AS80" s="140"/>
      <c r="AT80" s="140"/>
      <c r="AU80" s="140"/>
      <c r="AV80" s="140"/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184.85000000000002</v>
      </c>
      <c r="CF80" s="197"/>
    </row>
    <row r="81" spans="1:5" ht="21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6" t="s">
        <v>1267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7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238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39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239" t="s">
        <v>1270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238" t="s">
        <v>1271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238" t="s">
        <v>1272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238" t="s">
        <v>1273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238" t="s">
        <v>1274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238"/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240" t="s">
        <v>1275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41" t="s">
        <v>1276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242"/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>
        <v>1</v>
      </c>
      <c r="D106" s="129"/>
      <c r="E106" s="129"/>
    </row>
    <row r="107" spans="1:5" ht="12.65" customHeight="1" x14ac:dyDescent="0.3">
      <c r="A107" s="129"/>
      <c r="B107" s="128"/>
      <c r="C107" s="143"/>
      <c r="D107" s="129"/>
      <c r="E107" s="129"/>
    </row>
    <row r="108" spans="1:5" ht="21.7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3.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242">
        <v>5049</v>
      </c>
      <c r="D111" s="130">
        <f>20515-1590</f>
        <v>18925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242"/>
      <c r="D112" s="243"/>
      <c r="E112" s="129"/>
    </row>
    <row r="113" spans="1:5" ht="12.65" customHeight="1" x14ac:dyDescent="0.3">
      <c r="A113" s="129" t="s">
        <v>280</v>
      </c>
      <c r="B113" s="128" t="s">
        <v>256</v>
      </c>
      <c r="C113" s="2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242">
        <v>1392</v>
      </c>
      <c r="D114" s="130">
        <v>3513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242">
        <v>14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242">
        <v>0</v>
      </c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242">
        <v>60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242">
        <v>7</v>
      </c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242">
        <v>20</v>
      </c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242">
        <v>0</v>
      </c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242">
        <v>0</v>
      </c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242">
        <v>0</v>
      </c>
      <c r="D123" s="129"/>
      <c r="E123" s="129"/>
    </row>
    <row r="124" spans="1:5" ht="12.65" customHeight="1" x14ac:dyDescent="0.3">
      <c r="A124" s="129" t="s">
        <v>289</v>
      </c>
      <c r="B124" s="128"/>
      <c r="C124" s="242">
        <v>0</v>
      </c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242">
        <v>0</v>
      </c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242">
        <v>10</v>
      </c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111</v>
      </c>
    </row>
    <row r="128" spans="1:5" ht="12.65" customHeight="1" x14ac:dyDescent="0.3">
      <c r="A128" s="129" t="s">
        <v>292</v>
      </c>
      <c r="B128" s="128" t="s">
        <v>256</v>
      </c>
      <c r="C128" s="142">
        <v>111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10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2202</v>
      </c>
      <c r="C138" s="142">
        <v>1291</v>
      </c>
      <c r="D138" s="130">
        <f>C111-B138-C138</f>
        <v>1556</v>
      </c>
      <c r="E138" s="129">
        <f>SUM(B138:D138)</f>
        <v>5049</v>
      </c>
      <c r="F138" s="1" t="s">
        <v>1277</v>
      </c>
    </row>
    <row r="139" spans="1:6" ht="12.65" customHeight="1" x14ac:dyDescent="0.3">
      <c r="A139" s="129" t="s">
        <v>215</v>
      </c>
      <c r="B139" s="130">
        <v>10681</v>
      </c>
      <c r="C139" s="142">
        <v>4398</v>
      </c>
      <c r="D139" s="130">
        <f>D111-B139-C139</f>
        <v>3846</v>
      </c>
      <c r="E139" s="129">
        <f>SUM(B139:D139)</f>
        <v>18925</v>
      </c>
      <c r="F139" s="1" t="s">
        <v>1277</v>
      </c>
    </row>
    <row r="140" spans="1:6" ht="12.65" customHeight="1" x14ac:dyDescent="0.3">
      <c r="A140" s="129" t="s">
        <v>298</v>
      </c>
      <c r="B140" s="130">
        <v>22688</v>
      </c>
      <c r="C140" s="130">
        <v>18277</v>
      </c>
      <c r="D140" s="130">
        <v>25427</v>
      </c>
      <c r="E140" s="129">
        <f>SUM(B140:D140)</f>
        <v>66392</v>
      </c>
    </row>
    <row r="141" spans="1:6" ht="12.65" customHeight="1" x14ac:dyDescent="0.3">
      <c r="A141" s="129" t="s">
        <v>245</v>
      </c>
      <c r="B141" s="130">
        <v>107915250.29000001</v>
      </c>
      <c r="C141" s="142">
        <v>48753674.780000001</v>
      </c>
      <c r="D141" s="130">
        <v>49500664.409999996</v>
      </c>
      <c r="E141" s="129">
        <f>SUM(B141:D141)</f>
        <v>206169589.47999999</v>
      </c>
      <c r="F141" s="150"/>
    </row>
    <row r="142" spans="1:6" ht="12.65" customHeight="1" x14ac:dyDescent="0.3">
      <c r="A142" s="129" t="s">
        <v>246</v>
      </c>
      <c r="B142" s="130">
        <v>118424224.36</v>
      </c>
      <c r="C142" s="142">
        <v>67623520.239999995</v>
      </c>
      <c r="D142" s="130">
        <v>132037604.42</v>
      </c>
      <c r="E142" s="129">
        <f>SUM(B142:D142)</f>
        <v>318085349.01999998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4396204.5999999996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506810.19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978534.06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5029108.12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>
        <f>194240.83+23971.87</f>
        <v>218212.69999999998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1786132.69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f>148197.84+12862.56-3174.52+339239.93</f>
        <v>497125.81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13412128.169999998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v>324662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v>491701.91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816363.90999999992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1125449.8400000001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v>174369.76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1299819.6000000001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v>283484.3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>
        <v>8162865.2400000002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8446349.540000001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10703399.83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10703399.83</v>
      </c>
      <c r="E190" s="129"/>
    </row>
    <row r="191" spans="1:5" ht="11.5" customHeight="1" x14ac:dyDescent="0.3">
      <c r="A191" s="129"/>
      <c r="B191" s="129"/>
      <c r="C191" s="144"/>
      <c r="D191" s="129"/>
      <c r="E191" s="129"/>
    </row>
    <row r="192" spans="1:5" ht="18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25340012</v>
      </c>
      <c r="C195" s="142">
        <v>23135140</v>
      </c>
      <c r="D195" s="130">
        <v>25485152</v>
      </c>
      <c r="E195" s="129">
        <f t="shared" ref="E195:E203" si="12">SUM(B195:C195)-D195</f>
        <v>22990000</v>
      </c>
    </row>
    <row r="196" spans="1:8" ht="12.65" customHeight="1" x14ac:dyDescent="0.3">
      <c r="A196" s="129" t="s">
        <v>333</v>
      </c>
      <c r="B196" s="130">
        <v>9049</v>
      </c>
      <c r="C196" s="142">
        <v>2156474</v>
      </c>
      <c r="D196" s="130">
        <v>0</v>
      </c>
      <c r="E196" s="129">
        <f t="shared" si="12"/>
        <v>2165523</v>
      </c>
    </row>
    <row r="197" spans="1:8" ht="12.65" customHeight="1" x14ac:dyDescent="0.3">
      <c r="A197" s="129" t="s">
        <v>334</v>
      </c>
      <c r="B197" s="130">
        <v>68693864</v>
      </c>
      <c r="C197" s="142">
        <v>46875.48</v>
      </c>
      <c r="D197" s="130">
        <v>16214233</v>
      </c>
      <c r="E197" s="129">
        <f t="shared" si="12"/>
        <v>52526506.480000004</v>
      </c>
    </row>
    <row r="198" spans="1:8" ht="12.65" customHeight="1" x14ac:dyDescent="0.3">
      <c r="A198" s="129" t="s">
        <v>335</v>
      </c>
      <c r="B198" s="130">
        <v>0</v>
      </c>
      <c r="C198" s="142"/>
      <c r="D198" s="130"/>
      <c r="E198" s="129">
        <f t="shared" si="12"/>
        <v>0</v>
      </c>
    </row>
    <row r="199" spans="1:8" ht="12.65" customHeight="1" x14ac:dyDescent="0.3">
      <c r="A199" s="129" t="s">
        <v>336</v>
      </c>
      <c r="B199" s="130">
        <v>0</v>
      </c>
      <c r="C199" s="142"/>
      <c r="D199" s="130"/>
      <c r="E199" s="129">
        <f t="shared" si="12"/>
        <v>0</v>
      </c>
    </row>
    <row r="200" spans="1:8" ht="12.65" customHeight="1" x14ac:dyDescent="0.3">
      <c r="A200" s="129" t="s">
        <v>337</v>
      </c>
      <c r="B200" s="130">
        <v>11069916</v>
      </c>
      <c r="C200" s="142">
        <v>3372568</v>
      </c>
      <c r="D200" s="130">
        <v>344493.8</v>
      </c>
      <c r="E200" s="129">
        <f t="shared" si="12"/>
        <v>14097990.199999999</v>
      </c>
    </row>
    <row r="201" spans="1:8" ht="12.65" customHeight="1" x14ac:dyDescent="0.3">
      <c r="A201" s="129" t="s">
        <v>338</v>
      </c>
      <c r="B201" s="130">
        <v>0</v>
      </c>
      <c r="C201" s="142"/>
      <c r="D201" s="130"/>
      <c r="E201" s="129">
        <f t="shared" si="12"/>
        <v>0</v>
      </c>
    </row>
    <row r="202" spans="1:8" ht="12.65" customHeight="1" x14ac:dyDescent="0.3">
      <c r="A202" s="129" t="s">
        <v>339</v>
      </c>
      <c r="B202" s="130">
        <v>1204374</v>
      </c>
      <c r="C202" s="142">
        <v>16449231</v>
      </c>
      <c r="D202" s="130">
        <v>1971688.29</v>
      </c>
      <c r="E202" s="129">
        <f t="shared" si="12"/>
        <v>15681916.710000001</v>
      </c>
    </row>
    <row r="203" spans="1:8" ht="12.65" customHeight="1" x14ac:dyDescent="0.3">
      <c r="A203" s="129" t="s">
        <v>340</v>
      </c>
      <c r="B203" s="130">
        <v>114260</v>
      </c>
      <c r="C203" s="142">
        <v>2709541</v>
      </c>
      <c r="D203" s="130">
        <v>1198235.78</v>
      </c>
      <c r="E203" s="129">
        <f t="shared" si="12"/>
        <v>1625565.22</v>
      </c>
    </row>
    <row r="204" spans="1:8" ht="12.65" customHeight="1" x14ac:dyDescent="0.3">
      <c r="A204" s="129" t="s">
        <v>203</v>
      </c>
      <c r="B204" s="129">
        <f>SUM(B195:B203)</f>
        <v>106431475</v>
      </c>
      <c r="C204" s="144">
        <f>SUM(C195:C203)</f>
        <v>47869829.480000004</v>
      </c>
      <c r="D204" s="129">
        <f>SUM(D195:D203)</f>
        <v>45213802.869999997</v>
      </c>
      <c r="E204" s="129">
        <f>SUM(E195:E203)</f>
        <v>109087501.61000001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1346</v>
      </c>
      <c r="C209" s="142">
        <v>1624099.55</v>
      </c>
      <c r="D209" s="130">
        <v>2817.96</v>
      </c>
      <c r="E209" s="129">
        <f t="shared" ref="E209:E216" si="13">SUM(B209:C209)-D209</f>
        <v>1622627.59</v>
      </c>
      <c r="H209"/>
    </row>
    <row r="210" spans="1:8" ht="12.65" customHeight="1" x14ac:dyDescent="0.3">
      <c r="A210" s="129" t="s">
        <v>334</v>
      </c>
      <c r="B210" s="130">
        <v>0</v>
      </c>
      <c r="C210" s="142">
        <v>3590629.44</v>
      </c>
      <c r="D210" s="130"/>
      <c r="E210" s="129">
        <f t="shared" si="13"/>
        <v>3590629.44</v>
      </c>
      <c r="H210"/>
    </row>
    <row r="211" spans="1:8" ht="12.65" customHeight="1" x14ac:dyDescent="0.3">
      <c r="A211" s="129" t="s">
        <v>335</v>
      </c>
      <c r="B211" s="130">
        <v>0</v>
      </c>
      <c r="C211" s="142"/>
      <c r="D211" s="130"/>
      <c r="E211" s="129">
        <f t="shared" si="13"/>
        <v>0</v>
      </c>
      <c r="H211"/>
    </row>
    <row r="212" spans="1:8" ht="12.65" customHeight="1" x14ac:dyDescent="0.3">
      <c r="A212" s="129" t="s">
        <v>336</v>
      </c>
      <c r="B212" s="130">
        <v>0</v>
      </c>
      <c r="C212" s="142"/>
      <c r="D212" s="130"/>
      <c r="E212" s="129">
        <f t="shared" si="13"/>
        <v>0</v>
      </c>
      <c r="H212"/>
    </row>
    <row r="213" spans="1:8" ht="12.65" customHeight="1" x14ac:dyDescent="0.3">
      <c r="A213" s="129" t="s">
        <v>337</v>
      </c>
      <c r="B213" s="130">
        <v>11148022</v>
      </c>
      <c r="C213" s="142">
        <v>6742777</v>
      </c>
      <c r="D213" s="130">
        <v>11216546.75</v>
      </c>
      <c r="E213" s="129">
        <f t="shared" si="13"/>
        <v>6674252.25</v>
      </c>
      <c r="H213"/>
    </row>
    <row r="214" spans="1:8" ht="12.65" customHeight="1" x14ac:dyDescent="0.3">
      <c r="A214" s="129" t="s">
        <v>338</v>
      </c>
      <c r="B214" s="130"/>
      <c r="C214" s="142"/>
      <c r="D214" s="130"/>
      <c r="E214" s="129">
        <f t="shared" si="13"/>
        <v>0</v>
      </c>
      <c r="H214"/>
    </row>
    <row r="215" spans="1:8" ht="12.65" customHeight="1" x14ac:dyDescent="0.3">
      <c r="A215" s="129" t="s">
        <v>339</v>
      </c>
      <c r="B215" s="130">
        <v>984</v>
      </c>
      <c r="C215" s="142">
        <v>7738332.7800000003</v>
      </c>
      <c r="D215" s="130">
        <v>371344.36</v>
      </c>
      <c r="E215" s="129">
        <f t="shared" si="13"/>
        <v>7367972.4199999999</v>
      </c>
      <c r="H215"/>
    </row>
    <row r="216" spans="1:8" ht="12.65" customHeight="1" x14ac:dyDescent="0.3">
      <c r="A216" s="129" t="s">
        <v>340</v>
      </c>
      <c r="B216" s="130">
        <v>0</v>
      </c>
      <c r="C216" s="142"/>
      <c r="D216" s="130"/>
      <c r="E216" s="129">
        <f t="shared" si="13"/>
        <v>0</v>
      </c>
      <c r="H216"/>
    </row>
    <row r="217" spans="1:8" ht="12.65" customHeight="1" x14ac:dyDescent="0.3">
      <c r="A217" s="129" t="s">
        <v>203</v>
      </c>
      <c r="B217" s="129">
        <f>SUM(B208:B216)</f>
        <v>11150352</v>
      </c>
      <c r="C217" s="144">
        <f>SUM(C208:C216)</f>
        <v>19695838.77</v>
      </c>
      <c r="D217" s="129">
        <f>SUM(D208:D216)</f>
        <v>11590709.07</v>
      </c>
      <c r="E217" s="129">
        <f>SUM(E208:E216)</f>
        <v>19255481.700000003</v>
      </c>
    </row>
    <row r="218" spans="1:8" ht="12.65" customHeight="1" x14ac:dyDescent="0.3">
      <c r="A218" s="129"/>
      <c r="B218" s="129"/>
      <c r="C218" s="144"/>
      <c r="D218" s="129"/>
      <c r="E218" s="129"/>
    </row>
    <row r="219" spans="1:8" ht="21.7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48" t="s">
        <v>1254</v>
      </c>
      <c r="C220" s="248"/>
      <c r="D220" s="159"/>
      <c r="E220" s="159"/>
    </row>
    <row r="221" spans="1:8" ht="12.65" customHeight="1" x14ac:dyDescent="0.3">
      <c r="A221" s="210" t="s">
        <v>1254</v>
      </c>
      <c r="B221" s="159"/>
      <c r="C221" s="142">
        <v>2792809.07</v>
      </c>
      <c r="D221" s="128">
        <f>C221</f>
        <v>2792809.07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169880322.93000001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104189062.5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>
        <v>9724433.4700000007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>
        <v>8814685.6400000006</v>
      </c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>
        <v>72008687.420000002</v>
      </c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/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364617191.96000004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242">
        <v>1182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428764.8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6419615.8600000003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6848380.6600000001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>
        <v>727214.2</v>
      </c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727214.2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374985595.89000005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65" customHeight="1" x14ac:dyDescent="0.3">
      <c r="A247" s="129"/>
      <c r="B247" s="129"/>
      <c r="C247" s="144"/>
      <c r="D247" s="129"/>
      <c r="E247" s="129"/>
    </row>
    <row r="248" spans="1:5" ht="11.25" customHeight="1" x14ac:dyDescent="0.3">
      <c r="A248" s="159" t="s">
        <v>360</v>
      </c>
      <c r="B248" s="159"/>
      <c r="C248" s="159"/>
      <c r="D248" s="159"/>
      <c r="E248" s="159"/>
    </row>
    <row r="249" spans="1:5" ht="12.6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242">
        <f>-5199940.54+735500.1</f>
        <v>-4464440.4400000004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242">
        <v>0</v>
      </c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242">
        <f>69522979.78+5447.81+4987316.33+10200.13-649.84+273651.76+1456865.12+467114.6+1437892.64+6838237.22-586242.9</f>
        <v>84412812.649999991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242">
        <f>46204816.05+19741213.35</f>
        <v>65946029.399999999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242">
        <v>3757757.78</v>
      </c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242">
        <v>671270.77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2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242">
        <v>3670179.87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242">
        <v>1539611.15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242"/>
      <c r="D259" s="129"/>
      <c r="E259" s="129"/>
    </row>
    <row r="260" spans="1:5" ht="11.25" customHeight="1" x14ac:dyDescent="0.3">
      <c r="A260" s="129" t="s">
        <v>371</v>
      </c>
      <c r="B260" s="129"/>
      <c r="C260" s="144"/>
      <c r="D260" s="129">
        <f>SUM(C250:C252)-C253+SUM(C254:C259)</f>
        <v>23641162.379999995</v>
      </c>
      <c r="E260" s="129"/>
    </row>
    <row r="261" spans="1:5" ht="12.6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>
        <v>0</v>
      </c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>
        <v>0</v>
      </c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>
        <v>0</v>
      </c>
      <c r="D264" s="129"/>
      <c r="E264" s="129"/>
    </row>
    <row r="265" spans="1:5" ht="11.2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2.6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v>22990000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v>2165523.1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v>52526507.090000004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v>0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>
        <v>0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v>14097990.869999999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v>15681916.66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f>47393.62+1578170.83</f>
        <v>1625564.4500000002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109087502.17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19255482.129999999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89832020.040000007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>
        <v>0</v>
      </c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>
        <v>0</v>
      </c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>
        <v>204913.57</v>
      </c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>
        <v>0</v>
      </c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204913.57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>
        <v>22378479.260000002</v>
      </c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>
        <v>0</v>
      </c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>
        <v>0</v>
      </c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>
        <v>0</v>
      </c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22378479.260000002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136056575.25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29"/>
      <c r="B301" s="129"/>
      <c r="C301" s="144"/>
      <c r="D301" s="129"/>
      <c r="E301" s="129"/>
    </row>
    <row r="302" spans="1:5" ht="14.25" customHeight="1" x14ac:dyDescent="0.3">
      <c r="A302" s="159" t="s">
        <v>394</v>
      </c>
      <c r="B302" s="159"/>
      <c r="C302" s="159"/>
      <c r="D302" s="159"/>
      <c r="E302" s="159"/>
    </row>
    <row r="303" spans="1:5" ht="12.6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2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242">
        <f>4744681.07+1105826.49</f>
        <v>5850507.5600000005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242">
        <f>3523873.66+2625538.8+2114432.26</f>
        <v>8263844.7199999997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242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242"/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242">
        <v>5207117.3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2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2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242"/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242">
        <v>0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19321469.580000002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>
        <v>0</v>
      </c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>
        <v>0</v>
      </c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>
        <v>233606.89</v>
      </c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233606.89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>
        <v>0</v>
      </c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>
        <v>0</v>
      </c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v>0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>
        <v>156137936.08000001</v>
      </c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v>0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>
        <v>-1931464.09</v>
      </c>
      <c r="D326" s="129"/>
      <c r="E326" s="129"/>
    </row>
    <row r="327" spans="1:5" ht="19.5" customHeight="1" x14ac:dyDescent="0.3">
      <c r="A327" s="129" t="s">
        <v>418</v>
      </c>
      <c r="B327" s="128" t="s">
        <v>256</v>
      </c>
      <c r="C327" s="142">
        <v>0</v>
      </c>
      <c r="D327" s="129"/>
      <c r="E327" s="129"/>
    </row>
    <row r="328" spans="1:5" ht="12.65" customHeight="1" x14ac:dyDescent="0.3">
      <c r="A328" s="129" t="s">
        <v>203</v>
      </c>
      <c r="B328" s="129"/>
      <c r="C328" s="144"/>
      <c r="D328" s="129">
        <f>SUM(C321:C327)</f>
        <v>154206471.99000001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154206471.99000001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42">
        <v>-27613329.18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244">
        <v>0</v>
      </c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244">
        <v>0</v>
      </c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244">
        <v>0</v>
      </c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>
        <v>-10091644.029999999</v>
      </c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>
        <v>0</v>
      </c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136056575.25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136056575.25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206169589.47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318085349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524254938.47000003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2792809.07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f>365344406.16-727214</f>
        <v>364617192.16000003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6848380.6600000001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>
        <v>727214</v>
      </c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374985595.89000005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149269342.57999998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f>3118306+240218+580732-381497.76</f>
        <v>3557758.24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3557758.24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152827100.81999999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70874121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13412128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6661524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30252591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2167616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14256421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8545162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816364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1299820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8446350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10703400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v>1551422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168986919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-16159818.180000007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f>-3221532</f>
        <v>-3221532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-19381350.180000007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>
        <f>8908208+381497.76</f>
        <v>9289705.7599999998</v>
      </c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3.5" customHeight="1" x14ac:dyDescent="0.3">
      <c r="A396" s="129" t="s">
        <v>458</v>
      </c>
      <c r="B396" s="129"/>
      <c r="C396" s="144"/>
      <c r="D396" s="129">
        <f>D393+C394-C395</f>
        <v>-10091644.420000007</v>
      </c>
      <c r="E396" s="129"/>
    </row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RCCH Trios Health LLC   H-0     FYE 12/31/2020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5049</v>
      </c>
      <c r="C414" s="1">
        <f>E138</f>
        <v>5049</v>
      </c>
    </row>
    <row r="415" spans="1:5" ht="12.65" customHeight="1" x14ac:dyDescent="0.3">
      <c r="A415" s="1" t="s">
        <v>464</v>
      </c>
      <c r="B415" s="1">
        <f>D111</f>
        <v>18925</v>
      </c>
      <c r="C415" s="1">
        <f>E139</f>
        <v>18925</v>
      </c>
      <c r="D415" s="1">
        <f>SUM(C59:H59)+N59</f>
        <v>18925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1392</v>
      </c>
    </row>
    <row r="424" spans="1:7" ht="12.65" customHeight="1" x14ac:dyDescent="0.3">
      <c r="A424" s="1" t="s">
        <v>1243</v>
      </c>
      <c r="B424" s="1">
        <f>D114</f>
        <v>3513</v>
      </c>
      <c r="D424" s="1">
        <f>J59</f>
        <v>3513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4">C378</f>
        <v>70874121</v>
      </c>
      <c r="C427" s="1">
        <f t="shared" ref="C427:C434" si="15">CE61</f>
        <v>70874121.480000019</v>
      </c>
    </row>
    <row r="428" spans="1:7" ht="12.65" customHeight="1" x14ac:dyDescent="0.3">
      <c r="A428" s="1" t="s">
        <v>3</v>
      </c>
      <c r="B428" s="1">
        <f t="shared" si="14"/>
        <v>13412128</v>
      </c>
      <c r="C428" s="1">
        <f t="shared" si="15"/>
        <v>13412126</v>
      </c>
      <c r="D428" s="1">
        <f>D173</f>
        <v>13412128.169999998</v>
      </c>
    </row>
    <row r="429" spans="1:7" ht="12.65" customHeight="1" x14ac:dyDescent="0.3">
      <c r="A429" s="1" t="s">
        <v>236</v>
      </c>
      <c r="B429" s="1">
        <f t="shared" si="14"/>
        <v>6661524</v>
      </c>
      <c r="C429" s="1">
        <f t="shared" si="15"/>
        <v>6661524.7199999988</v>
      </c>
    </row>
    <row r="430" spans="1:7" ht="12.65" customHeight="1" x14ac:dyDescent="0.3">
      <c r="A430" s="1" t="s">
        <v>237</v>
      </c>
      <c r="B430" s="1">
        <f t="shared" si="14"/>
        <v>30252591</v>
      </c>
      <c r="C430" s="1">
        <f t="shared" si="15"/>
        <v>30252591.477000002</v>
      </c>
    </row>
    <row r="431" spans="1:7" ht="12.65" customHeight="1" x14ac:dyDescent="0.3">
      <c r="A431" s="1" t="s">
        <v>444</v>
      </c>
      <c r="B431" s="1">
        <f t="shared" si="14"/>
        <v>2167616</v>
      </c>
      <c r="C431" s="1">
        <f t="shared" si="15"/>
        <v>2167615.5299999998</v>
      </c>
    </row>
    <row r="432" spans="1:7" ht="12.65" customHeight="1" x14ac:dyDescent="0.3">
      <c r="A432" s="1" t="s">
        <v>445</v>
      </c>
      <c r="B432" s="1">
        <f t="shared" si="14"/>
        <v>14256421</v>
      </c>
      <c r="C432" s="1">
        <f t="shared" si="15"/>
        <v>14256420.300000001</v>
      </c>
    </row>
    <row r="433" spans="1:7" ht="12.65" customHeight="1" x14ac:dyDescent="0.3">
      <c r="A433" s="1" t="s">
        <v>6</v>
      </c>
      <c r="B433" s="1">
        <f t="shared" si="14"/>
        <v>8545162</v>
      </c>
      <c r="C433" s="1">
        <f t="shared" si="15"/>
        <v>8545163</v>
      </c>
      <c r="D433" s="1">
        <f>C217</f>
        <v>19695838.77</v>
      </c>
    </row>
    <row r="434" spans="1:7" ht="12.65" customHeight="1" x14ac:dyDescent="0.3">
      <c r="A434" s="1" t="s">
        <v>474</v>
      </c>
      <c r="B434" s="1">
        <f t="shared" si="14"/>
        <v>816364</v>
      </c>
      <c r="C434" s="1">
        <f t="shared" si="15"/>
        <v>816363.91000000015</v>
      </c>
      <c r="D434" s="1">
        <f>D177</f>
        <v>816363.90999999992</v>
      </c>
    </row>
    <row r="435" spans="1:7" ht="12.65" customHeight="1" x14ac:dyDescent="0.3">
      <c r="A435" s="1" t="s">
        <v>447</v>
      </c>
      <c r="B435" s="1">
        <f t="shared" si="14"/>
        <v>1299820</v>
      </c>
      <c r="D435" s="1">
        <f>D181</f>
        <v>1299819.6000000001</v>
      </c>
    </row>
    <row r="436" spans="1:7" ht="12.65" customHeight="1" x14ac:dyDescent="0.3">
      <c r="A436" s="1" t="s">
        <v>475</v>
      </c>
      <c r="B436" s="1">
        <f t="shared" si="14"/>
        <v>8446350</v>
      </c>
      <c r="D436" s="1">
        <f>D186</f>
        <v>8446349.540000001</v>
      </c>
    </row>
    <row r="437" spans="1:7" ht="12.65" customHeight="1" x14ac:dyDescent="0.3">
      <c r="A437" s="1" t="s">
        <v>449</v>
      </c>
      <c r="B437" s="1">
        <f t="shared" si="14"/>
        <v>10703400</v>
      </c>
      <c r="D437" s="1">
        <f>D190</f>
        <v>10703399.83</v>
      </c>
    </row>
    <row r="438" spans="1:7" ht="12.65" customHeight="1" x14ac:dyDescent="0.3">
      <c r="A438" s="1" t="s">
        <v>476</v>
      </c>
      <c r="B438" s="1">
        <f>C386+C387+C388</f>
        <v>20449570</v>
      </c>
      <c r="C438" s="1">
        <f>CD69</f>
        <v>20449570</v>
      </c>
      <c r="D438" s="1">
        <f>D181+D186+D190</f>
        <v>20449568.969999999</v>
      </c>
    </row>
    <row r="439" spans="1:7" ht="12.65" customHeight="1" x14ac:dyDescent="0.3">
      <c r="A439" s="1" t="s">
        <v>451</v>
      </c>
      <c r="B439" s="1">
        <f>C389</f>
        <v>1551422</v>
      </c>
      <c r="C439" s="1">
        <f>SUM(C69:CC69)</f>
        <v>1551421.6600000001</v>
      </c>
    </row>
    <row r="440" spans="1:7" ht="12.65" customHeight="1" x14ac:dyDescent="0.3">
      <c r="A440" s="1" t="s">
        <v>477</v>
      </c>
      <c r="B440" s="1">
        <f>B438+B439</f>
        <v>22000992</v>
      </c>
      <c r="C440" s="1">
        <f>CE69</f>
        <v>22000991.66</v>
      </c>
    </row>
    <row r="441" spans="1:7" ht="12.65" customHeight="1" x14ac:dyDescent="0.3">
      <c r="A441" s="1" t="s">
        <v>478</v>
      </c>
      <c r="B441" s="1">
        <f>D390</f>
        <v>168986919</v>
      </c>
      <c r="C441" s="1">
        <f>SUM(C427:C437)+C440</f>
        <v>168986918.07700002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2792809.07</v>
      </c>
      <c r="C444" s="1">
        <f>C363</f>
        <v>2792809.07</v>
      </c>
    </row>
    <row r="445" spans="1:7" ht="12.65" customHeight="1" x14ac:dyDescent="0.3">
      <c r="A445" s="1" t="s">
        <v>343</v>
      </c>
      <c r="B445" s="1">
        <f>D229</f>
        <v>364617191.96000004</v>
      </c>
      <c r="C445" s="1">
        <f>C364</f>
        <v>364617192.16000003</v>
      </c>
    </row>
    <row r="446" spans="1:7" ht="12.65" customHeight="1" x14ac:dyDescent="0.3">
      <c r="A446" s="1" t="s">
        <v>351</v>
      </c>
      <c r="B446" s="1">
        <f>D236</f>
        <v>6848380.6600000001</v>
      </c>
      <c r="C446" s="1">
        <f>C365</f>
        <v>6848380.6600000001</v>
      </c>
    </row>
    <row r="447" spans="1:7" ht="12.65" customHeight="1" x14ac:dyDescent="0.3">
      <c r="A447" s="1" t="s">
        <v>356</v>
      </c>
      <c r="B447" s="1">
        <f>D240</f>
        <v>727214.2</v>
      </c>
      <c r="C447" s="1">
        <f>C366</f>
        <v>727214</v>
      </c>
    </row>
    <row r="448" spans="1:7" ht="12.65" customHeight="1" x14ac:dyDescent="0.3">
      <c r="A448" s="1" t="s">
        <v>358</v>
      </c>
      <c r="B448" s="1">
        <f>D242</f>
        <v>374985595.89000005</v>
      </c>
      <c r="C448" s="1">
        <f>D367</f>
        <v>374985595.89000005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1182</v>
      </c>
    </row>
    <row r="454" spans="1:7" ht="12.65" customHeight="1" x14ac:dyDescent="0.3">
      <c r="A454" s="1" t="s">
        <v>168</v>
      </c>
      <c r="B454" s="1">
        <f>C233</f>
        <v>428764.8</v>
      </c>
    </row>
    <row r="455" spans="1:7" ht="12.65" customHeight="1" x14ac:dyDescent="0.3">
      <c r="A455" s="1" t="s">
        <v>131</v>
      </c>
      <c r="B455" s="1">
        <f>C234</f>
        <v>6419615.8600000003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3557758.24</v>
      </c>
      <c r="C458" s="1">
        <f>CE70</f>
        <v>3557758.8899999997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206169589.47</v>
      </c>
      <c r="C463" s="1">
        <f>CE73</f>
        <v>206169589.47000006</v>
      </c>
      <c r="D463" s="1">
        <f>E141+E147+E153</f>
        <v>206169589.47999999</v>
      </c>
    </row>
    <row r="464" spans="1:7" ht="12.65" customHeight="1" x14ac:dyDescent="0.3">
      <c r="A464" s="1" t="s">
        <v>246</v>
      </c>
      <c r="B464" s="1">
        <f>C360</f>
        <v>318085349</v>
      </c>
      <c r="C464" s="1">
        <f>CE74</f>
        <v>318085349.02000004</v>
      </c>
      <c r="D464" s="1">
        <f>E142+E148+E154</f>
        <v>318085349.01999998</v>
      </c>
    </row>
    <row r="465" spans="1:7" ht="12.65" customHeight="1" x14ac:dyDescent="0.3">
      <c r="A465" s="1" t="s">
        <v>247</v>
      </c>
      <c r="B465" s="1">
        <f>D361</f>
        <v>524254938.47000003</v>
      </c>
      <c r="C465" s="1">
        <f>CE75</f>
        <v>524254938.49000013</v>
      </c>
      <c r="D465" s="1">
        <f>D463+D464</f>
        <v>524254938.5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6">C267</f>
        <v>22990000</v>
      </c>
      <c r="C468" s="1">
        <f>E195</f>
        <v>22990000</v>
      </c>
    </row>
    <row r="469" spans="1:7" ht="12.65" customHeight="1" x14ac:dyDescent="0.3">
      <c r="A469" s="1" t="s">
        <v>333</v>
      </c>
      <c r="B469" s="1">
        <f t="shared" si="16"/>
        <v>2165523.1</v>
      </c>
      <c r="C469" s="1">
        <f>E196</f>
        <v>2165523</v>
      </c>
    </row>
    <row r="470" spans="1:7" ht="12.65" customHeight="1" x14ac:dyDescent="0.3">
      <c r="A470" s="1" t="s">
        <v>334</v>
      </c>
      <c r="B470" s="1">
        <f t="shared" si="16"/>
        <v>52526507.090000004</v>
      </c>
      <c r="C470" s="1">
        <f>E197</f>
        <v>52526506.480000004</v>
      </c>
    </row>
    <row r="471" spans="1:7" ht="12.65" customHeight="1" x14ac:dyDescent="0.3">
      <c r="A471" s="1" t="s">
        <v>494</v>
      </c>
      <c r="B471" s="1">
        <f t="shared" si="16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6"/>
        <v>0</v>
      </c>
      <c r="C472" s="1">
        <f>E199</f>
        <v>0</v>
      </c>
    </row>
    <row r="473" spans="1:7" ht="12.65" customHeight="1" x14ac:dyDescent="0.3">
      <c r="A473" s="1" t="s">
        <v>495</v>
      </c>
      <c r="B473" s="1">
        <f t="shared" si="16"/>
        <v>14097990.869999999</v>
      </c>
      <c r="C473" s="1">
        <f>SUM(E200:E201)</f>
        <v>14097990.199999999</v>
      </c>
    </row>
    <row r="474" spans="1:7" ht="12.65" customHeight="1" x14ac:dyDescent="0.3">
      <c r="A474" s="1" t="s">
        <v>339</v>
      </c>
      <c r="B474" s="1">
        <f t="shared" si="16"/>
        <v>15681916.66</v>
      </c>
      <c r="C474" s="1">
        <f>E202</f>
        <v>15681916.710000001</v>
      </c>
    </row>
    <row r="475" spans="1:7" ht="12.65" customHeight="1" x14ac:dyDescent="0.3">
      <c r="A475" s="1" t="s">
        <v>340</v>
      </c>
      <c r="B475" s="1">
        <f t="shared" si="16"/>
        <v>1625564.4500000002</v>
      </c>
      <c r="C475" s="1">
        <f>E203</f>
        <v>1625565.22</v>
      </c>
    </row>
    <row r="476" spans="1:7" ht="12.65" customHeight="1" x14ac:dyDescent="0.3">
      <c r="A476" s="1" t="s">
        <v>203</v>
      </c>
      <c r="B476" s="1">
        <f>D275</f>
        <v>109087502.17</v>
      </c>
      <c r="C476" s="1">
        <f>E204</f>
        <v>109087501.61000001</v>
      </c>
    </row>
    <row r="478" spans="1:7" ht="12.65" customHeight="1" x14ac:dyDescent="0.3">
      <c r="A478" s="1" t="s">
        <v>496</v>
      </c>
      <c r="B478" s="1">
        <f>C276</f>
        <v>19255482.129999999</v>
      </c>
      <c r="C478" s="1">
        <f>E217</f>
        <v>19255481.700000003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136056575.25</v>
      </c>
    </row>
    <row r="482" spans="1:12" ht="12.65" customHeight="1" x14ac:dyDescent="0.3">
      <c r="A482" s="1" t="s">
        <v>499</v>
      </c>
      <c r="C482" s="1">
        <f>D339</f>
        <v>136056575.25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039</v>
      </c>
      <c r="B493" s="202" t="str">
        <f>RIGHT('[1]Prior Year'!C82,4)</f>
        <v>2019</v>
      </c>
      <c r="C493" s="202" t="str">
        <f>RIGHT(C82,4)</f>
        <v>2020</v>
      </c>
      <c r="D493" s="202" t="str">
        <f>RIGHT('[1]Prior Year'!C82,4)</f>
        <v>2019</v>
      </c>
      <c r="E493" s="202" t="str">
        <f>RIGHT(C82,4)</f>
        <v>2020</v>
      </c>
      <c r="F493" s="202" t="str">
        <f>RIGHT('[1]Prior Year'!C82,4)</f>
        <v>2019</v>
      </c>
      <c r="G493" s="202" t="str">
        <f>RIGHT(C82,4)</f>
        <v>2020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'[1]Prior Year'!C71</f>
        <v>4419878.6799999988</v>
      </c>
      <c r="C496" s="185">
        <f>C71</f>
        <v>5409176.2800000012</v>
      </c>
      <c r="D496" s="185">
        <f>'[1]Prior Year'!C59</f>
        <v>3657</v>
      </c>
      <c r="E496" s="1">
        <f>C59</f>
        <v>4094</v>
      </c>
      <c r="F496" s="204">
        <f t="shared" ref="F496:G511" si="17">IF(B496=0,"",IF(D496=0,"",B496/D496))</f>
        <v>1208.6077878042108</v>
      </c>
      <c r="G496" s="204">
        <f t="shared" si="17"/>
        <v>1321.244816805081</v>
      </c>
      <c r="H496" s="205" t="str">
        <f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'[1]Prior Year'!D71</f>
        <v>25</v>
      </c>
      <c r="C497" s="185">
        <f>D71</f>
        <v>83.27000000000001</v>
      </c>
      <c r="D497" s="185">
        <f>'[1]Prior Year'!D59</f>
        <v>0</v>
      </c>
      <c r="E497" s="1">
        <f>D59</f>
        <v>0</v>
      </c>
      <c r="F497" s="204" t="str">
        <f t="shared" si="17"/>
        <v/>
      </c>
      <c r="G497" s="204" t="str">
        <f t="shared" si="17"/>
        <v/>
      </c>
      <c r="H497" s="205" t="str">
        <f t="shared" ref="H497:H550" si="18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'[1]Prior Year'!E71</f>
        <v>7236791.0999999996</v>
      </c>
      <c r="C498" s="185">
        <f>E71</f>
        <v>7729082.0900000017</v>
      </c>
      <c r="D498" s="185">
        <f>'[1]Prior Year'!E59</f>
        <v>11263</v>
      </c>
      <c r="E498" s="1">
        <f>E59</f>
        <v>11916</v>
      </c>
      <c r="F498" s="204">
        <f t="shared" si="17"/>
        <v>642.52784338098195</v>
      </c>
      <c r="G498" s="204">
        <f t="shared" si="17"/>
        <v>648.63058828465944</v>
      </c>
      <c r="H498" s="205" t="str">
        <f t="shared" si="18"/>
        <v/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'[1]Prior Year'!F71</f>
        <v>6418280.9100000001</v>
      </c>
      <c r="C499" s="185">
        <f>F71</f>
        <v>6019530.6000000006</v>
      </c>
      <c r="D499" s="185">
        <f>'[1]Prior Year'!F59</f>
        <v>3033</v>
      </c>
      <c r="E499" s="1">
        <f>F59</f>
        <v>2915</v>
      </c>
      <c r="F499" s="204">
        <f t="shared" si="17"/>
        <v>2116.1493273986152</v>
      </c>
      <c r="G499" s="204">
        <f t="shared" si="17"/>
        <v>2065.0190737564326</v>
      </c>
      <c r="H499" s="205" t="str">
        <f t="shared" si="18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'[1]Prior Year'!G71</f>
        <v>0</v>
      </c>
      <c r="C500" s="185">
        <f>G71</f>
        <v>0</v>
      </c>
      <c r="D500" s="185">
        <f>'[1]Prior Year'!G59</f>
        <v>0</v>
      </c>
      <c r="E500" s="1">
        <f>G59</f>
        <v>0</v>
      </c>
      <c r="F500" s="204" t="str">
        <f t="shared" si="17"/>
        <v/>
      </c>
      <c r="G500" s="204" t="str">
        <f t="shared" si="17"/>
        <v/>
      </c>
      <c r="H500" s="205" t="str">
        <f t="shared" si="18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'[1]Prior Year'!H71</f>
        <v>0</v>
      </c>
      <c r="C501" s="185">
        <f>H71</f>
        <v>0</v>
      </c>
      <c r="D501" s="185">
        <f>'[1]Prior Year'!H59</f>
        <v>0</v>
      </c>
      <c r="E501" s="1">
        <f>H59</f>
        <v>0</v>
      </c>
      <c r="F501" s="204" t="str">
        <f t="shared" si="17"/>
        <v/>
      </c>
      <c r="G501" s="204" t="str">
        <f t="shared" si="17"/>
        <v/>
      </c>
      <c r="H501" s="205" t="str">
        <f t="shared" si="18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'[1]Prior Year'!I71</f>
        <v>0</v>
      </c>
      <c r="C502" s="185">
        <f>I71</f>
        <v>0</v>
      </c>
      <c r="D502" s="185">
        <f>'[1]Prior Year'!I59</f>
        <v>0</v>
      </c>
      <c r="E502" s="1">
        <f>I59</f>
        <v>0</v>
      </c>
      <c r="F502" s="204" t="str">
        <f t="shared" si="17"/>
        <v/>
      </c>
      <c r="G502" s="204" t="str">
        <f t="shared" si="17"/>
        <v/>
      </c>
      <c r="H502" s="205" t="str">
        <f t="shared" si="18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'[1]Prior Year'!J71</f>
        <v>1808497.3499999999</v>
      </c>
      <c r="C503" s="185">
        <f>J71</f>
        <v>1779739.1400000001</v>
      </c>
      <c r="D503" s="185">
        <f>'[1]Prior Year'!J59</f>
        <v>3325</v>
      </c>
      <c r="E503" s="1">
        <f>J59</f>
        <v>3513</v>
      </c>
      <c r="F503" s="204">
        <f t="shared" si="17"/>
        <v>543.90897744360893</v>
      </c>
      <c r="G503" s="204">
        <f t="shared" si="17"/>
        <v>506.61518360375749</v>
      </c>
      <c r="H503" s="205" t="str">
        <f t="shared" si="18"/>
        <v/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'[1]Prior Year'!K71</f>
        <v>0</v>
      </c>
      <c r="C504" s="185">
        <f>K71</f>
        <v>0</v>
      </c>
      <c r="D504" s="185">
        <f>'[1]Prior Year'!K59</f>
        <v>0</v>
      </c>
      <c r="E504" s="1">
        <f>K59</f>
        <v>0</v>
      </c>
      <c r="F504" s="204" t="str">
        <f t="shared" si="17"/>
        <v/>
      </c>
      <c r="G504" s="204" t="str">
        <f t="shared" si="17"/>
        <v/>
      </c>
      <c r="H504" s="205" t="str">
        <f t="shared" si="18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'[1]Prior Year'!L71</f>
        <v>0</v>
      </c>
      <c r="C505" s="185">
        <f>L71</f>
        <v>0</v>
      </c>
      <c r="D505" s="185">
        <f>'[1]Prior Year'!L59</f>
        <v>0</v>
      </c>
      <c r="E505" s="1">
        <f>L59</f>
        <v>0</v>
      </c>
      <c r="F505" s="204" t="str">
        <f t="shared" si="17"/>
        <v/>
      </c>
      <c r="G505" s="204" t="str">
        <f t="shared" si="17"/>
        <v/>
      </c>
      <c r="H505" s="205" t="str">
        <f t="shared" si="18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'[1]Prior Year'!M71</f>
        <v>0</v>
      </c>
      <c r="C506" s="185">
        <f>M71</f>
        <v>0</v>
      </c>
      <c r="D506" s="185">
        <f>'[1]Prior Year'!M59</f>
        <v>0</v>
      </c>
      <c r="E506" s="1">
        <f>M59</f>
        <v>0</v>
      </c>
      <c r="F506" s="204" t="str">
        <f t="shared" si="17"/>
        <v/>
      </c>
      <c r="G506" s="204" t="str">
        <f t="shared" si="17"/>
        <v/>
      </c>
      <c r="H506" s="205" t="str">
        <f t="shared" si="18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'[1]Prior Year'!N71</f>
        <v>0</v>
      </c>
      <c r="C507" s="185">
        <f>N71</f>
        <v>0</v>
      </c>
      <c r="D507" s="185">
        <f>'[1]Prior Year'!N59</f>
        <v>0</v>
      </c>
      <c r="E507" s="1">
        <f>N59</f>
        <v>0</v>
      </c>
      <c r="F507" s="204" t="str">
        <f t="shared" si="17"/>
        <v/>
      </c>
      <c r="G507" s="204" t="str">
        <f t="shared" si="17"/>
        <v/>
      </c>
      <c r="H507" s="205" t="str">
        <f t="shared" si="18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'[1]Prior Year'!O71</f>
        <v>0</v>
      </c>
      <c r="C508" s="185">
        <f>O71</f>
        <v>0</v>
      </c>
      <c r="D508" s="185">
        <f>'[1]Prior Year'!O59</f>
        <v>0</v>
      </c>
      <c r="E508" s="1">
        <f>O59</f>
        <v>0</v>
      </c>
      <c r="F508" s="204" t="str">
        <f t="shared" si="17"/>
        <v/>
      </c>
      <c r="G508" s="204" t="str">
        <f t="shared" si="17"/>
        <v/>
      </c>
      <c r="H508" s="205" t="str">
        <f t="shared" si="18"/>
        <v/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'[1]Prior Year'!P71</f>
        <v>10213825.130000001</v>
      </c>
      <c r="C509" s="185">
        <f>P71</f>
        <v>9401593.7200000007</v>
      </c>
      <c r="D509" s="185">
        <f>'[1]Prior Year'!P59</f>
        <v>276955</v>
      </c>
      <c r="E509" s="1">
        <f>P59</f>
        <v>250834</v>
      </c>
      <c r="F509" s="204">
        <f t="shared" si="17"/>
        <v>36.879006084020872</v>
      </c>
      <c r="G509" s="204">
        <f t="shared" si="17"/>
        <v>37.481337139303285</v>
      </c>
      <c r="H509" s="205" t="str">
        <f t="shared" si="18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'[1]Prior Year'!Q71</f>
        <v>795118.45000000007</v>
      </c>
      <c r="C510" s="185">
        <f>Q71</f>
        <v>690339.66</v>
      </c>
      <c r="D510" s="185">
        <f>'[1]Prior Year'!Q59</f>
        <v>125819</v>
      </c>
      <c r="E510" s="1">
        <f>Q59</f>
        <v>125744</v>
      </c>
      <c r="F510" s="204">
        <f t="shared" si="17"/>
        <v>6.3195419610710628</v>
      </c>
      <c r="G510" s="204">
        <f t="shared" si="17"/>
        <v>5.4900405585952416</v>
      </c>
      <c r="H510" s="205" t="str">
        <f t="shared" si="18"/>
        <v/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'[1]Prior Year'!R71</f>
        <v>358428.98</v>
      </c>
      <c r="C511" s="185">
        <f>R71</f>
        <v>343324.58</v>
      </c>
      <c r="D511" s="185">
        <f>'[1]Prior Year'!R59</f>
        <v>0</v>
      </c>
      <c r="E511" s="1">
        <f>R59</f>
        <v>0</v>
      </c>
      <c r="F511" s="204" t="str">
        <f t="shared" si="17"/>
        <v/>
      </c>
      <c r="G511" s="204" t="str">
        <f t="shared" si="17"/>
        <v/>
      </c>
      <c r="H511" s="205" t="str">
        <f t="shared" si="18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'[1]Prior Year'!S71</f>
        <v>1477069.24</v>
      </c>
      <c r="C512" s="185">
        <f>S71</f>
        <v>788869.2699999999</v>
      </c>
      <c r="D512" s="134" t="s">
        <v>529</v>
      </c>
      <c r="E512" s="134" t="s">
        <v>529</v>
      </c>
      <c r="F512" s="204" t="str">
        <f t="shared" ref="F512:G527" si="19">IF(B512=0,"",IF(D512=0,"",B512/D512))</f>
        <v/>
      </c>
      <c r="G512" s="204" t="str">
        <f t="shared" si="19"/>
        <v/>
      </c>
      <c r="H512" s="205" t="str">
        <f t="shared" si="18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'[1]Prior Year'!T71</f>
        <v>787036.12</v>
      </c>
      <c r="C513" s="185">
        <f>T71</f>
        <v>272375.12</v>
      </c>
      <c r="D513" s="134" t="s">
        <v>529</v>
      </c>
      <c r="E513" s="134" t="s">
        <v>529</v>
      </c>
      <c r="F513" s="204" t="str">
        <f t="shared" si="19"/>
        <v/>
      </c>
      <c r="G513" s="204" t="str">
        <f t="shared" si="19"/>
        <v/>
      </c>
      <c r="H513" s="205" t="str">
        <f t="shared" si="18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'[1]Prior Year'!U71</f>
        <v>5852435.6100000003</v>
      </c>
      <c r="C514" s="185">
        <f>U71</f>
        <v>5957907.04</v>
      </c>
      <c r="D514" s="185">
        <f>'[1]Prior Year'!U59</f>
        <v>336256</v>
      </c>
      <c r="E514" s="1">
        <f>U59</f>
        <v>334281</v>
      </c>
      <c r="F514" s="204">
        <f t="shared" si="19"/>
        <v>17.404702399362392</v>
      </c>
      <c r="G514" s="204">
        <f t="shared" si="19"/>
        <v>17.823050188314621</v>
      </c>
      <c r="H514" s="205" t="str">
        <f t="shared" si="18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'[1]Prior Year'!V71</f>
        <v>87084.800000000003</v>
      </c>
      <c r="C515" s="185">
        <f>V71</f>
        <v>71741.259999999995</v>
      </c>
      <c r="D515" s="185">
        <f>'[1]Prior Year'!V59</f>
        <v>29</v>
      </c>
      <c r="E515" s="1">
        <f>V59</f>
        <v>407</v>
      </c>
      <c r="F515" s="204">
        <f t="shared" si="19"/>
        <v>3002.9241379310347</v>
      </c>
      <c r="G515" s="204">
        <f t="shared" si="19"/>
        <v>176.26845208845208</v>
      </c>
      <c r="H515" s="205">
        <f t="shared" si="18"/>
        <v>-0.94130106389903734</v>
      </c>
      <c r="I515" s="245" t="s">
        <v>1278</v>
      </c>
      <c r="K515" s="202"/>
      <c r="L515" s="202"/>
    </row>
    <row r="516" spans="1:12" ht="12.65" customHeight="1" x14ac:dyDescent="0.3">
      <c r="A516" s="1" t="s">
        <v>532</v>
      </c>
      <c r="B516" s="185">
        <f>'[1]Prior Year'!W71</f>
        <v>752910.19000000006</v>
      </c>
      <c r="C516" s="185">
        <f>W71</f>
        <v>714951.68000000005</v>
      </c>
      <c r="D516" s="185">
        <f>'[1]Prior Year'!W59</f>
        <v>2430</v>
      </c>
      <c r="E516" s="1">
        <f>W59</f>
        <v>2269</v>
      </c>
      <c r="F516" s="204">
        <f t="shared" si="19"/>
        <v>309.83958436213993</v>
      </c>
      <c r="G516" s="204">
        <f t="shared" si="19"/>
        <v>315.09549581313354</v>
      </c>
      <c r="H516" s="205" t="str">
        <f t="shared" si="18"/>
        <v/>
      </c>
      <c r="I516" s="246"/>
      <c r="K516" s="202"/>
      <c r="L516" s="202"/>
    </row>
    <row r="517" spans="1:12" ht="12.65" customHeight="1" x14ac:dyDescent="0.3">
      <c r="A517" s="1" t="s">
        <v>533</v>
      </c>
      <c r="B517" s="185">
        <f>'[1]Prior Year'!X71</f>
        <v>1103952.57</v>
      </c>
      <c r="C517" s="185">
        <f>X71</f>
        <v>1040966.477</v>
      </c>
      <c r="D517" s="185">
        <f>'[1]Prior Year'!X59</f>
        <v>11430</v>
      </c>
      <c r="E517" s="1">
        <f>X59</f>
        <v>11097</v>
      </c>
      <c r="F517" s="204">
        <f t="shared" si="19"/>
        <v>96.583776902887138</v>
      </c>
      <c r="G517" s="204">
        <f t="shared" si="19"/>
        <v>93.806116698206722</v>
      </c>
      <c r="H517" s="205" t="str">
        <f t="shared" si="18"/>
        <v/>
      </c>
      <c r="I517" s="246"/>
      <c r="K517" s="202"/>
      <c r="L517" s="202"/>
    </row>
    <row r="518" spans="1:12" ht="12.65" customHeight="1" x14ac:dyDescent="0.3">
      <c r="A518" s="1" t="s">
        <v>534</v>
      </c>
      <c r="B518" s="185">
        <f>'[1]Prior Year'!Y71</f>
        <v>7775665.7899999991</v>
      </c>
      <c r="C518" s="185">
        <f>Y71</f>
        <v>7285885.290000001</v>
      </c>
      <c r="D518" s="185">
        <f>'[1]Prior Year'!Y59</f>
        <v>50223</v>
      </c>
      <c r="E518" s="1">
        <f>Y59</f>
        <v>44620</v>
      </c>
      <c r="F518" s="204">
        <f t="shared" si="19"/>
        <v>154.8228060848615</v>
      </c>
      <c r="G518" s="204">
        <f t="shared" si="19"/>
        <v>163.28743366203497</v>
      </c>
      <c r="H518" s="205" t="str">
        <f t="shared" si="18"/>
        <v/>
      </c>
      <c r="I518" s="246"/>
      <c r="K518" s="202"/>
      <c r="L518" s="202"/>
    </row>
    <row r="519" spans="1:12" ht="12.65" customHeight="1" x14ac:dyDescent="0.3">
      <c r="A519" s="1" t="s">
        <v>535</v>
      </c>
      <c r="B519" s="185">
        <f>'[1]Prior Year'!Z71</f>
        <v>8457579.7699999996</v>
      </c>
      <c r="C519" s="185">
        <f>Z71</f>
        <v>9178194.6799999997</v>
      </c>
      <c r="D519" s="185">
        <f>'[1]Prior Year'!Z59</f>
        <v>631681</v>
      </c>
      <c r="E519" s="1">
        <f>Z59</f>
        <v>729652</v>
      </c>
      <c r="F519" s="204">
        <f t="shared" si="19"/>
        <v>13.389004529184826</v>
      </c>
      <c r="G519" s="204">
        <f t="shared" si="19"/>
        <v>12.57886592512595</v>
      </c>
      <c r="H519" s="205" t="str">
        <f t="shared" si="18"/>
        <v/>
      </c>
      <c r="I519" s="246"/>
      <c r="K519" s="202"/>
      <c r="L519" s="202"/>
    </row>
    <row r="520" spans="1:12" ht="12.65" customHeight="1" x14ac:dyDescent="0.3">
      <c r="A520" s="1" t="s">
        <v>536</v>
      </c>
      <c r="B520" s="185">
        <f>'[1]Prior Year'!AA71</f>
        <v>688169.64</v>
      </c>
      <c r="C520" s="185">
        <f>AA71</f>
        <v>651391.78</v>
      </c>
      <c r="D520" s="185">
        <f>'[1]Prior Year'!AA59</f>
        <v>1455</v>
      </c>
      <c r="E520" s="1">
        <f>AA59</f>
        <v>1002</v>
      </c>
      <c r="F520" s="204">
        <f t="shared" si="19"/>
        <v>472.96882474226805</v>
      </c>
      <c r="G520" s="204">
        <f t="shared" si="19"/>
        <v>650.0915968063872</v>
      </c>
      <c r="H520" s="205">
        <f t="shared" si="18"/>
        <v>0.37449143114377059</v>
      </c>
      <c r="I520" s="245" t="s">
        <v>1279</v>
      </c>
      <c r="K520" s="202"/>
      <c r="L520" s="202"/>
    </row>
    <row r="521" spans="1:12" ht="12.65" customHeight="1" x14ac:dyDescent="0.3">
      <c r="A521" s="1" t="s">
        <v>537</v>
      </c>
      <c r="B521" s="185">
        <f>'[1]Prior Year'!AB71</f>
        <v>6616194.9800000004</v>
      </c>
      <c r="C521" s="185">
        <f>AB71</f>
        <v>7417009.3999999994</v>
      </c>
      <c r="D521" s="134" t="s">
        <v>529</v>
      </c>
      <c r="E521" s="134" t="s">
        <v>529</v>
      </c>
      <c r="F521" s="204" t="str">
        <f t="shared" si="19"/>
        <v/>
      </c>
      <c r="G521" s="204" t="str">
        <f t="shared" si="19"/>
        <v/>
      </c>
      <c r="H521" s="205" t="str">
        <f t="shared" si="18"/>
        <v/>
      </c>
      <c r="I521" s="246"/>
      <c r="K521" s="202"/>
      <c r="L521" s="202"/>
    </row>
    <row r="522" spans="1:12" ht="12.65" customHeight="1" x14ac:dyDescent="0.3">
      <c r="A522" s="1" t="s">
        <v>538</v>
      </c>
      <c r="B522" s="185">
        <f>'[1]Prior Year'!AC71</f>
        <v>1850996.1500000001</v>
      </c>
      <c r="C522" s="185">
        <f>AC71</f>
        <v>1904081.78</v>
      </c>
      <c r="D522" s="185">
        <f>'[1]Prior Year'!AC59</f>
        <v>77896</v>
      </c>
      <c r="E522" s="1">
        <f>AC59</f>
        <v>59135</v>
      </c>
      <c r="F522" s="204">
        <f t="shared" si="19"/>
        <v>23.762403075896067</v>
      </c>
      <c r="G522" s="204">
        <f t="shared" si="19"/>
        <v>32.198897099856261</v>
      </c>
      <c r="H522" s="205">
        <f t="shared" si="18"/>
        <v>0.35503538918241584</v>
      </c>
      <c r="I522" s="245" t="s">
        <v>1280</v>
      </c>
      <c r="K522" s="202"/>
      <c r="L522" s="202"/>
    </row>
    <row r="523" spans="1:12" ht="12.65" customHeight="1" x14ac:dyDescent="0.3">
      <c r="A523" s="1" t="s">
        <v>539</v>
      </c>
      <c r="B523" s="185">
        <f>'[1]Prior Year'!AD71</f>
        <v>0</v>
      </c>
      <c r="C523" s="185">
        <f>AD71</f>
        <v>0</v>
      </c>
      <c r="D523" s="185">
        <f>'[1]Prior Year'!AD59</f>
        <v>0</v>
      </c>
      <c r="E523" s="1">
        <f>AD59</f>
        <v>0</v>
      </c>
      <c r="F523" s="204" t="str">
        <f t="shared" si="19"/>
        <v/>
      </c>
      <c r="G523" s="204" t="str">
        <f t="shared" si="19"/>
        <v/>
      </c>
      <c r="H523" s="205" t="str">
        <f t="shared" si="18"/>
        <v/>
      </c>
      <c r="I523" s="246"/>
      <c r="K523" s="202"/>
      <c r="L523" s="202"/>
    </row>
    <row r="524" spans="1:12" ht="12.65" customHeight="1" x14ac:dyDescent="0.3">
      <c r="A524" s="1" t="s">
        <v>540</v>
      </c>
      <c r="B524" s="185">
        <f>'[1]Prior Year'!AE71</f>
        <v>704654.27</v>
      </c>
      <c r="C524" s="185">
        <f>AE71</f>
        <v>1187350.8800000001</v>
      </c>
      <c r="D524" s="185">
        <f>'[1]Prior Year'!AE59</f>
        <v>14705</v>
      </c>
      <c r="E524" s="1">
        <f>AE59</f>
        <v>23438</v>
      </c>
      <c r="F524" s="204">
        <f t="shared" si="19"/>
        <v>47.919365521931319</v>
      </c>
      <c r="G524" s="204">
        <f t="shared" si="19"/>
        <v>50.65922348323236</v>
      </c>
      <c r="H524" s="205" t="str">
        <f t="shared" si="18"/>
        <v/>
      </c>
      <c r="I524" s="246"/>
      <c r="K524" s="202"/>
      <c r="L524" s="202"/>
    </row>
    <row r="525" spans="1:12" ht="12.65" customHeight="1" x14ac:dyDescent="0.3">
      <c r="A525" s="1" t="s">
        <v>541</v>
      </c>
      <c r="B525" s="185">
        <f>'[1]Prior Year'!AF71</f>
        <v>0</v>
      </c>
      <c r="C525" s="185">
        <f>AF71</f>
        <v>447546.26</v>
      </c>
      <c r="D525" s="185">
        <f>'[1]Prior Year'!AF59</f>
        <v>0</v>
      </c>
      <c r="E525" s="1">
        <f>AF59</f>
        <v>0</v>
      </c>
      <c r="F525" s="204" t="str">
        <f t="shared" si="19"/>
        <v/>
      </c>
      <c r="G525" s="204" t="str">
        <f t="shared" si="19"/>
        <v/>
      </c>
      <c r="H525" s="205" t="str">
        <f t="shared" si="18"/>
        <v/>
      </c>
      <c r="I525" s="246"/>
      <c r="K525" s="202"/>
      <c r="L525" s="202"/>
    </row>
    <row r="526" spans="1:12" ht="12.65" customHeight="1" x14ac:dyDescent="0.3">
      <c r="A526" s="1" t="s">
        <v>542</v>
      </c>
      <c r="B526" s="185">
        <f>'[1]Prior Year'!AG71</f>
        <v>9486322.4400000032</v>
      </c>
      <c r="C526" s="185">
        <f>AG71</f>
        <v>8145897.9199999981</v>
      </c>
      <c r="D526" s="185">
        <f>'[1]Prior Year'!AG59</f>
        <v>26844</v>
      </c>
      <c r="E526" s="1">
        <f>AG59</f>
        <v>23010</v>
      </c>
      <c r="F526" s="204">
        <f t="shared" si="19"/>
        <v>353.38706750111771</v>
      </c>
      <c r="G526" s="204">
        <f t="shared" si="19"/>
        <v>354.01555497609729</v>
      </c>
      <c r="H526" s="205" t="str">
        <f t="shared" si="18"/>
        <v/>
      </c>
      <c r="I526" s="246"/>
      <c r="K526" s="202"/>
      <c r="L526" s="202"/>
    </row>
    <row r="527" spans="1:12" ht="12.65" customHeight="1" x14ac:dyDescent="0.3">
      <c r="A527" s="1" t="s">
        <v>543</v>
      </c>
      <c r="B527" s="185">
        <f>'[1]Prior Year'!AH71</f>
        <v>0</v>
      </c>
      <c r="C527" s="185">
        <f>AH71</f>
        <v>0</v>
      </c>
      <c r="D527" s="185">
        <f>'[1]Prior Year'!AH59</f>
        <v>0</v>
      </c>
      <c r="E527" s="1">
        <f>AH59</f>
        <v>0</v>
      </c>
      <c r="F527" s="204" t="str">
        <f t="shared" si="19"/>
        <v/>
      </c>
      <c r="G527" s="204" t="str">
        <f t="shared" si="19"/>
        <v/>
      </c>
      <c r="H527" s="205" t="str">
        <f t="shared" si="18"/>
        <v/>
      </c>
      <c r="I527" s="246"/>
      <c r="K527" s="202"/>
      <c r="L527" s="202"/>
    </row>
    <row r="528" spans="1:12" ht="12.65" customHeight="1" x14ac:dyDescent="0.3">
      <c r="A528" s="1" t="s">
        <v>544</v>
      </c>
      <c r="B528" s="185">
        <f>'[1]Prior Year'!AI71</f>
        <v>3120044.6099999994</v>
      </c>
      <c r="C528" s="185">
        <f>AI71</f>
        <v>2962565.4599999995</v>
      </c>
      <c r="D528" s="185">
        <f>'[1]Prior Year'!AI59</f>
        <v>30777</v>
      </c>
      <c r="E528" s="1">
        <f>AI59</f>
        <v>31249</v>
      </c>
      <c r="F528" s="204">
        <f t="shared" ref="F528:G540" si="20">IF(B528=0,"",IF(D528=0,"",B528/D528))</f>
        <v>101.37585242226336</v>
      </c>
      <c r="G528" s="204">
        <f t="shared" si="20"/>
        <v>94.805128484111478</v>
      </c>
      <c r="H528" s="205" t="str">
        <f t="shared" si="18"/>
        <v/>
      </c>
      <c r="I528" s="246"/>
      <c r="K528" s="202"/>
      <c r="L528" s="202"/>
    </row>
    <row r="529" spans="1:12" ht="12.65" customHeight="1" x14ac:dyDescent="0.3">
      <c r="A529" s="1" t="s">
        <v>545</v>
      </c>
      <c r="B529" s="185">
        <f>'[1]Prior Year'!AJ71</f>
        <v>1004081.7</v>
      </c>
      <c r="C529" s="185">
        <f>AJ71</f>
        <v>1369610.7200000002</v>
      </c>
      <c r="D529" s="185">
        <f>'[1]Prior Year'!AJ59</f>
        <v>6554</v>
      </c>
      <c r="E529" s="1">
        <f>AJ59</f>
        <v>6124</v>
      </c>
      <c r="F529" s="204">
        <f t="shared" si="20"/>
        <v>153.2013579493439</v>
      </c>
      <c r="G529" s="204">
        <f t="shared" si="20"/>
        <v>223.64642717178319</v>
      </c>
      <c r="H529" s="205">
        <f t="shared" si="18"/>
        <v>0.45982013583542769</v>
      </c>
      <c r="I529" s="245" t="s">
        <v>1281</v>
      </c>
      <c r="K529" s="202"/>
      <c r="L529" s="202"/>
    </row>
    <row r="530" spans="1:12" ht="12.65" customHeight="1" x14ac:dyDescent="0.3">
      <c r="A530" s="1" t="s">
        <v>546</v>
      </c>
      <c r="B530" s="185">
        <f>'[1]Prior Year'!AK71</f>
        <v>0</v>
      </c>
      <c r="C530" s="185">
        <f>AK71</f>
        <v>0</v>
      </c>
      <c r="D530" s="185">
        <f>'[1]Prior Year'!AK59</f>
        <v>0</v>
      </c>
      <c r="E530" s="1">
        <f>AK59</f>
        <v>0</v>
      </c>
      <c r="F530" s="204" t="str">
        <f t="shared" si="20"/>
        <v/>
      </c>
      <c r="G530" s="204" t="str">
        <f t="shared" si="20"/>
        <v/>
      </c>
      <c r="H530" s="205" t="str">
        <f t="shared" si="18"/>
        <v/>
      </c>
      <c r="I530" s="246"/>
      <c r="K530" s="202"/>
      <c r="L530" s="202"/>
    </row>
    <row r="531" spans="1:12" ht="12.65" customHeight="1" x14ac:dyDescent="0.3">
      <c r="A531" s="1" t="s">
        <v>547</v>
      </c>
      <c r="B531" s="185">
        <f>'[1]Prior Year'!AL71</f>
        <v>134477.01</v>
      </c>
      <c r="C531" s="185">
        <f>AL71</f>
        <v>130473.24</v>
      </c>
      <c r="D531" s="185">
        <f>'[1]Prior Year'!AL59</f>
        <v>2206</v>
      </c>
      <c r="E531" s="1">
        <f>AL59</f>
        <v>0</v>
      </c>
      <c r="F531" s="204">
        <f t="shared" si="20"/>
        <v>60.959660018132368</v>
      </c>
      <c r="G531" s="204" t="str">
        <f t="shared" si="20"/>
        <v/>
      </c>
      <c r="H531" s="205" t="str">
        <f t="shared" si="18"/>
        <v/>
      </c>
      <c r="I531" s="247"/>
      <c r="K531" s="202"/>
      <c r="L531" s="202"/>
    </row>
    <row r="532" spans="1:12" ht="12.65" customHeight="1" x14ac:dyDescent="0.3">
      <c r="A532" s="1" t="s">
        <v>548</v>
      </c>
      <c r="B532" s="185">
        <f>'[1]Prior Year'!AM71</f>
        <v>0</v>
      </c>
      <c r="C532" s="185">
        <f>AM71</f>
        <v>0</v>
      </c>
      <c r="D532" s="185">
        <f>'[1]Prior Year'!AM59</f>
        <v>0</v>
      </c>
      <c r="E532" s="1">
        <f>AM59</f>
        <v>0</v>
      </c>
      <c r="F532" s="204" t="str">
        <f t="shared" si="20"/>
        <v/>
      </c>
      <c r="G532" s="204" t="str">
        <f t="shared" si="20"/>
        <v/>
      </c>
      <c r="H532" s="205" t="str">
        <f t="shared" si="18"/>
        <v/>
      </c>
      <c r="I532" s="246"/>
      <c r="K532" s="202"/>
      <c r="L532" s="202"/>
    </row>
    <row r="533" spans="1:12" ht="12.65" customHeight="1" x14ac:dyDescent="0.3">
      <c r="A533" s="1" t="s">
        <v>1246</v>
      </c>
      <c r="B533" s="185">
        <f>'[1]Prior Year'!AN71</f>
        <v>0</v>
      </c>
      <c r="C533" s="185">
        <f>AN71</f>
        <v>0</v>
      </c>
      <c r="D533" s="185">
        <f>'[1]Prior Year'!AN59</f>
        <v>0</v>
      </c>
      <c r="E533" s="1">
        <f>AN59</f>
        <v>0</v>
      </c>
      <c r="F533" s="204" t="str">
        <f t="shared" si="20"/>
        <v/>
      </c>
      <c r="G533" s="204" t="str">
        <f t="shared" si="20"/>
        <v/>
      </c>
      <c r="H533" s="205" t="str">
        <f t="shared" si="18"/>
        <v/>
      </c>
      <c r="I533" s="246"/>
      <c r="K533" s="202"/>
      <c r="L533" s="202"/>
    </row>
    <row r="534" spans="1:12" ht="12.65" customHeight="1" x14ac:dyDescent="0.3">
      <c r="A534" s="1" t="s">
        <v>549</v>
      </c>
      <c r="B534" s="185">
        <f>'[1]Prior Year'!AO71</f>
        <v>0</v>
      </c>
      <c r="C534" s="185">
        <f>AO71</f>
        <v>0</v>
      </c>
      <c r="D534" s="185">
        <f>'[1]Prior Year'!AO59</f>
        <v>0</v>
      </c>
      <c r="E534" s="1">
        <f>AO59</f>
        <v>0</v>
      </c>
      <c r="F534" s="204" t="str">
        <f t="shared" si="20"/>
        <v/>
      </c>
      <c r="G534" s="204" t="str">
        <f t="shared" si="20"/>
        <v/>
      </c>
      <c r="H534" s="205" t="str">
        <f t="shared" si="18"/>
        <v/>
      </c>
      <c r="I534" s="246"/>
      <c r="K534" s="202"/>
      <c r="L534" s="202"/>
    </row>
    <row r="535" spans="1:12" ht="12.65" customHeight="1" x14ac:dyDescent="0.3">
      <c r="A535" s="1" t="s">
        <v>550</v>
      </c>
      <c r="B535" s="185">
        <f>'[1]Prior Year'!AP71</f>
        <v>35887869.309999995</v>
      </c>
      <c r="C535" s="185">
        <f>AP71</f>
        <v>34762601.199999996</v>
      </c>
      <c r="D535" s="185">
        <f>'[1]Prior Year'!AP59</f>
        <v>215110</v>
      </c>
      <c r="E535" s="1">
        <f>AP59</f>
        <v>6007</v>
      </c>
      <c r="F535" s="204">
        <f t="shared" si="20"/>
        <v>166.83496494816603</v>
      </c>
      <c r="G535" s="204">
        <f t="shared" si="20"/>
        <v>5787.01534875978</v>
      </c>
      <c r="H535" s="205">
        <f t="shared" si="18"/>
        <v>33.687065451524191</v>
      </c>
      <c r="I535" s="245" t="s">
        <v>1279</v>
      </c>
      <c r="K535" s="202"/>
      <c r="L535" s="202"/>
    </row>
    <row r="536" spans="1:12" ht="12.65" customHeight="1" x14ac:dyDescent="0.3">
      <c r="A536" s="1" t="s">
        <v>551</v>
      </c>
      <c r="B536" s="185">
        <f>'[1]Prior Year'!AQ71</f>
        <v>0</v>
      </c>
      <c r="C536" s="185">
        <f>AQ71</f>
        <v>0</v>
      </c>
      <c r="D536" s="185">
        <f>'[1]Prior Year'!AQ59</f>
        <v>0</v>
      </c>
      <c r="E536" s="1">
        <f>AQ59</f>
        <v>0</v>
      </c>
      <c r="F536" s="204" t="str">
        <f t="shared" si="20"/>
        <v/>
      </c>
      <c r="G536" s="204" t="str">
        <f t="shared" si="20"/>
        <v/>
      </c>
      <c r="H536" s="205" t="str">
        <f t="shared" si="18"/>
        <v/>
      </c>
      <c r="I536" s="246"/>
      <c r="K536" s="202"/>
      <c r="L536" s="202"/>
    </row>
    <row r="537" spans="1:12" ht="12.65" customHeight="1" x14ac:dyDescent="0.3">
      <c r="A537" s="1" t="s">
        <v>552</v>
      </c>
      <c r="B537" s="185">
        <f>'[1]Prior Year'!AR71</f>
        <v>7395.5199999999995</v>
      </c>
      <c r="C537" s="185">
        <f>AR71</f>
        <v>0</v>
      </c>
      <c r="D537" s="185">
        <f>'[1]Prior Year'!AR59</f>
        <v>0</v>
      </c>
      <c r="E537" s="1">
        <f>AR59</f>
        <v>0</v>
      </c>
      <c r="F537" s="204" t="str">
        <f t="shared" si="20"/>
        <v/>
      </c>
      <c r="G537" s="204" t="str">
        <f t="shared" si="20"/>
        <v/>
      </c>
      <c r="H537" s="205" t="str">
        <f t="shared" si="18"/>
        <v/>
      </c>
      <c r="I537" s="246"/>
      <c r="K537" s="202"/>
      <c r="L537" s="202"/>
    </row>
    <row r="538" spans="1:12" ht="12.65" customHeight="1" x14ac:dyDescent="0.3">
      <c r="A538" s="1" t="s">
        <v>553</v>
      </c>
      <c r="B538" s="185">
        <f>'[1]Prior Year'!AS71</f>
        <v>0</v>
      </c>
      <c r="C538" s="185">
        <f>AS71</f>
        <v>0</v>
      </c>
      <c r="D538" s="185">
        <f>'[1]Prior Year'!AS59</f>
        <v>0</v>
      </c>
      <c r="E538" s="1">
        <f>AS59</f>
        <v>0</v>
      </c>
      <c r="F538" s="204" t="str">
        <f t="shared" si="20"/>
        <v/>
      </c>
      <c r="G538" s="204" t="str">
        <f t="shared" si="20"/>
        <v/>
      </c>
      <c r="H538" s="205" t="str">
        <f t="shared" si="18"/>
        <v/>
      </c>
      <c r="I538" s="246"/>
      <c r="K538" s="202"/>
      <c r="L538" s="202"/>
    </row>
    <row r="539" spans="1:12" ht="12.65" customHeight="1" x14ac:dyDescent="0.3">
      <c r="A539" s="1" t="s">
        <v>554</v>
      </c>
      <c r="B539" s="185">
        <f>'[1]Prior Year'!AT71</f>
        <v>0</v>
      </c>
      <c r="C539" s="185">
        <f>AT71</f>
        <v>0</v>
      </c>
      <c r="D539" s="185">
        <f>'[1]Prior Year'!AT59</f>
        <v>0</v>
      </c>
      <c r="E539" s="1">
        <f>AT59</f>
        <v>0</v>
      </c>
      <c r="F539" s="204" t="str">
        <f t="shared" si="20"/>
        <v/>
      </c>
      <c r="G539" s="204" t="str">
        <f t="shared" si="20"/>
        <v/>
      </c>
      <c r="H539" s="205" t="str">
        <f t="shared" si="18"/>
        <v/>
      </c>
      <c r="I539" s="246"/>
      <c r="K539" s="202"/>
      <c r="L539" s="202"/>
    </row>
    <row r="540" spans="1:12" ht="12.65" customHeight="1" x14ac:dyDescent="0.3">
      <c r="A540" s="1" t="s">
        <v>555</v>
      </c>
      <c r="B540" s="185">
        <f>'[1]Prior Year'!AU71</f>
        <v>0</v>
      </c>
      <c r="C540" s="185">
        <f>AU71</f>
        <v>0</v>
      </c>
      <c r="D540" s="185">
        <f>'[1]Prior Year'!AU59</f>
        <v>0</v>
      </c>
      <c r="E540" s="1">
        <f>AU59</f>
        <v>0</v>
      </c>
      <c r="F540" s="204" t="str">
        <f t="shared" si="20"/>
        <v/>
      </c>
      <c r="G540" s="204" t="str">
        <f t="shared" si="20"/>
        <v/>
      </c>
      <c r="H540" s="205" t="str">
        <f t="shared" si="18"/>
        <v/>
      </c>
      <c r="I540" s="246"/>
      <c r="K540" s="202"/>
      <c r="L540" s="202"/>
    </row>
    <row r="541" spans="1:12" ht="12.65" customHeight="1" x14ac:dyDescent="0.3">
      <c r="A541" s="1" t="s">
        <v>556</v>
      </c>
      <c r="B541" s="185">
        <f>'[1]Prior Year'!AV71</f>
        <v>0</v>
      </c>
      <c r="C541" s="185">
        <f>AV71</f>
        <v>0</v>
      </c>
      <c r="D541" s="134" t="s">
        <v>529</v>
      </c>
      <c r="E541" s="134" t="s">
        <v>529</v>
      </c>
      <c r="F541" s="204"/>
      <c r="G541" s="204"/>
      <c r="H541" s="205"/>
      <c r="I541" s="246"/>
      <c r="K541" s="202"/>
      <c r="L541" s="202"/>
    </row>
    <row r="542" spans="1:12" ht="12.65" customHeight="1" x14ac:dyDescent="0.3">
      <c r="A542" s="1" t="s">
        <v>1247</v>
      </c>
      <c r="B542" s="185">
        <f>'[1]Prior Year'!AW71</f>
        <v>2548968</v>
      </c>
      <c r="C542" s="185">
        <f>AW71</f>
        <v>2210004.0300000003</v>
      </c>
      <c r="D542" s="134" t="s">
        <v>529</v>
      </c>
      <c r="E542" s="134" t="s">
        <v>529</v>
      </c>
      <c r="F542" s="204"/>
      <c r="G542" s="204"/>
      <c r="H542" s="205"/>
      <c r="I542" s="246"/>
      <c r="K542" s="202"/>
      <c r="L542" s="202"/>
    </row>
    <row r="543" spans="1:12" ht="12.65" customHeight="1" x14ac:dyDescent="0.3">
      <c r="A543" s="1" t="s">
        <v>557</v>
      </c>
      <c r="B543" s="185">
        <f>'[1]Prior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46"/>
      <c r="K543" s="202"/>
      <c r="L543" s="202"/>
    </row>
    <row r="544" spans="1:12" ht="12.65" customHeight="1" x14ac:dyDescent="0.3">
      <c r="A544" s="1" t="s">
        <v>558</v>
      </c>
      <c r="B544" s="185">
        <f>'[1]Prior Year'!AY71</f>
        <v>1276642.3999999999</v>
      </c>
      <c r="C544" s="185">
        <f>AY71</f>
        <v>1273284.1600000001</v>
      </c>
      <c r="D544" s="185">
        <f>'[1]Prior Year'!AY59</f>
        <v>343945</v>
      </c>
      <c r="E544" s="1">
        <f>AY59</f>
        <v>271970</v>
      </c>
      <c r="F544" s="204">
        <f t="shared" ref="F544:G550" si="21">IF(B544=0,"",IF(D544=0,"",B544/D544))</f>
        <v>3.7117632179563591</v>
      </c>
      <c r="G544" s="204">
        <f t="shared" si="21"/>
        <v>4.6817081295731153</v>
      </c>
      <c r="H544" s="205">
        <f t="shared" si="18"/>
        <v>0.26131648347730363</v>
      </c>
      <c r="I544" s="245" t="s">
        <v>1279</v>
      </c>
      <c r="K544" s="202"/>
      <c r="L544" s="202"/>
    </row>
    <row r="545" spans="1:13" ht="12.65" customHeight="1" x14ac:dyDescent="0.3">
      <c r="A545" s="1" t="s">
        <v>559</v>
      </c>
      <c r="B545" s="185">
        <f>'[1]Prior Year'!AZ71</f>
        <v>0</v>
      </c>
      <c r="C545" s="185">
        <f>AZ71</f>
        <v>0</v>
      </c>
      <c r="D545" s="185">
        <f>'[1]Prior Year'!AZ59</f>
        <v>0</v>
      </c>
      <c r="E545" s="1">
        <f>AZ59</f>
        <v>0</v>
      </c>
      <c r="F545" s="204" t="str">
        <f t="shared" si="21"/>
        <v/>
      </c>
      <c r="G545" s="204" t="str">
        <f t="shared" si="21"/>
        <v/>
      </c>
      <c r="H545" s="205" t="str">
        <f t="shared" si="18"/>
        <v/>
      </c>
      <c r="I545" s="246"/>
      <c r="K545" s="202"/>
      <c r="L545" s="202"/>
    </row>
    <row r="546" spans="1:13" ht="12.65" customHeight="1" x14ac:dyDescent="0.3">
      <c r="A546" s="1" t="s">
        <v>560</v>
      </c>
      <c r="B546" s="185">
        <f>'[1]Prior Year'!BA71</f>
        <v>347607.54</v>
      </c>
      <c r="C546" s="185">
        <f>BA71</f>
        <v>286831.99</v>
      </c>
      <c r="D546" s="185">
        <f>'[1]Prior Year'!BA59</f>
        <v>0</v>
      </c>
      <c r="E546" s="1">
        <f>BA59</f>
        <v>0</v>
      </c>
      <c r="F546" s="204" t="str">
        <f t="shared" si="21"/>
        <v/>
      </c>
      <c r="G546" s="204" t="str">
        <f t="shared" si="21"/>
        <v/>
      </c>
      <c r="H546" s="205" t="str">
        <f t="shared" si="18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'[1]Prior Year'!BB71</f>
        <v>0</v>
      </c>
      <c r="C547" s="185">
        <f>BB71</f>
        <v>0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'[1]Prior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'[1]Prior Year'!BD71</f>
        <v>500090.81000000006</v>
      </c>
      <c r="C549" s="185">
        <f>BD71</f>
        <v>357086.77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'[1]Prior Year'!BE71</f>
        <v>3961284.2499999995</v>
      </c>
      <c r="C550" s="185">
        <f>BE71</f>
        <v>3726039.33</v>
      </c>
      <c r="D550" s="185">
        <f>'[1]Prior Year'!BE59</f>
        <v>522556</v>
      </c>
      <c r="E550" s="1">
        <f>BE59</f>
        <v>517611</v>
      </c>
      <c r="F550" s="204">
        <f t="shared" si="21"/>
        <v>7.5805927977097181</v>
      </c>
      <c r="G550" s="204">
        <f t="shared" si="21"/>
        <v>7.1985319670563417</v>
      </c>
      <c r="H550" s="205" t="str">
        <f t="shared" si="18"/>
        <v/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'[1]Prior Year'!BF71</f>
        <v>2209557.37</v>
      </c>
      <c r="C551" s="185">
        <f>BF71</f>
        <v>2128109.8400000003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'[1]Prior Year'!BG71</f>
        <v>483897.76</v>
      </c>
      <c r="C552" s="185">
        <f>BG71</f>
        <v>514124.7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'[1]Prior Year'!BH71</f>
        <v>3290005.0100000002</v>
      </c>
      <c r="C553" s="185">
        <f>BH71</f>
        <v>3013179.75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'[1]Prior Year'!BI71</f>
        <v>0</v>
      </c>
      <c r="C554" s="185">
        <f>BI71</f>
        <v>0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'[1]Prior Year'!BJ71</f>
        <v>677145.56</v>
      </c>
      <c r="C555" s="185">
        <f>BJ71</f>
        <v>673619.11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'[1]Prior Year'!BK71</f>
        <v>1373367.68</v>
      </c>
      <c r="C556" s="185">
        <f>BK71</f>
        <v>2325737.98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'[1]Prior Year'!BL71</f>
        <v>1121844.9199999997</v>
      </c>
      <c r="C557" s="185">
        <f>BL71</f>
        <v>1333131.73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'[1]Prior Year'!BM71</f>
        <v>0</v>
      </c>
      <c r="C558" s="185">
        <f>BM71</f>
        <v>0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'[1]Prior Year'!BN71</f>
        <v>3482117.2299999995</v>
      </c>
      <c r="C559" s="185">
        <f>BN71</f>
        <v>3351589.5399999996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'[1]Prior Year'!BO71</f>
        <v>330743.63999999996</v>
      </c>
      <c r="C560" s="185">
        <f>BO71</f>
        <v>238681.06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'[1]Prior Year'!BP71</f>
        <v>71157.03</v>
      </c>
      <c r="C561" s="185">
        <f>BP71</f>
        <v>275939.43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'[1]Prior Year'!BQ71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'[1]Prior Year'!BR71</f>
        <v>932080.13000000012</v>
      </c>
      <c r="C563" s="185">
        <f>BR71</f>
        <v>821585.67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'[1]Prior Year'!BS71</f>
        <v>75618.460000000006</v>
      </c>
      <c r="C564" s="185">
        <f>BS71</f>
        <v>38407.090000000004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'[1]Prior Year'!BT71</f>
        <v>85050.23</v>
      </c>
      <c r="C565" s="185">
        <f>BT71</f>
        <v>78826.490000000005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'[1]Prior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'[1]Prior Year'!BV71</f>
        <v>1044309.8700000001</v>
      </c>
      <c r="C567" s="185">
        <f>BV71</f>
        <v>1091053.68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'[1]Prior Year'!BW71</f>
        <v>477289.05000000005</v>
      </c>
      <c r="C568" s="185">
        <f>BW71</f>
        <v>363098.41000000003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'[1]Prior Year'!BX71</f>
        <v>1487410.78</v>
      </c>
      <c r="C569" s="185">
        <f>BX71</f>
        <v>1597916.37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'[1]Prior Year'!BY71</f>
        <v>1101613.3999999999</v>
      </c>
      <c r="C570" s="185">
        <f>BY71</f>
        <v>1048296.6499999999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'[1]Prior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'[1]Prior Year'!CA71</f>
        <v>375941.46</v>
      </c>
      <c r="C572" s="185">
        <f>CA71</f>
        <v>307349.17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'[1]Prior Year'!CB71</f>
        <v>201768.03999999998</v>
      </c>
      <c r="C573" s="185">
        <f>CB71</f>
        <v>197816.75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'[1]Prior Year'!CC71</f>
        <v>2004811.23</v>
      </c>
      <c r="C574" s="185">
        <f>CC71</f>
        <v>3465618.46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'[1]Prior Year'!CD71</f>
        <v>16527321.839999998</v>
      </c>
      <c r="C575" s="185">
        <f>CD71</f>
        <v>19049542.23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473743</v>
      </c>
      <c r="E612" s="1">
        <f>SUM(C624:D647)+SUM(C668:D713)</f>
        <v>151524566.46531391</v>
      </c>
      <c r="F612" s="1">
        <f>CE64-(AX64+BD64+BE64+BG64+BJ64+BN64+BP64+BQ64+CB64+CC64+CD64)</f>
        <v>29782954.337000001</v>
      </c>
      <c r="G612" s="1">
        <f>CE77-(AX77+AY77+BD77+BE77+BG77+BJ77+BN77+BP77+BQ77+CB77+CC77+CD77)</f>
        <v>57882</v>
      </c>
      <c r="H612" s="148">
        <f>CE60-(AX60+AY60+AZ60+BD60+BE60+BG60+BJ60+BN60+BO60+BP60+BQ60+BR60+CB60+CC60+CD60)</f>
        <v>708.80999999999972</v>
      </c>
      <c r="I612" s="1">
        <f>CE78-(AX78+AY78+AZ78+BD78+BE78+BF78+BG78+BJ78+BN78+BO78+BP78+BQ78+BR78+CB78+CC78+CD78)</f>
        <v>47578.954831427473</v>
      </c>
      <c r="J612" s="1">
        <f>CE79-(AX79+AY79+AZ79+BA79+BD79+BE79+BF79+BG79+BJ79+BN79+BO79+BP79+BQ79+BR79+CB79+CC79+CD79)</f>
        <v>1205212</v>
      </c>
      <c r="K612" s="1">
        <f>CE75-(AW75+AX75+AY75+AZ75+BA75+BB75+BC75+BD75+BE75+BF75+BG75+BH75+BI75+BJ75+BK75+BL75+BM75+BN75+BO75+BP75+BQ75+BR75+BS75+BT75+BU75+BV75+BW75+BX75+CB75+CC75+CD75)</f>
        <v>524254938.49000013</v>
      </c>
      <c r="L612" s="148">
        <f>CE80-(AW80+AX80+AY80+AZ80+BA80+BB80+BC80+BD80+BE80+BF80+BG80+BH80+BI80+BJ80+BK80+BL80+BM80+BN80+BO80+BP80+BQ80+BR80+BS80+BT80+BU80+BV80+BW80+BX80+BY80+BZ80+CA80+CB80+CC80+CD80)</f>
        <v>184.85000000000002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3726039.33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1">
        <f>CD69-CD70</f>
        <v>19049542.23</v>
      </c>
      <c r="D615" s="206">
        <f>SUM(C614:C615)</f>
        <v>22775581.560000002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673619.11</v>
      </c>
      <c r="D617" s="1">
        <f>(D615/D612)*BJ76</f>
        <v>30864.674225307816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514124.7</v>
      </c>
      <c r="D618" s="1">
        <f>(D615/D612)*BG76</f>
        <v>68940.720933164193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3351589.5399999996</v>
      </c>
      <c r="D619" s="1">
        <f>(D615/D612)*BN76</f>
        <v>82257.722117603858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3465618.46</v>
      </c>
      <c r="D620" s="1">
        <f>(D615/D612)*CC76</f>
        <v>5216466.4747928735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275939.43</v>
      </c>
      <c r="D621" s="1">
        <f>(D615/D612)*BP76</f>
        <v>12499.712303084163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197816.75</v>
      </c>
      <c r="D622" s="1">
        <f>(D615/D612)*CB76</f>
        <v>14855.427314050023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13904592.721686082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357086.77</v>
      </c>
      <c r="D624" s="1">
        <f>(D615/D612)*BD76</f>
        <v>698493.53865965304</v>
      </c>
      <c r="E624" s="1">
        <f>(E623/E612)*SUM(C624:D624)</f>
        <v>96864.915170729277</v>
      </c>
      <c r="F624" s="1">
        <f>SUM(C624:E624)</f>
        <v>1152445.2238303823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1273284.1600000001</v>
      </c>
      <c r="D625" s="1">
        <f>(D615/D612)*AY76</f>
        <v>499940.41630681616</v>
      </c>
      <c r="E625" s="1">
        <f>(E623/E612)*SUM(C625:D625)</f>
        <v>162719.26138970171</v>
      </c>
      <c r="F625" s="1">
        <f>(F624/F612)*AY64</f>
        <v>14606.486101179491</v>
      </c>
      <c r="G625" s="1">
        <f>SUM(C625:F625)</f>
        <v>1950550.3237976972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821585.67</v>
      </c>
      <c r="D626" s="1">
        <f>(D615/D612)*BR76</f>
        <v>90382.53511460856</v>
      </c>
      <c r="E626" s="1">
        <f>(E623/E612)*SUM(C626:D626)</f>
        <v>83686.406521733632</v>
      </c>
      <c r="F626" s="1">
        <f>(F624/F612)*BR64</f>
        <v>382.02091233839508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238681.06</v>
      </c>
      <c r="D627" s="1">
        <f>(D615/D612)*BO76</f>
        <v>11874.726687929955</v>
      </c>
      <c r="E627" s="1">
        <f>(E623/E612)*SUM(C627:D627)</f>
        <v>22992.15400662327</v>
      </c>
      <c r="F627" s="1">
        <f>(F624/F612)*BO64</f>
        <v>386.60508434908007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1269971.178327583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2128109.8400000003</v>
      </c>
      <c r="D629" s="1">
        <f>(D615/D612)*BF76</f>
        <v>142592.8718882601</v>
      </c>
      <c r="E629" s="1">
        <f>(E623/E612)*SUM(C629:D629)</f>
        <v>208370.14840139402</v>
      </c>
      <c r="F629" s="1">
        <f>(F624/F612)*BF64</f>
        <v>4525.2998193652193</v>
      </c>
      <c r="G629" s="1">
        <f>(G625/G612)*BF77</f>
        <v>0</v>
      </c>
      <c r="H629" s="1">
        <f>(H628/H612)*BF60</f>
        <v>72975.728465008215</v>
      </c>
      <c r="I629" s="1">
        <f>SUM(C629:H629)</f>
        <v>2556573.8885740275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286831.99</v>
      </c>
      <c r="D630" s="1">
        <f>(D615/D612)*BA76</f>
        <v>82209.646301053523</v>
      </c>
      <c r="E630" s="1">
        <f>(E623/E612)*SUM(C630:D630)</f>
        <v>33864.961767010856</v>
      </c>
      <c r="F630" s="1">
        <f>(F624/F612)*BA64</f>
        <v>1565.7975283964954</v>
      </c>
      <c r="G630" s="1">
        <f>(G625/G612)*BA77</f>
        <v>0</v>
      </c>
      <c r="H630" s="1">
        <f>(H628/H612)*BA60</f>
        <v>0</v>
      </c>
      <c r="I630" s="1">
        <f>(I629/I612)*BA78</f>
        <v>13213.226549703912</v>
      </c>
      <c r="J630" s="1">
        <f>SUM(C630:I630)</f>
        <v>417685.62214616477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2210004.0300000003</v>
      </c>
      <c r="D631" s="1">
        <f>(D615/D612)*AW76</f>
        <v>67065.764087701566</v>
      </c>
      <c r="E631" s="1">
        <f>(E623/E612)*SUM(C631:D631)</f>
        <v>208954.42121519547</v>
      </c>
      <c r="F631" s="1">
        <f>(F624/F612)*AW64</f>
        <v>1481.3314407904843</v>
      </c>
      <c r="G631" s="1">
        <f>(G625/G612)*AW77</f>
        <v>0</v>
      </c>
      <c r="H631" s="1">
        <f>(H628/H612)*AW60</f>
        <v>47318.659188825615</v>
      </c>
      <c r="I631" s="1">
        <f>(I629/I612)*AW78</f>
        <v>10779.21113265319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2325737.98</v>
      </c>
      <c r="D635" s="1">
        <f>(D615/D612)*BK76</f>
        <v>197687.75765493105</v>
      </c>
      <c r="E635" s="1">
        <f>(E623/E612)*SUM(C635:D635)</f>
        <v>231561.17825649108</v>
      </c>
      <c r="F635" s="1">
        <f>(F624/F612)*BK64</f>
        <v>97.481467850072804</v>
      </c>
      <c r="G635" s="1">
        <f>(G625/G612)*BK77</f>
        <v>0</v>
      </c>
      <c r="H635" s="1">
        <f>(H628/H612)*BK60</f>
        <v>28398.362292422797</v>
      </c>
      <c r="I635" s="1">
        <f>(I629/I612)*BK78</f>
        <v>31773.559983849409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3013179.75</v>
      </c>
      <c r="D636" s="1">
        <f>(D615/D612)*BH76</f>
        <v>427778.61566478031</v>
      </c>
      <c r="E636" s="1">
        <f>(E623/E612)*SUM(C636:D636)</f>
        <v>315758.20187414798</v>
      </c>
      <c r="F636" s="1">
        <f>(F624/F612)*BH64</f>
        <v>447.21970215356959</v>
      </c>
      <c r="G636" s="1">
        <f>(G625/G612)*BH77</f>
        <v>0</v>
      </c>
      <c r="H636" s="1">
        <f>(H628/H612)*BH60</f>
        <v>26176.660762920947</v>
      </c>
      <c r="I636" s="1">
        <f>(I629/I612)*BH78</f>
        <v>68755.140256880346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1333131.73</v>
      </c>
      <c r="D637" s="1">
        <f>(D615/D612)*BL76</f>
        <v>281531.98171869561</v>
      </c>
      <c r="E637" s="1">
        <f>(E623/E612)*SUM(C637:D637)</f>
        <v>148168.98551611308</v>
      </c>
      <c r="F637" s="1">
        <f>(F624/F612)*BL64</f>
        <v>946.14222456135542</v>
      </c>
      <c r="G637" s="1">
        <f>(G625/G612)*BL77</f>
        <v>0</v>
      </c>
      <c r="H637" s="1">
        <f>(H628/H612)*BL60</f>
        <v>36801.410819328965</v>
      </c>
      <c r="I637" s="1">
        <f>(I629/I612)*BL78</f>
        <v>45249.505657933398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38407.090000000004</v>
      </c>
      <c r="D639" s="1">
        <f>(D615/D612)*BS76</f>
        <v>105430.26569485987</v>
      </c>
      <c r="E639" s="1">
        <f>(E623/E612)*SUM(C639:D639)</f>
        <v>13199.178824637314</v>
      </c>
      <c r="F639" s="1">
        <f>(F624/F612)*BS64</f>
        <v>71.820629573666324</v>
      </c>
      <c r="G639" s="1">
        <f>(G625/G612)*BS77</f>
        <v>0</v>
      </c>
      <c r="H639" s="1">
        <f>(H628/H612)*BS60</f>
        <v>0</v>
      </c>
      <c r="I639" s="1">
        <f>(I629/I612)*BS78</f>
        <v>16945.383522515014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78826.490000000005</v>
      </c>
      <c r="D640" s="1">
        <f>(D615/D612)*BT76</f>
        <v>41489.429682929353</v>
      </c>
      <c r="E640" s="1">
        <f>(E623/E612)*SUM(C640:D640)</f>
        <v>11040.74342630894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6668.4295394119736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1091053.68</v>
      </c>
      <c r="D642" s="1">
        <f>(D615/D612)*BV76</f>
        <v>34037.678117629177</v>
      </c>
      <c r="E642" s="1">
        <f>(E623/E612)*SUM(C642:D642)</f>
        <v>103243.56950326871</v>
      </c>
      <c r="F642" s="1">
        <f>(F624/F612)*BV64</f>
        <v>275.856333158891</v>
      </c>
      <c r="G642" s="1">
        <f>(G625/G612)*BV77</f>
        <v>0</v>
      </c>
      <c r="H642" s="1">
        <f>(H628/H612)*BV60</f>
        <v>6629.2706928684129</v>
      </c>
      <c r="I642" s="1">
        <f>(I629/I612)*BV78</f>
        <v>5470.7394135616196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363098.41000000003</v>
      </c>
      <c r="D643" s="1">
        <f>(D615/D612)*BW76</f>
        <v>395038.98459400987</v>
      </c>
      <c r="E643" s="1">
        <f>(E623/E612)*SUM(C643:D643)</f>
        <v>69570.182214136468</v>
      </c>
      <c r="F643" s="1">
        <f>(F624/F612)*BW64</f>
        <v>2406.8698494446107</v>
      </c>
      <c r="G643" s="1">
        <f>(G625/G612)*BW77</f>
        <v>0</v>
      </c>
      <c r="H643" s="1">
        <f>(H628/H612)*BW60</f>
        <v>3601.3065115312179</v>
      </c>
      <c r="I643" s="1">
        <f>(I629/I612)*BW78</f>
        <v>63493.030736208799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1597916.37</v>
      </c>
      <c r="D644" s="1">
        <f>(D615/D612)*BX76</f>
        <v>25576.334404772209</v>
      </c>
      <c r="E644" s="1">
        <f>(E623/E612)*SUM(C644:D644)</f>
        <v>148979.17458516243</v>
      </c>
      <c r="F644" s="1">
        <f>(F624/F612)*BX64</f>
        <v>453.5954430348101</v>
      </c>
      <c r="G644" s="1">
        <f>(G625/G612)*BX77</f>
        <v>0</v>
      </c>
      <c r="H644" s="1">
        <f>(H628/H612)*BX60</f>
        <v>21589.922121368749</v>
      </c>
      <c r="I644" s="1">
        <f>(I629/I612)*BX78</f>
        <v>4110.7815932412168</v>
      </c>
      <c r="J644" s="1">
        <f>(J630/J612)*BX79</f>
        <v>0</v>
      </c>
      <c r="K644" s="1">
        <f>SUM(C631:J644)</f>
        <v>15307409.668351857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1048296.6499999999</v>
      </c>
      <c r="D645" s="1">
        <f>(D615/D612)*BY76</f>
        <v>42450.946013935827</v>
      </c>
      <c r="E645" s="1">
        <f>(E623/E612)*SUM(C645:D645)</f>
        <v>100092.02757365264</v>
      </c>
      <c r="F645" s="1">
        <f>(F624/F612)*BY64</f>
        <v>82.549147609308505</v>
      </c>
      <c r="G645" s="1">
        <f>(G625/G612)*BY77</f>
        <v>0</v>
      </c>
      <c r="H645" s="1">
        <f>(H628/H612)*BY60</f>
        <v>13724.382029019469</v>
      </c>
      <c r="I645" s="1">
        <f>(I629/I612)*BY78</f>
        <v>6822.9702008120203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307349.17</v>
      </c>
      <c r="D647" s="1">
        <f>(D615/D612)*CA76</f>
        <v>12115.105770681572</v>
      </c>
      <c r="E647" s="1">
        <f>(E623/E612)*SUM(C647:D647)</f>
        <v>29315.514621429884</v>
      </c>
      <c r="F647" s="1">
        <f>(F624/F612)*CA64</f>
        <v>127.15031268397702</v>
      </c>
      <c r="G647" s="1">
        <f>(G625/G612)*CA77</f>
        <v>0</v>
      </c>
      <c r="H647" s="1">
        <f>(H628/H612)*CA60</f>
        <v>3780.475989716851</v>
      </c>
      <c r="I647" s="1">
        <f>(I629/I612)*CA78</f>
        <v>1947.2123336405764</v>
      </c>
      <c r="J647" s="1">
        <f>(J630/J612)*CA79</f>
        <v>0</v>
      </c>
      <c r="K647" s="1">
        <v>0</v>
      </c>
      <c r="L647" s="1">
        <f>SUM(C645:K647)</f>
        <v>1566104.1539931819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49766870.390000001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5409176.2800000012</v>
      </c>
      <c r="D668" s="1">
        <f>(D615/D612)*C76</f>
        <v>395760.12184226472</v>
      </c>
      <c r="E668" s="1">
        <f>(E623/E612)*SUM(C668:D668)</f>
        <v>532687.72401591681</v>
      </c>
      <c r="F668" s="1">
        <f>(F624/F612)*C64</f>
        <v>16753.099809816253</v>
      </c>
      <c r="G668" s="1">
        <f>(G625/G612)*C77</f>
        <v>298907.80159782962</v>
      </c>
      <c r="H668" s="1">
        <f>(H628/H612)*C60</f>
        <v>69643.176170755454</v>
      </c>
      <c r="I668" s="1">
        <f>(I629/I612)*C78</f>
        <v>63608.936232258835</v>
      </c>
      <c r="J668" s="1">
        <f>(J630/J612)*C79</f>
        <v>38875.359101138842</v>
      </c>
      <c r="K668" s="1">
        <f>(K644/K612)*C75</f>
        <v>465582.71551706555</v>
      </c>
      <c r="L668" s="1">
        <f>(L647/L612)*C80</f>
        <v>313474.99971732608</v>
      </c>
      <c r="M668" s="1">
        <f>ROUND(SUM(D668:L668),0)</f>
        <v>2195294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83.27000000000001</v>
      </c>
      <c r="D669" s="1">
        <f>(D615/D612)*D76</f>
        <v>0</v>
      </c>
      <c r="E669" s="1">
        <f>(E623/E612)*SUM(C669:D669)</f>
        <v>7.6412390607291059</v>
      </c>
      <c r="F669" s="1">
        <f>(F624/F612)*D64</f>
        <v>1.5477916808255319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ref="M669:M713" si="22">ROUND(SUM(D669:L669),0)</f>
        <v>9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7729082.0900000017</v>
      </c>
      <c r="D670" s="1">
        <f>(D615/D612)*E76</f>
        <v>1338046.1262286094</v>
      </c>
      <c r="E670" s="1">
        <f>(E623/E612)*SUM(C670:D670)</f>
        <v>832041.48306094727</v>
      </c>
      <c r="F670" s="1">
        <f>(F624/F612)*E64</f>
        <v>15392.787491914072</v>
      </c>
      <c r="G670" s="1">
        <f>(G625/G612)*E77</f>
        <v>1224915.4092761565</v>
      </c>
      <c r="H670" s="1">
        <f>(H628/H612)*E60</f>
        <v>122946.0959309812</v>
      </c>
      <c r="I670" s="1">
        <f>(I629/I612)*E78</f>
        <v>215058.78440430365</v>
      </c>
      <c r="J670" s="1">
        <f>(J630/J612)*E79</f>
        <v>114987.16621795669</v>
      </c>
      <c r="K670" s="1">
        <f>(K644/K612)*E75</f>
        <v>752089.74617880094</v>
      </c>
      <c r="L670" s="1">
        <f>(L647/L612)*E80</f>
        <v>399892.43207183213</v>
      </c>
      <c r="M670" s="1">
        <f t="shared" si="22"/>
        <v>5015370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6019530.6000000006</v>
      </c>
      <c r="D671" s="1">
        <f>(D615/D612)*F76</f>
        <v>634696.93009737355</v>
      </c>
      <c r="E671" s="1">
        <f>(E623/E612)*SUM(C671:D671)</f>
        <v>610622.59303421411</v>
      </c>
      <c r="F671" s="1">
        <f>(F624/F612)*F64</f>
        <v>18410.107541120036</v>
      </c>
      <c r="G671" s="1">
        <f>(G625/G612)*F77</f>
        <v>337829.84340679162</v>
      </c>
      <c r="H671" s="1">
        <f>(H628/H612)*F60</f>
        <v>86556.774911479195</v>
      </c>
      <c r="I671" s="1">
        <f>(I629/I612)*F78</f>
        <v>102012.2905901702</v>
      </c>
      <c r="J671" s="1">
        <f>(J630/J612)*F79</f>
        <v>71538.867431336257</v>
      </c>
      <c r="K671" s="1">
        <f>(K644/K612)*F75</f>
        <v>626979.21214153548</v>
      </c>
      <c r="L671" s="1">
        <f>(L647/L612)*F80</f>
        <v>277679.54366852326</v>
      </c>
      <c r="M671" s="1">
        <f t="shared" si="22"/>
        <v>2766326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2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2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2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1779739.1400000001</v>
      </c>
      <c r="D675" s="1">
        <f>(D615/D612)*J76</f>
        <v>162784.71483939604</v>
      </c>
      <c r="E675" s="1">
        <f>(E623/E612)*SUM(C675:D675)</f>
        <v>178254.94362912053</v>
      </c>
      <c r="F675" s="1">
        <f>(F624/F612)*J64</f>
        <v>4094.3930676317095</v>
      </c>
      <c r="G675" s="1">
        <f>(G625/G612)*J77</f>
        <v>8829.0692241974466</v>
      </c>
      <c r="H675" s="1">
        <f>(H628/H612)*J60</f>
        <v>22754.523729575358</v>
      </c>
      <c r="I675" s="1">
        <f>(I629/I612)*J78</f>
        <v>26163.733975027746</v>
      </c>
      <c r="J675" s="1">
        <f>(J630/J612)*J79</f>
        <v>16567.245829841773</v>
      </c>
      <c r="K675" s="1">
        <f>(K644/K612)*J75</f>
        <v>143868.30591746565</v>
      </c>
      <c r="L675" s="1">
        <f>(L647/L612)*J80</f>
        <v>92348.040457266325</v>
      </c>
      <c r="M675" s="1">
        <f t="shared" si="22"/>
        <v>655665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2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2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2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2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2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9401593.7200000007</v>
      </c>
      <c r="D681" s="1">
        <f>(D615/D612)*P76</f>
        <v>1046706.6779336476</v>
      </c>
      <c r="E681" s="1">
        <f>(E623/E612)*SUM(C681:D681)</f>
        <v>958784.20942622854</v>
      </c>
      <c r="F681" s="1">
        <f>(F624/F612)*P64</f>
        <v>267967.66073495633</v>
      </c>
      <c r="G681" s="1">
        <f>(G625/G612)*P77</f>
        <v>0</v>
      </c>
      <c r="H681" s="1">
        <f>(H628/H612)*P60</f>
        <v>33003.017881793559</v>
      </c>
      <c r="I681" s="1">
        <f>(I629/I612)*P78</f>
        <v>168232.96400008979</v>
      </c>
      <c r="J681" s="1">
        <f>(J630/J612)*P79</f>
        <v>64869.549408796818</v>
      </c>
      <c r="K681" s="1">
        <f>(K644/K612)*P75</f>
        <v>1468436.0043675478</v>
      </c>
      <c r="L681" s="1">
        <f>(L647/L612)*P80</f>
        <v>49986.554008979023</v>
      </c>
      <c r="M681" s="1">
        <f t="shared" si="22"/>
        <v>4057987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690339.66</v>
      </c>
      <c r="D682" s="1">
        <f>(D615/D612)*Q76</f>
        <v>161534.74360908763</v>
      </c>
      <c r="E682" s="1">
        <f>(E623/E612)*SUM(C682:D682)</f>
        <v>78171.92227324452</v>
      </c>
      <c r="F682" s="1">
        <f>(F624/F612)*Q64</f>
        <v>517.46274505655447</v>
      </c>
      <c r="G682" s="1">
        <f>(G625/G612)*Q77</f>
        <v>0</v>
      </c>
      <c r="H682" s="1">
        <f>(H628/H612)*Q60</f>
        <v>7937.2078836235305</v>
      </c>
      <c r="I682" s="1">
        <f>(I629/I612)*Q78</f>
        <v>25962.831115207689</v>
      </c>
      <c r="J682" s="1">
        <f>(J630/J612)*Q79</f>
        <v>0</v>
      </c>
      <c r="K682" s="1">
        <f>(K644/K612)*Q75</f>
        <v>102570.98520951159</v>
      </c>
      <c r="L682" s="1">
        <f>(L647/L612)*Q80</f>
        <v>33889.189158629844</v>
      </c>
      <c r="M682" s="1">
        <f t="shared" si="22"/>
        <v>410584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343324.58</v>
      </c>
      <c r="D683" s="1">
        <f>(D615/D612)*R76</f>
        <v>26537.850735778684</v>
      </c>
      <c r="E683" s="1">
        <f>(E623/E612)*SUM(C683:D683)</f>
        <v>33940.281648065873</v>
      </c>
      <c r="F683" s="1">
        <f>(F624/F612)*R64</f>
        <v>7452.4915720487888</v>
      </c>
      <c r="G683" s="1">
        <f>(G625/G612)*R77</f>
        <v>0</v>
      </c>
      <c r="H683" s="1">
        <f>(H628/H612)*R60</f>
        <v>2884.6285987886877</v>
      </c>
      <c r="I683" s="1">
        <f>(I629/I612)*R78</f>
        <v>4265.3222546412626</v>
      </c>
      <c r="J683" s="1">
        <f>(J630/J612)*R79</f>
        <v>0</v>
      </c>
      <c r="K683" s="1">
        <f>(K644/K612)*R75</f>
        <v>226569.99103352203</v>
      </c>
      <c r="L683" s="1">
        <f>(L647/L612)*R80</f>
        <v>8472.2972896574611</v>
      </c>
      <c r="M683" s="1">
        <f t="shared" si="22"/>
        <v>310123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788869.2699999999</v>
      </c>
      <c r="D684" s="1">
        <f>(D615/D612)*S76</f>
        <v>233888.84751732482</v>
      </c>
      <c r="E684" s="1">
        <f>(E623/E612)*SUM(C684:D684)</f>
        <v>93852.999606714904</v>
      </c>
      <c r="F684" s="1">
        <f>(F624/F612)*S64</f>
        <v>9586.9678852724355</v>
      </c>
      <c r="G684" s="1">
        <f>(G625/G612)*S77</f>
        <v>0</v>
      </c>
      <c r="H684" s="1">
        <f>(H628/H612)*S60</f>
        <v>14566.478576491945</v>
      </c>
      <c r="I684" s="1">
        <f>(I629/I612)*S78</f>
        <v>37592.01588556113</v>
      </c>
      <c r="J684" s="1">
        <f>(J630/J612)*S79</f>
        <v>0</v>
      </c>
      <c r="K684" s="1">
        <f>(K644/K612)*S75</f>
        <v>226748.20643750255</v>
      </c>
      <c r="L684" s="1">
        <f>(L647/L612)*S80</f>
        <v>0</v>
      </c>
      <c r="M684" s="1">
        <f t="shared" si="22"/>
        <v>616236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272375.12</v>
      </c>
      <c r="D685" s="1">
        <f>(D615/D612)*T76</f>
        <v>0</v>
      </c>
      <c r="E685" s="1">
        <f>(E623/E612)*SUM(C685:D685)</f>
        <v>24994.396614804577</v>
      </c>
      <c r="F685" s="1">
        <f>(F624/F612)*T64</f>
        <v>10539.498619996399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257276.44323873194</v>
      </c>
      <c r="L685" s="1">
        <f>(L647/L612)*T80</f>
        <v>0</v>
      </c>
      <c r="M685" s="1">
        <f t="shared" si="22"/>
        <v>292810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5957907.04</v>
      </c>
      <c r="D686" s="1">
        <f>(D615/D612)*U76</f>
        <v>633110.42815121287</v>
      </c>
      <c r="E686" s="1">
        <f>(E623/E612)*SUM(C686:D686)</f>
        <v>604822.14636225405</v>
      </c>
      <c r="F686" s="1">
        <f>(F624/F612)*U64</f>
        <v>77943.917505857928</v>
      </c>
      <c r="G686" s="1">
        <f>(G625/G612)*U77</f>
        <v>0</v>
      </c>
      <c r="H686" s="1">
        <f>(H628/H612)*U60</f>
        <v>42373.581590902148</v>
      </c>
      <c r="I686" s="1">
        <f>(I629/I612)*U78</f>
        <v>101757.29849886012</v>
      </c>
      <c r="J686" s="1">
        <f>(J630/J612)*U79</f>
        <v>0</v>
      </c>
      <c r="K686" s="1">
        <f>(K644/K612)*U75</f>
        <v>1552855.8230937007</v>
      </c>
      <c r="L686" s="1">
        <f>(L647/L612)*U80</f>
        <v>0</v>
      </c>
      <c r="M686" s="1">
        <f t="shared" si="22"/>
        <v>3012863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71741.259999999995</v>
      </c>
      <c r="D687" s="1">
        <f>(D615/D612)*V76</f>
        <v>7211.3724825485551</v>
      </c>
      <c r="E687" s="1">
        <f>(E623/E612)*SUM(C687:D687)</f>
        <v>7245.057514987865</v>
      </c>
      <c r="F687" s="1">
        <f>(F624/F612)*V64</f>
        <v>42.208666084032458</v>
      </c>
      <c r="G687" s="1">
        <f>(G625/G612)*V77</f>
        <v>0</v>
      </c>
      <c r="H687" s="1">
        <f>(H628/H612)*V60</f>
        <v>1057.0999212952333</v>
      </c>
      <c r="I687" s="1">
        <f>(I629/I612)*V78</f>
        <v>1159.054960500343</v>
      </c>
      <c r="J687" s="1">
        <f>(J630/J612)*V79</f>
        <v>464.74513969161194</v>
      </c>
      <c r="K687" s="1">
        <f>(K644/K612)*V75</f>
        <v>11251.445989113416</v>
      </c>
      <c r="L687" s="1">
        <f>(L647/L612)*V80</f>
        <v>0</v>
      </c>
      <c r="M687" s="1">
        <f t="shared" si="22"/>
        <v>28431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714951.68000000005</v>
      </c>
      <c r="D688" s="1">
        <f>(D615/D612)*W76</f>
        <v>267301.54001979978</v>
      </c>
      <c r="E688" s="1">
        <f>(E623/E612)*SUM(C688:D688)</f>
        <v>90136.083491560406</v>
      </c>
      <c r="F688" s="1">
        <f>(F624/F612)*W64</f>
        <v>313.72305663028766</v>
      </c>
      <c r="G688" s="1">
        <f>(G625/G612)*W77</f>
        <v>0</v>
      </c>
      <c r="H688" s="1">
        <f>(H628/H612)*W60</f>
        <v>4640.4894850078881</v>
      </c>
      <c r="I688" s="1">
        <f>(I629/I612)*W78</f>
        <v>42962.303869212723</v>
      </c>
      <c r="J688" s="1">
        <f>(J630/J612)*W79</f>
        <v>0</v>
      </c>
      <c r="K688" s="1">
        <f>(K644/K612)*W75</f>
        <v>253370.39874204682</v>
      </c>
      <c r="L688" s="1">
        <f>(L647/L612)*W80</f>
        <v>0</v>
      </c>
      <c r="M688" s="1">
        <f t="shared" si="22"/>
        <v>658725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1040966.477</v>
      </c>
      <c r="D689" s="1">
        <f>(D615/D612)*X76</f>
        <v>152400.33846452614</v>
      </c>
      <c r="E689" s="1">
        <f>(E623/E612)*SUM(C689:D689)</f>
        <v>109508.84020782322</v>
      </c>
      <c r="F689" s="1">
        <f>(F624/F612)*X64</f>
        <v>5121.9354753429052</v>
      </c>
      <c r="G689" s="1">
        <f>(G625/G612)*X77</f>
        <v>0</v>
      </c>
      <c r="H689" s="1">
        <f>(H628/H612)*X60</f>
        <v>10051.407726213998</v>
      </c>
      <c r="I689" s="1">
        <f>(I629/I612)*X78</f>
        <v>24494.694831907254</v>
      </c>
      <c r="J689" s="1">
        <f>(J630/J612)*X79</f>
        <v>6925.7769363140733</v>
      </c>
      <c r="K689" s="1">
        <f>(K644/K612)*X75</f>
        <v>1163215.4190189613</v>
      </c>
      <c r="L689" s="1">
        <f>(L647/L612)*X80</f>
        <v>0</v>
      </c>
      <c r="M689" s="1">
        <f t="shared" si="22"/>
        <v>1471718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7285885.290000001</v>
      </c>
      <c r="D690" s="1">
        <f>(D615/D612)*Y76</f>
        <v>913440.51445615035</v>
      </c>
      <c r="E690" s="1">
        <f>(E623/E612)*SUM(C690:D690)</f>
        <v>752407.93333318643</v>
      </c>
      <c r="F690" s="1">
        <f>(F624/F612)*Y64</f>
        <v>31426.447416024046</v>
      </c>
      <c r="G690" s="1">
        <f>(G625/G612)*Y77</f>
        <v>0</v>
      </c>
      <c r="H690" s="1">
        <f>(H628/H612)*Y60</f>
        <v>56527.970367567141</v>
      </c>
      <c r="I690" s="1">
        <f>(I629/I612)*Y78</f>
        <v>146813.62833004346</v>
      </c>
      <c r="J690" s="1">
        <f>(J630/J612)*Y79</f>
        <v>18005.495143577929</v>
      </c>
      <c r="K690" s="1">
        <f>(K644/K612)*Y75</f>
        <v>1138255.0909042323</v>
      </c>
      <c r="L690" s="1">
        <f>(L647/L612)*Y80</f>
        <v>33041.959429664101</v>
      </c>
      <c r="M690" s="1">
        <f t="shared" si="22"/>
        <v>3089919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9178194.6799999997</v>
      </c>
      <c r="D691" s="1">
        <f>(D615/D612)*Z76</f>
        <v>0</v>
      </c>
      <c r="E691" s="1">
        <f>(E623/E612)*SUM(C691:D691)</f>
        <v>842233.45377437328</v>
      </c>
      <c r="F691" s="1">
        <f>(F624/F612)*Z64</f>
        <v>355145.71192147362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1354696.9425077594</v>
      </c>
      <c r="L691" s="1">
        <f>(L647/L612)*Z80</f>
        <v>0</v>
      </c>
      <c r="M691" s="1">
        <f t="shared" si="22"/>
        <v>2552076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651391.78</v>
      </c>
      <c r="D692" s="1">
        <f>(D615/D612)*AA76</f>
        <v>204177.99288922476</v>
      </c>
      <c r="E692" s="1">
        <f>(E623/E612)*SUM(C692:D692)</f>
        <v>78511.026393422289</v>
      </c>
      <c r="F692" s="1">
        <f>(F624/F612)*AA64</f>
        <v>6998.5784447714896</v>
      </c>
      <c r="G692" s="1">
        <f>(G625/G612)*AA77</f>
        <v>0</v>
      </c>
      <c r="H692" s="1">
        <f>(H628/H612)*AA60</f>
        <v>4945.0775979234641</v>
      </c>
      <c r="I692" s="1">
        <f>(I629/I612)*AA78</f>
        <v>32816.709448299713</v>
      </c>
      <c r="J692" s="1">
        <f>(J630/J612)*AA79</f>
        <v>0</v>
      </c>
      <c r="K692" s="1">
        <f>(K644/K612)*AA75</f>
        <v>103536.06734677299</v>
      </c>
      <c r="L692" s="1">
        <f>(L647/L612)*AA80</f>
        <v>8472.2972896574611</v>
      </c>
      <c r="M692" s="1">
        <f t="shared" si="22"/>
        <v>439458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7417009.3999999994</v>
      </c>
      <c r="D693" s="1">
        <f>(D615/D612)*AB76</f>
        <v>268888.04196596047</v>
      </c>
      <c r="E693" s="1">
        <f>(E623/E612)*SUM(C693:D693)</f>
        <v>705293.37997247756</v>
      </c>
      <c r="F693" s="1">
        <f>(F624/F612)*AB64</f>
        <v>197395.36462056363</v>
      </c>
      <c r="G693" s="1">
        <f>(G625/G612)*AB77</f>
        <v>0</v>
      </c>
      <c r="H693" s="1">
        <f>(H628/H612)*AB60</f>
        <v>26337.913293288013</v>
      </c>
      <c r="I693" s="1">
        <f>(I629/I612)*AB78</f>
        <v>43217.295960522795</v>
      </c>
      <c r="J693" s="1">
        <f>(J630/J612)*AB79</f>
        <v>0</v>
      </c>
      <c r="K693" s="1">
        <f>(K644/K612)*AB75</f>
        <v>946785.46576675517</v>
      </c>
      <c r="L693" s="1">
        <f>(L647/L612)*AB80</f>
        <v>0</v>
      </c>
      <c r="M693" s="1">
        <f t="shared" si="22"/>
        <v>2187917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1904081.78</v>
      </c>
      <c r="D694" s="1">
        <f>(D615/D612)*AC76</f>
        <v>195043.58774466327</v>
      </c>
      <c r="E694" s="1">
        <f>(E623/E612)*SUM(C694:D694)</f>
        <v>192625.42036000802</v>
      </c>
      <c r="F694" s="1">
        <f>(F624/F612)*AC64</f>
        <v>9325.5040800056213</v>
      </c>
      <c r="G694" s="1">
        <f>(G625/G612)*AC77</f>
        <v>0</v>
      </c>
      <c r="H694" s="1">
        <f>(H628/H612)*AC60</f>
        <v>31318.824786848607</v>
      </c>
      <c r="I694" s="1">
        <f>(I629/I612)*AC78</f>
        <v>31348.573164999281</v>
      </c>
      <c r="J694" s="1">
        <f>(J630/J612)*AC79</f>
        <v>0</v>
      </c>
      <c r="K694" s="1">
        <f>(K644/K612)*AC75</f>
        <v>635899.31327585131</v>
      </c>
      <c r="L694" s="1">
        <f>(L647/L612)*AC80</f>
        <v>0</v>
      </c>
      <c r="M694" s="1">
        <f t="shared" si="22"/>
        <v>1095561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2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1187350.8800000001</v>
      </c>
      <c r="D696" s="1">
        <f>(D615/D612)*AE76</f>
        <v>391962.13233478914</v>
      </c>
      <c r="E696" s="1">
        <f>(E623/E612)*SUM(C696:D696)</f>
        <v>144925.04237985273</v>
      </c>
      <c r="F696" s="1">
        <f>(F624/F612)*AE64</f>
        <v>523.19692628609278</v>
      </c>
      <c r="G696" s="1">
        <f>(G625/G612)*AE77</f>
        <v>0</v>
      </c>
      <c r="H696" s="1">
        <f>(H628/H612)*AE60</f>
        <v>15014.402271956023</v>
      </c>
      <c r="I696" s="1">
        <f>(I629/I612)*AE78</f>
        <v>62998.500619728642</v>
      </c>
      <c r="J696" s="1">
        <f>(J630/J612)*AE79</f>
        <v>12342.258508454419</v>
      </c>
      <c r="K696" s="1">
        <f>(K644/K612)*AE75</f>
        <v>88927.260791601846</v>
      </c>
      <c r="L696" s="1">
        <f>(L647/L612)*AE80</f>
        <v>8472.2972896574611</v>
      </c>
      <c r="M696" s="1">
        <f t="shared" si="22"/>
        <v>725165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447546.26</v>
      </c>
      <c r="D697" s="1">
        <f>(D615/D612)*AF76</f>
        <v>0</v>
      </c>
      <c r="E697" s="1">
        <f>(E623/E612)*SUM(C697:D697)</f>
        <v>41068.907930770074</v>
      </c>
      <c r="F697" s="1">
        <f>(F624/F612)*AF64</f>
        <v>17317.709450314513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2"/>
        <v>58387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8145897.9199999981</v>
      </c>
      <c r="D698" s="1">
        <f>(D615/D612)*AG76</f>
        <v>601524.61667765013</v>
      </c>
      <c r="E698" s="1">
        <f>(E623/E612)*SUM(C698:D698)</f>
        <v>802703.81611580774</v>
      </c>
      <c r="F698" s="1">
        <f>(F624/F612)*AG64</f>
        <v>0</v>
      </c>
      <c r="G698" s="1">
        <f>(G625/G612)*AG77</f>
        <v>13715.386161253287</v>
      </c>
      <c r="H698" s="1">
        <f>(H628/H612)*AG60</f>
        <v>70216.518500949489</v>
      </c>
      <c r="I698" s="1">
        <f>(I629/I612)*AG78</f>
        <v>96680.637771868627</v>
      </c>
      <c r="J698" s="1">
        <f>(J630/J612)*AG79</f>
        <v>56619.543405546392</v>
      </c>
      <c r="K698" s="1">
        <f>(K644/K612)*AG75</f>
        <v>1315076.2560043831</v>
      </c>
      <c r="L698" s="1">
        <f>(L647/L612)*AG80</f>
        <v>157161.1147231459</v>
      </c>
      <c r="M698" s="1">
        <f t="shared" si="22"/>
        <v>3113698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2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2962565.4599999995</v>
      </c>
      <c r="D700" s="1">
        <f>(D615/D612)*AI76</f>
        <v>1216702.7652555923</v>
      </c>
      <c r="E700" s="1">
        <f>(E623/E612)*SUM(C700:D700)</f>
        <v>383508.91807478119</v>
      </c>
      <c r="F700" s="1">
        <f>(F624/F612)*AI64</f>
        <v>13098.363160289757</v>
      </c>
      <c r="G700" s="1">
        <f>(G625/G612)*AI77</f>
        <v>66352.814131468607</v>
      </c>
      <c r="H700" s="1">
        <f>(H628/H612)*AI60</f>
        <v>39883.125844121852</v>
      </c>
      <c r="I700" s="1">
        <f>(I629/I612)*AI78</f>
        <v>195555.7529356179</v>
      </c>
      <c r="J700" s="1">
        <f>(J630/J612)*AI79</f>
        <v>16489.615023509989</v>
      </c>
      <c r="K700" s="1">
        <f>(K644/K612)*AI75</f>
        <v>303228.14933701942</v>
      </c>
      <c r="L700" s="1">
        <f>(L647/L612)*AI80</f>
        <v>148477.01000124699</v>
      </c>
      <c r="M700" s="1">
        <f t="shared" si="22"/>
        <v>2383297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1369610.7200000002</v>
      </c>
      <c r="D701" s="1">
        <f>(D615/D612)*AJ76</f>
        <v>393740.93754715112</v>
      </c>
      <c r="E701" s="1">
        <f>(E623/E612)*SUM(C701:D701)</f>
        <v>161813.27685181581</v>
      </c>
      <c r="F701" s="1">
        <f>(F624/F612)*AJ64</f>
        <v>11373.207322122986</v>
      </c>
      <c r="G701" s="1">
        <f>(G625/G612)*AJ77</f>
        <v>0</v>
      </c>
      <c r="H701" s="1">
        <f>(H628/H612)*AJ60</f>
        <v>15695.24628906143</v>
      </c>
      <c r="I701" s="1">
        <f>(I629/I612)*AJ78</f>
        <v>63284.400843318734</v>
      </c>
      <c r="J701" s="1">
        <f>(J630/J612)*AJ79</f>
        <v>0</v>
      </c>
      <c r="K701" s="1">
        <f>(K644/K612)*AJ75</f>
        <v>249346.37924517051</v>
      </c>
      <c r="L701" s="1">
        <f>(L647/L612)*AJ80</f>
        <v>18639.054037246417</v>
      </c>
      <c r="M701" s="1">
        <f t="shared" si="22"/>
        <v>913893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2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130473.24</v>
      </c>
      <c r="D703" s="1">
        <f>(D615/D612)*AL76</f>
        <v>9615.1633100647396</v>
      </c>
      <c r="E703" s="1">
        <f>(E623/E612)*SUM(C703:D703)</f>
        <v>12855.157671767014</v>
      </c>
      <c r="F703" s="1">
        <f>(F624/F612)*AL64</f>
        <v>0</v>
      </c>
      <c r="G703" s="1">
        <f>(G625/G612)*AL77</f>
        <v>0</v>
      </c>
      <c r="H703" s="1">
        <f>(H628/H612)*AL60</f>
        <v>1881.2795209491442</v>
      </c>
      <c r="I703" s="1">
        <f>(I629/I612)*AL78</f>
        <v>1545.4066140004575</v>
      </c>
      <c r="J703" s="1">
        <f>(J630/J612)*AL79</f>
        <v>0</v>
      </c>
      <c r="K703" s="1">
        <f>(K644/K612)*AL75</f>
        <v>21187.269227880446</v>
      </c>
      <c r="L703" s="1">
        <f>(L647/L612)*AL80</f>
        <v>0</v>
      </c>
      <c r="M703" s="1">
        <f t="shared" si="22"/>
        <v>47084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2"/>
        <v>0</v>
      </c>
      <c r="N704" s="149" t="s">
        <v>724</v>
      </c>
    </row>
    <row r="705" spans="1:82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2"/>
        <v>0</v>
      </c>
      <c r="N705" s="149" t="s">
        <v>726</v>
      </c>
    </row>
    <row r="706" spans="1:82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2"/>
        <v>0</v>
      </c>
      <c r="N706" s="149" t="s">
        <v>728</v>
      </c>
    </row>
    <row r="707" spans="1:82" ht="12.65" customHeight="1" x14ac:dyDescent="0.3">
      <c r="A707" s="147">
        <v>7380</v>
      </c>
      <c r="B707" s="149" t="s">
        <v>729</v>
      </c>
      <c r="C707" s="1">
        <f>AP71</f>
        <v>34762601.199999996</v>
      </c>
      <c r="D707" s="1">
        <f>(D615/D612)*AP76</f>
        <v>4938924.7858478548</v>
      </c>
      <c r="E707" s="1">
        <f>(E623/E612)*SUM(C707:D707)</f>
        <v>3643195.0418351409</v>
      </c>
      <c r="F707" s="1">
        <f>(F624/F612)*AP64</f>
        <v>47847.112528632591</v>
      </c>
      <c r="G707" s="1">
        <f>(G625/G612)*AP77</f>
        <v>0</v>
      </c>
      <c r="H707" s="1">
        <f>(H628/H612)*AP60</f>
        <v>328740.15857499896</v>
      </c>
      <c r="I707" s="1">
        <f>(I629/I612)*AP78</f>
        <v>793813.56134747493</v>
      </c>
      <c r="J707" s="1">
        <f>(J630/J612)*AP79</f>
        <v>0</v>
      </c>
      <c r="K707" s="1">
        <f>(K644/K612)*AP75</f>
        <v>1899656.7770589206</v>
      </c>
      <c r="L707" s="1">
        <f>(L647/L612)*AP80</f>
        <v>16097.364850349175</v>
      </c>
      <c r="M707" s="1">
        <f t="shared" si="22"/>
        <v>11668275</v>
      </c>
      <c r="N707" s="149" t="s">
        <v>730</v>
      </c>
    </row>
    <row r="708" spans="1:82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2"/>
        <v>0</v>
      </c>
      <c r="N708" s="149" t="s">
        <v>732</v>
      </c>
    </row>
    <row r="709" spans="1:82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2"/>
        <v>0</v>
      </c>
      <c r="N709" s="149" t="s">
        <v>734</v>
      </c>
    </row>
    <row r="710" spans="1:82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2"/>
        <v>0</v>
      </c>
      <c r="N710" s="149" t="s">
        <v>735</v>
      </c>
    </row>
    <row r="711" spans="1:82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2"/>
        <v>0</v>
      </c>
      <c r="N711" s="149" t="s">
        <v>737</v>
      </c>
    </row>
    <row r="712" spans="1:82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2"/>
        <v>0</v>
      </c>
      <c r="N712" s="149" t="s">
        <v>739</v>
      </c>
    </row>
    <row r="713" spans="1:82" ht="12.65" customHeight="1" x14ac:dyDescent="0.3">
      <c r="A713" s="147">
        <v>7490</v>
      </c>
      <c r="B713" s="149" t="s">
        <v>740</v>
      </c>
      <c r="C713" s="1">
        <f>AV71</f>
        <v>0</v>
      </c>
      <c r="D713" s="1">
        <f>(D615/D612)*AV76</f>
        <v>0</v>
      </c>
      <c r="E713" s="1">
        <f>(E623/E612)*SUM(C713:D713)</f>
        <v>0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>
        <f>(I629/I612)*AV78</f>
        <v>0</v>
      </c>
      <c r="J713" s="1">
        <f>(J630/J612)*AV79</f>
        <v>0</v>
      </c>
      <c r="K713" s="1">
        <f>(K644/K612)*AV75</f>
        <v>0</v>
      </c>
      <c r="L713" s="1">
        <f>(L647/L612)*AV80</f>
        <v>0</v>
      </c>
      <c r="M713" s="1">
        <f t="shared" si="22"/>
        <v>0</v>
      </c>
      <c r="N713" s="150" t="s">
        <v>741</v>
      </c>
    </row>
    <row r="715" spans="1:82" ht="12.65" customHeight="1" x14ac:dyDescent="0.3">
      <c r="C715" s="1">
        <f>SUM(C614:C647)+SUM(C668:C713)</f>
        <v>165429159.18699998</v>
      </c>
      <c r="D715" s="1">
        <f>SUM(D616:D647)+SUM(D668:D713)</f>
        <v>22775581.559999999</v>
      </c>
      <c r="E715" s="1">
        <f>SUM(E624:E647)+SUM(E668:E713)</f>
        <v>13904592.721686082</v>
      </c>
      <c r="F715" s="1">
        <f>SUM(F625:F648)+SUM(F668:F713)</f>
        <v>1152445.2238303823</v>
      </c>
      <c r="G715" s="1">
        <f>SUM(G626:G647)+SUM(G668:G713)</f>
        <v>1950550.323797697</v>
      </c>
      <c r="H715" s="1">
        <f>SUM(H629:H647)+SUM(H668:H713)</f>
        <v>1269971.1783275835</v>
      </c>
      <c r="I715" s="1">
        <f>SUM(I630:I647)+SUM(I668:I713)</f>
        <v>2556573.888574027</v>
      </c>
      <c r="J715" s="1">
        <f>SUM(J631:J647)+SUM(J668:J713)</f>
        <v>417685.62214616482</v>
      </c>
      <c r="K715" s="1">
        <f>SUM(K668:K713)</f>
        <v>15307409.668351855</v>
      </c>
      <c r="L715" s="1">
        <f>SUM(L668:L713)</f>
        <v>1566104.1539931817</v>
      </c>
      <c r="M715" s="1">
        <f>SUM(M668:M713)</f>
        <v>49766871</v>
      </c>
      <c r="N715" s="149" t="s">
        <v>742</v>
      </c>
    </row>
    <row r="716" spans="1:82" ht="12.65" customHeight="1" x14ac:dyDescent="0.3">
      <c r="C716" s="1">
        <f>CE71</f>
        <v>165429159.18700004</v>
      </c>
      <c r="D716" s="1">
        <f>D615</f>
        <v>22775581.560000002</v>
      </c>
      <c r="E716" s="1">
        <f>E623</f>
        <v>13904592.721686082</v>
      </c>
      <c r="F716" s="1">
        <f>F624</f>
        <v>1152445.2238303823</v>
      </c>
      <c r="G716" s="1">
        <f>G625</f>
        <v>1950550.3237976972</v>
      </c>
      <c r="H716" s="1">
        <f>H628</f>
        <v>1269971.178327583</v>
      </c>
      <c r="I716" s="1">
        <f>I629</f>
        <v>2556573.8885740275</v>
      </c>
      <c r="J716" s="1">
        <f>J630</f>
        <v>417685.62214616477</v>
      </c>
      <c r="K716" s="1">
        <f>K644</f>
        <v>15307409.668351857</v>
      </c>
      <c r="L716" s="1">
        <f>L647</f>
        <v>1566104.1539931819</v>
      </c>
      <c r="M716" s="1">
        <f>C648</f>
        <v>49766870.390000001</v>
      </c>
      <c r="N716" s="149" t="s">
        <v>743</v>
      </c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20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5" customHeight="1" x14ac:dyDescent="0.3">
      <c r="A721" s="221" t="str">
        <f>RIGHT(C84,3)&amp;"*"&amp;RIGHT(C83,4)&amp;"*"&amp;"A"</f>
        <v>LLC*039*A</v>
      </c>
      <c r="B721" s="160">
        <f>ROUND(C166,0)</f>
        <v>506810</v>
      </c>
      <c r="C721" s="160">
        <f>ROUND(C167,0)</f>
        <v>978534</v>
      </c>
      <c r="D721" s="160">
        <f>ROUND(C168,0)</f>
        <v>5029108</v>
      </c>
      <c r="E721" s="160">
        <f>ROUND(C169,0)</f>
        <v>218213</v>
      </c>
      <c r="F721" s="160">
        <f>ROUND(C170,0)</f>
        <v>1786133</v>
      </c>
      <c r="G721" s="160">
        <f>ROUND(C171,0)</f>
        <v>497126</v>
      </c>
      <c r="H721" s="160">
        <f>ROUND(C172+C173,0)</f>
        <v>0</v>
      </c>
      <c r="I721" s="160">
        <f>ROUND(C176,0)</f>
        <v>491702</v>
      </c>
      <c r="J721" s="160">
        <f>ROUND(C177,0)</f>
        <v>0</v>
      </c>
      <c r="K721" s="160">
        <f>ROUND(C180,0)</f>
        <v>174370</v>
      </c>
      <c r="L721" s="160">
        <f>ROUND(C181,0)</f>
        <v>0</v>
      </c>
      <c r="M721" s="160">
        <f>ROUND(C184,0)</f>
        <v>8162865</v>
      </c>
      <c r="N721" s="160">
        <f>ROUND(C185,0)</f>
        <v>0</v>
      </c>
      <c r="O721" s="160">
        <f>ROUND(C186,0)</f>
        <v>0</v>
      </c>
      <c r="P721" s="160">
        <f>ROUND(C189,0)</f>
        <v>10703400</v>
      </c>
      <c r="Q721" s="160">
        <f>ROUND(C190,0)</f>
        <v>0</v>
      </c>
      <c r="R721" s="160">
        <f>ROUND(B196,0)</f>
        <v>9049</v>
      </c>
      <c r="S721" s="160">
        <f>ROUND(C196,0)</f>
        <v>2156474</v>
      </c>
      <c r="T721" s="160">
        <f>ROUND(D196,0)</f>
        <v>0</v>
      </c>
      <c r="U721" s="160">
        <f>ROUND(B197,0)</f>
        <v>68693864</v>
      </c>
      <c r="V721" s="160">
        <f>ROUND(C197,0)</f>
        <v>46875</v>
      </c>
      <c r="W721" s="160">
        <f>ROUND(D197,0)</f>
        <v>16214233</v>
      </c>
      <c r="X721" s="160">
        <f>ROUND(B198,0)</f>
        <v>0</v>
      </c>
      <c r="Y721" s="160">
        <f>ROUND(C198,0)</f>
        <v>0</v>
      </c>
      <c r="Z721" s="160">
        <f>ROUND(D198,0)</f>
        <v>0</v>
      </c>
      <c r="AA721" s="160">
        <f>ROUND(B199,0)</f>
        <v>0</v>
      </c>
      <c r="AB721" s="160">
        <f>ROUND(C199,0)</f>
        <v>0</v>
      </c>
      <c r="AC721" s="160">
        <f>ROUND(D199,0)</f>
        <v>0</v>
      </c>
      <c r="AD721" s="160">
        <f>ROUND(B200,0)</f>
        <v>11069916</v>
      </c>
      <c r="AE721" s="160">
        <f>ROUND(C200,0)</f>
        <v>3372568</v>
      </c>
      <c r="AF721" s="160">
        <f>ROUND(D200,0)</f>
        <v>344494</v>
      </c>
      <c r="AG721" s="160">
        <f>ROUND(B201,0)</f>
        <v>0</v>
      </c>
      <c r="AH721" s="160">
        <f>ROUND(C201,0)</f>
        <v>0</v>
      </c>
      <c r="AI721" s="160">
        <f>ROUND(D201,0)</f>
        <v>0</v>
      </c>
      <c r="AJ721" s="160">
        <f>ROUND(B202,0)</f>
        <v>1204374</v>
      </c>
      <c r="AK721" s="160">
        <f>ROUND(C202,0)</f>
        <v>16449231</v>
      </c>
      <c r="AL721" s="160">
        <f>ROUND(D202,0)</f>
        <v>1971688</v>
      </c>
      <c r="AM721" s="160">
        <f>ROUND(B203,0)</f>
        <v>114260</v>
      </c>
      <c r="AN721" s="160">
        <f>ROUND(C203,0)</f>
        <v>2709541</v>
      </c>
      <c r="AO721" s="160">
        <f>ROUND(D203,0)</f>
        <v>1198236</v>
      </c>
      <c r="AP721" s="160">
        <f>ROUND(B204,0)</f>
        <v>106431475</v>
      </c>
      <c r="AQ721" s="160">
        <f>ROUND(C204,0)</f>
        <v>47869829</v>
      </c>
      <c r="AR721" s="160">
        <f>ROUND(D204,0)</f>
        <v>45213803</v>
      </c>
      <c r="AS721" s="160"/>
      <c r="AT721" s="160"/>
      <c r="AU721" s="160"/>
      <c r="AV721" s="160">
        <f>ROUND(B210,0)</f>
        <v>0</v>
      </c>
      <c r="AW721" s="160">
        <f>ROUND(C210,0)</f>
        <v>3590629</v>
      </c>
      <c r="AX721" s="160">
        <f>ROUND(D210,0)</f>
        <v>0</v>
      </c>
      <c r="AY721" s="160">
        <f>ROUND(B211,0)</f>
        <v>0</v>
      </c>
      <c r="AZ721" s="160">
        <f>ROUND(C211,0)</f>
        <v>0</v>
      </c>
      <c r="BA721" s="160">
        <f>ROUND(D211,0)</f>
        <v>0</v>
      </c>
      <c r="BB721" s="160">
        <f>ROUND(B212,0)</f>
        <v>0</v>
      </c>
      <c r="BC721" s="160">
        <f>ROUND(C212,0)</f>
        <v>0</v>
      </c>
      <c r="BD721" s="160">
        <f>ROUND(D212,0)</f>
        <v>0</v>
      </c>
      <c r="BE721" s="160">
        <f>ROUND(B213,0)</f>
        <v>11148022</v>
      </c>
      <c r="BF721" s="160">
        <f>ROUND(C213,0)</f>
        <v>6742777</v>
      </c>
      <c r="BG721" s="160">
        <f>ROUND(D213,0)</f>
        <v>11216547</v>
      </c>
      <c r="BH721" s="160">
        <f>ROUND(B214,0)</f>
        <v>0</v>
      </c>
      <c r="BI721" s="160">
        <f>ROUND(C214,0)</f>
        <v>0</v>
      </c>
      <c r="BJ721" s="160">
        <f>ROUND(D214,0)</f>
        <v>0</v>
      </c>
      <c r="BK721" s="160">
        <f>ROUND(B215,0)</f>
        <v>984</v>
      </c>
      <c r="BL721" s="160">
        <f>ROUND(C215,0)</f>
        <v>7738333</v>
      </c>
      <c r="BM721" s="160">
        <f>ROUND(D215,0)</f>
        <v>371344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11150352</v>
      </c>
      <c r="BR721" s="160">
        <f>ROUND(C217,0)</f>
        <v>19695839</v>
      </c>
      <c r="BS721" s="160">
        <f>ROUND(D217,0)</f>
        <v>11590709</v>
      </c>
      <c r="BT721" s="160">
        <f>ROUND(C222,0)</f>
        <v>0</v>
      </c>
      <c r="BU721" s="160">
        <f>ROUND(C223,0)</f>
        <v>169880323</v>
      </c>
      <c r="BV721" s="160">
        <f>ROUND(C224,0)</f>
        <v>104189063</v>
      </c>
      <c r="BW721" s="160">
        <f>ROUND(C225,0)</f>
        <v>9724433</v>
      </c>
      <c r="BX721" s="160">
        <f>ROUND(C226,0)</f>
        <v>8814686</v>
      </c>
      <c r="BY721" s="160">
        <f>ROUND(C227,0)</f>
        <v>72008687</v>
      </c>
      <c r="BZ721" s="160">
        <f>ROUND(C230,0)</f>
        <v>0</v>
      </c>
      <c r="CA721" s="160">
        <f>ROUND(C232,0)</f>
        <v>0</v>
      </c>
      <c r="CB721" s="160">
        <f>ROUND(C233,0)</f>
        <v>428765</v>
      </c>
      <c r="CC721" s="160">
        <f>ROUND(C237+C238,0)</f>
        <v>727214</v>
      </c>
    </row>
    <row r="723" spans="1:84" ht="12.65" customHeight="1" x14ac:dyDescent="0.3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5" customHeight="1" x14ac:dyDescent="0.3">
      <c r="A725" s="221" t="str">
        <f>RIGHT(C84,3)&amp;"*"&amp;RIGHT(C83,4)&amp;"*"&amp;"A"</f>
        <v>LLC*039*A</v>
      </c>
      <c r="B725" s="160">
        <f>ROUND(C112,0)</f>
        <v>0</v>
      </c>
      <c r="C725" s="160">
        <f>ROUND(C113,0)</f>
        <v>0</v>
      </c>
      <c r="D725" s="160">
        <f>ROUND(C114,0)</f>
        <v>1392</v>
      </c>
      <c r="E725" s="160">
        <f>ROUND(C115,0)</f>
        <v>0</v>
      </c>
      <c r="F725" s="160">
        <f>ROUND(D112,0)</f>
        <v>0</v>
      </c>
      <c r="G725" s="160">
        <f>ROUND(D113,0)</f>
        <v>0</v>
      </c>
      <c r="H725" s="160">
        <f>ROUND(D114,0)</f>
        <v>3513</v>
      </c>
      <c r="I725" s="160">
        <f>ROUND(D115,0)</f>
        <v>0</v>
      </c>
      <c r="J725" s="160">
        <f>ROUND(C117,0)</f>
        <v>0</v>
      </c>
      <c r="K725" s="160">
        <f>ROUND(C118,0)</f>
        <v>60</v>
      </c>
      <c r="L725" s="160">
        <f>ROUND(C119,0)</f>
        <v>7</v>
      </c>
      <c r="M725" s="160">
        <f>ROUND(C120,0)</f>
        <v>20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10</v>
      </c>
      <c r="T725" s="160"/>
      <c r="U725" s="160">
        <f>ROUND(C127,0)</f>
        <v>0</v>
      </c>
      <c r="V725" s="160">
        <f>ROUND(C129,0)</f>
        <v>10</v>
      </c>
      <c r="W725" s="160">
        <f>ROUND(C130,0)</f>
        <v>0</v>
      </c>
      <c r="X725" s="160">
        <f>ROUND(B139,0)</f>
        <v>10681</v>
      </c>
      <c r="Y725" s="160">
        <f>ROUND(B140,0)</f>
        <v>22688</v>
      </c>
      <c r="Z725" s="160">
        <f>ROUND(B141,0)</f>
        <v>107915250</v>
      </c>
      <c r="AA725" s="160">
        <f>ROUND(B142,0)</f>
        <v>118424224</v>
      </c>
      <c r="AB725" s="160">
        <f>ROUND(B143,0)</f>
        <v>0</v>
      </c>
      <c r="AC725" s="160">
        <f>ROUND(C139,0)</f>
        <v>4398</v>
      </c>
      <c r="AD725" s="160">
        <f>ROUND(C140,0)</f>
        <v>18277</v>
      </c>
      <c r="AE725" s="160">
        <f>ROUND(C141,0)</f>
        <v>48753675</v>
      </c>
      <c r="AF725" s="160">
        <f>ROUND(C142,0)</f>
        <v>67623520</v>
      </c>
      <c r="AG725" s="160">
        <f>ROUND(C143,0)</f>
        <v>0</v>
      </c>
      <c r="AH725" s="160">
        <f>ROUND(D139,0)</f>
        <v>3846</v>
      </c>
      <c r="AI725" s="160">
        <f>ROUND(D140,0)</f>
        <v>25427</v>
      </c>
      <c r="AJ725" s="160">
        <f>ROUND(D141,0)</f>
        <v>49500664</v>
      </c>
      <c r="AK725" s="160">
        <f>ROUND(D142,0)</f>
        <v>132037604</v>
      </c>
      <c r="AL725" s="160">
        <f>ROUND(D143,0)</f>
        <v>0</v>
      </c>
      <c r="AM725" s="160">
        <f>ROUND(B145,0)</f>
        <v>0</v>
      </c>
      <c r="AN725" s="160">
        <f>ROUND(B146,0)</f>
        <v>0</v>
      </c>
      <c r="AO725" s="160">
        <f>ROUND(B147,0)</f>
        <v>0</v>
      </c>
      <c r="AP725" s="160">
        <f>ROUND(B148,0)</f>
        <v>0</v>
      </c>
      <c r="AQ725" s="160">
        <f>ROUND(B149,0)</f>
        <v>0</v>
      </c>
      <c r="AR725" s="160">
        <f>ROUND(C145,0)</f>
        <v>0</v>
      </c>
      <c r="AS725" s="160">
        <f>ROUND(C146,0)</f>
        <v>0</v>
      </c>
      <c r="AT725" s="160">
        <f>ROUND(C147,0)</f>
        <v>0</v>
      </c>
      <c r="AU725" s="160">
        <f>ROUND(C148,0)</f>
        <v>0</v>
      </c>
      <c r="AV725" s="160">
        <f>ROUND(C149,0)</f>
        <v>0</v>
      </c>
      <c r="AW725" s="160">
        <f>ROUND(D145,0)</f>
        <v>0</v>
      </c>
      <c r="AX725" s="160">
        <f>ROUND(D146,0)</f>
        <v>0</v>
      </c>
      <c r="AY725" s="160">
        <f>ROUND(D147,0)</f>
        <v>0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5" customHeight="1" x14ac:dyDescent="0.3">
      <c r="A729" s="221" t="str">
        <f>RIGHT(C84,3)&amp;"*"&amp;RIGHT(C83,4)&amp;"*"&amp;"A"</f>
        <v>LLC*039*A</v>
      </c>
      <c r="B729" s="160">
        <f>ROUND(C249,0)</f>
        <v>0</v>
      </c>
      <c r="C729" s="160">
        <f>ROUND(C250,0)</f>
        <v>-4464440</v>
      </c>
      <c r="D729" s="160">
        <f>ROUND(C251,0)</f>
        <v>0</v>
      </c>
      <c r="E729" s="160">
        <f>ROUND(C252,0)</f>
        <v>84412813</v>
      </c>
      <c r="F729" s="160">
        <f>ROUND(C253,0)</f>
        <v>65946029</v>
      </c>
      <c r="G729" s="160">
        <f>ROUND(C254,0)</f>
        <v>3757758</v>
      </c>
      <c r="H729" s="160">
        <f>ROUND(C255,0)</f>
        <v>671271</v>
      </c>
      <c r="I729" s="160">
        <f>ROUND(C256,0)</f>
        <v>0</v>
      </c>
      <c r="J729" s="160">
        <f>ROUND(C257,0)</f>
        <v>3670180</v>
      </c>
      <c r="K729" s="160">
        <f>ROUND(C258,0)</f>
        <v>1539611</v>
      </c>
      <c r="L729" s="160">
        <f>ROUND(C261,0)</f>
        <v>0</v>
      </c>
      <c r="M729" s="160">
        <f>ROUND(C262,0)</f>
        <v>0</v>
      </c>
      <c r="N729" s="160">
        <f>ROUND(C263,0)</f>
        <v>0</v>
      </c>
      <c r="O729" s="160">
        <f>ROUND(C266,0)</f>
        <v>0</v>
      </c>
      <c r="P729" s="160">
        <f>ROUND(C267,0)</f>
        <v>22990000</v>
      </c>
      <c r="Q729" s="160">
        <f>ROUND(C268,0)</f>
        <v>2165523</v>
      </c>
      <c r="R729" s="160">
        <f>ROUND(C269,0)</f>
        <v>52526507</v>
      </c>
      <c r="S729" s="160">
        <f>ROUND(C270,0)</f>
        <v>0</v>
      </c>
      <c r="T729" s="160">
        <f>ROUND(C271,0)</f>
        <v>0</v>
      </c>
      <c r="U729" s="160">
        <f>ROUND(C272,0)</f>
        <v>14097991</v>
      </c>
      <c r="V729" s="160">
        <f>ROUND(C273,0)</f>
        <v>15681917</v>
      </c>
      <c r="W729" s="160">
        <f>ROUND(C274,0)</f>
        <v>1625564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204914</v>
      </c>
      <c r="AC729" s="160">
        <f>ROUND(C285,0)</f>
        <v>0</v>
      </c>
      <c r="AD729" s="160">
        <f>ROUND(C286,0)</f>
        <v>22378479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5850508</v>
      </c>
      <c r="AJ729" s="160">
        <f>ROUND(C306,0)</f>
        <v>8263845</v>
      </c>
      <c r="AK729" s="160">
        <f>ROUND(C307,0)</f>
        <v>0</v>
      </c>
      <c r="AL729" s="160">
        <f>ROUND(C308,0)</f>
        <v>0</v>
      </c>
      <c r="AM729" s="160">
        <f>ROUND(C309,0)</f>
        <v>5207117</v>
      </c>
      <c r="AN729" s="160">
        <f>ROUND(C310,0)</f>
        <v>0</v>
      </c>
      <c r="AO729" s="160">
        <f>ROUND(C311,0)</f>
        <v>0</v>
      </c>
      <c r="AP729" s="160">
        <f>ROUND(C312,0)</f>
        <v>0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0</v>
      </c>
      <c r="AX729" s="160">
        <f>ROUND(C324,0)</f>
        <v>156137936</v>
      </c>
      <c r="AY729" s="160">
        <f>ROUND(C325,0)</f>
        <v>0</v>
      </c>
      <c r="AZ729" s="160">
        <f>ROUND(C326,0)</f>
        <v>-1931464</v>
      </c>
      <c r="BA729" s="160">
        <f>ROUND(C327,0)</f>
        <v>0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2">
        <f>ROUND(CE60,2)</f>
        <v>781.62</v>
      </c>
      <c r="BJ729" s="160">
        <f>ROUND(C358,0)</f>
        <v>0</v>
      </c>
      <c r="BK729" s="160">
        <f>ROUND(C359,0)</f>
        <v>206169589</v>
      </c>
      <c r="BL729" s="160">
        <f>ROUND(C362,0)</f>
        <v>0</v>
      </c>
      <c r="BM729" s="160">
        <f>ROUND(C363,0)</f>
        <v>2792809</v>
      </c>
      <c r="BN729" s="160">
        <f>ROUND(C364,0)</f>
        <v>364617192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70874121</v>
      </c>
      <c r="BT729" s="160">
        <f>ROUND(C379,0)</f>
        <v>13412128</v>
      </c>
      <c r="BU729" s="160">
        <f>ROUND(C380,0)</f>
        <v>6661524</v>
      </c>
      <c r="BV729" s="160">
        <f>ROUND(C381,0)</f>
        <v>30252591</v>
      </c>
      <c r="BW729" s="160">
        <f>ROUND(C382,0)</f>
        <v>2167616</v>
      </c>
      <c r="BX729" s="160">
        <f>ROUND(C383,0)</f>
        <v>14256421</v>
      </c>
      <c r="BY729" s="160">
        <f>ROUND(C384,0)</f>
        <v>8545162</v>
      </c>
      <c r="BZ729" s="160">
        <f>ROUND(C385,0)</f>
        <v>816364</v>
      </c>
      <c r="CA729" s="160">
        <f>ROUND(C386,0)</f>
        <v>1299820</v>
      </c>
      <c r="CB729" s="160">
        <f>ROUND(C387,0)</f>
        <v>8446350</v>
      </c>
      <c r="CC729" s="160">
        <f>ROUND(C388,0)</f>
        <v>10703400</v>
      </c>
      <c r="CD729" s="160">
        <f>ROUND(C391,0)</f>
        <v>0</v>
      </c>
      <c r="CE729" s="160">
        <f>ROUND(C393,0)</f>
        <v>0</v>
      </c>
      <c r="CF729" s="160">
        <f>ROUND(C394,0)</f>
        <v>9289706</v>
      </c>
    </row>
    <row r="731" spans="1:84" ht="12.65" customHeight="1" x14ac:dyDescent="0.3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1259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5" customHeight="1" x14ac:dyDescent="0.3">
      <c r="A733" s="160" t="str">
        <f>RIGHT($C$84,3)&amp;"*"&amp;RIGHT($C$83,4)&amp;"*"&amp;C$55&amp;"*"&amp;"A"</f>
        <v>LLC*039*6010*A</v>
      </c>
      <c r="B733" s="160">
        <f>ROUND(C59,0)</f>
        <v>4094</v>
      </c>
      <c r="C733" s="222">
        <f>ROUND(C60,2)</f>
        <v>38.869999999999997</v>
      </c>
      <c r="D733" s="160">
        <f>ROUND(C61,0)</f>
        <v>3196693</v>
      </c>
      <c r="E733" s="160">
        <f>ROUND(C62,0)</f>
        <v>604938</v>
      </c>
      <c r="F733" s="160">
        <f>ROUND(C63,0)</f>
        <v>1016682</v>
      </c>
      <c r="G733" s="160">
        <f>ROUND(C64,0)</f>
        <v>432955</v>
      </c>
      <c r="H733" s="160">
        <f>ROUND(C65,0)</f>
        <v>690</v>
      </c>
      <c r="I733" s="160">
        <f>ROUND(C66,0)</f>
        <v>18093</v>
      </c>
      <c r="J733" s="160">
        <f>ROUND(C67,0)</f>
        <v>135901</v>
      </c>
      <c r="K733" s="160">
        <f>ROUND(C68,0)</f>
        <v>3024</v>
      </c>
      <c r="L733" s="160">
        <f>ROUND(C70,0)</f>
        <v>0</v>
      </c>
      <c r="M733" s="160">
        <f>ROUND(C71,0)</f>
        <v>5409176</v>
      </c>
      <c r="N733" s="160">
        <f>ROUND(C76,0)</f>
        <v>8232</v>
      </c>
      <c r="O733" s="160">
        <f>ROUND(C74,0)</f>
        <v>537774</v>
      </c>
      <c r="P733" s="160">
        <f>IF(C77&gt;0,ROUND(C77,0),0)</f>
        <v>8870</v>
      </c>
      <c r="Q733" s="160">
        <f>IF(C78&gt;0,ROUND(C78,0),0)</f>
        <v>1184</v>
      </c>
      <c r="R733" s="160">
        <f>IF(C79&gt;0,ROUND(C79,0),0)</f>
        <v>112173</v>
      </c>
      <c r="S733" s="160">
        <f>IF(C80&gt;0,ROUND(C80,0),0)</f>
        <v>37</v>
      </c>
      <c r="T733" s="222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5" customHeight="1" x14ac:dyDescent="0.3">
      <c r="A734" s="160" t="str">
        <f>RIGHT($C$84,3)&amp;"*"&amp;RIGHT($C$83,4)&amp;"*"&amp;D$55&amp;"*"&amp;"A"</f>
        <v>LLC*039*6030*A</v>
      </c>
      <c r="B734" s="160">
        <f>ROUND(D59,0)</f>
        <v>0</v>
      </c>
      <c r="C734" s="222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40</v>
      </c>
      <c r="H734" s="160">
        <f>ROUND(D65,0)</f>
        <v>0</v>
      </c>
      <c r="I734" s="160">
        <f>ROUND(D66,0)</f>
        <v>43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83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2">
        <f>IF(D81&gt;0,ROUND(D81,2),0)</f>
        <v>0</v>
      </c>
      <c r="U734" s="160"/>
      <c r="X734" s="160"/>
      <c r="Y734" s="160"/>
      <c r="Z734" s="160">
        <f t="shared" ref="Z734:Z778" si="23">IF(M668&lt;&gt;0,ROUND(M668,0),0)</f>
        <v>2195294</v>
      </c>
    </row>
    <row r="735" spans="1:84" ht="12.65" customHeight="1" x14ac:dyDescent="0.3">
      <c r="A735" s="160" t="str">
        <f>RIGHT($C$84,3)&amp;"*"&amp;RIGHT($C$83,4)&amp;"*"&amp;E$55&amp;"*"&amp;"A"</f>
        <v>LLC*039*6070*A</v>
      </c>
      <c r="B735" s="160">
        <f>ROUND(E59,0)</f>
        <v>11916</v>
      </c>
      <c r="C735" s="222">
        <f>ROUND(E60,2)</f>
        <v>68.62</v>
      </c>
      <c r="D735" s="160">
        <f>ROUND(E61,0)</f>
        <v>5067847</v>
      </c>
      <c r="E735" s="160">
        <f>ROUND(E62,0)</f>
        <v>959033</v>
      </c>
      <c r="F735" s="160">
        <f>ROUND(E63,0)</f>
        <v>231925</v>
      </c>
      <c r="G735" s="160">
        <f>ROUND(E64,0)</f>
        <v>397800</v>
      </c>
      <c r="H735" s="160">
        <f>ROUND(E65,0)</f>
        <v>0</v>
      </c>
      <c r="I735" s="160">
        <f>ROUND(E66,0)</f>
        <v>585197</v>
      </c>
      <c r="J735" s="160">
        <f>ROUND(E67,0)</f>
        <v>459474</v>
      </c>
      <c r="K735" s="160">
        <f>ROUND(E68,0)</f>
        <v>17090</v>
      </c>
      <c r="L735" s="160">
        <f>ROUND(E70,0)</f>
        <v>0</v>
      </c>
      <c r="M735" s="160">
        <f>ROUND(E71,0)</f>
        <v>7729082</v>
      </c>
      <c r="N735" s="160">
        <f>ROUND(E76,0)</f>
        <v>27832</v>
      </c>
      <c r="O735" s="160">
        <f>ROUND(E74,0)</f>
        <v>3657676</v>
      </c>
      <c r="P735" s="160">
        <f>IF(E77&gt;0,ROUND(E77,0),0)</f>
        <v>36349</v>
      </c>
      <c r="Q735" s="160">
        <f>IF(E78&gt;0,ROUND(E78,0),0)</f>
        <v>4002</v>
      </c>
      <c r="R735" s="160">
        <f>IF(E79&gt;0,ROUND(E79,0),0)</f>
        <v>331790</v>
      </c>
      <c r="S735" s="160">
        <f>IF(E80&gt;0,ROUND(E80,0),0)</f>
        <v>47</v>
      </c>
      <c r="T735" s="222">
        <f>IF(E81&gt;0,ROUND(E81,2),0)</f>
        <v>0</v>
      </c>
      <c r="U735" s="160"/>
      <c r="X735" s="160"/>
      <c r="Y735" s="160"/>
      <c r="Z735" s="160">
        <f t="shared" si="23"/>
        <v>9</v>
      </c>
    </row>
    <row r="736" spans="1:84" ht="12.65" customHeight="1" x14ac:dyDescent="0.3">
      <c r="A736" s="160" t="str">
        <f>RIGHT($C$84,3)&amp;"*"&amp;RIGHT($C$83,4)&amp;"*"&amp;F$55&amp;"*"&amp;"A"</f>
        <v>LLC*039*6100*A</v>
      </c>
      <c r="B736" s="160">
        <f>ROUND(F59,0)</f>
        <v>2915</v>
      </c>
      <c r="C736" s="222">
        <f>ROUND(F60,2)</f>
        <v>48.31</v>
      </c>
      <c r="D736" s="160">
        <f>ROUND(F61,0)</f>
        <v>4137359</v>
      </c>
      <c r="E736" s="160">
        <f>ROUND(F62,0)</f>
        <v>782948</v>
      </c>
      <c r="F736" s="160">
        <f>ROUND(F63,0)</f>
        <v>291570</v>
      </c>
      <c r="G736" s="160">
        <f>ROUND(F64,0)</f>
        <v>475777</v>
      </c>
      <c r="H736" s="160">
        <f>ROUND(F65,0)</f>
        <v>0</v>
      </c>
      <c r="I736" s="160">
        <f>ROUND(F66,0)</f>
        <v>66983</v>
      </c>
      <c r="J736" s="160">
        <f>ROUND(F67,0)</f>
        <v>217950</v>
      </c>
      <c r="K736" s="160">
        <f>ROUND(F68,0)</f>
        <v>12603</v>
      </c>
      <c r="L736" s="160">
        <f>ROUND(F70,0)</f>
        <v>0</v>
      </c>
      <c r="M736" s="160">
        <f>ROUND(F71,0)</f>
        <v>6019531</v>
      </c>
      <c r="N736" s="160">
        <f>ROUND(F76,0)</f>
        <v>13202</v>
      </c>
      <c r="O736" s="160">
        <f>ROUND(F74,0)</f>
        <v>1570468</v>
      </c>
      <c r="P736" s="160">
        <f>IF(F77&gt;0,ROUND(F77,0),0)</f>
        <v>10025</v>
      </c>
      <c r="Q736" s="160">
        <f>IF(F78&gt;0,ROUND(F78,0),0)</f>
        <v>1898</v>
      </c>
      <c r="R736" s="160">
        <f>IF(F79&gt;0,ROUND(F79,0),0)</f>
        <v>206422</v>
      </c>
      <c r="S736" s="160">
        <f>IF(F80&gt;0,ROUND(F80,0),0)</f>
        <v>33</v>
      </c>
      <c r="T736" s="222">
        <f>IF(F81&gt;0,ROUND(F81,2),0)</f>
        <v>0</v>
      </c>
      <c r="U736" s="160"/>
      <c r="X736" s="160"/>
      <c r="Y736" s="160"/>
      <c r="Z736" s="160">
        <f t="shared" si="23"/>
        <v>5015370</v>
      </c>
    </row>
    <row r="737" spans="1:26" ht="12.65" customHeight="1" x14ac:dyDescent="0.3">
      <c r="A737" s="160" t="str">
        <f>RIGHT($C$84,3)&amp;"*"&amp;RIGHT($C$83,4)&amp;"*"&amp;G$55&amp;"*"&amp;"A"</f>
        <v>LLC*039*6120*A</v>
      </c>
      <c r="B737" s="160">
        <f>ROUND(G59,0)</f>
        <v>0</v>
      </c>
      <c r="C737" s="222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2">
        <f>IF(G81&gt;0,ROUND(G81,2),0)</f>
        <v>0</v>
      </c>
      <c r="U737" s="160"/>
      <c r="X737" s="160"/>
      <c r="Y737" s="160"/>
      <c r="Z737" s="160">
        <f t="shared" si="23"/>
        <v>2766326</v>
      </c>
    </row>
    <row r="738" spans="1:26" ht="12.65" customHeight="1" x14ac:dyDescent="0.3">
      <c r="A738" s="160" t="str">
        <f>RIGHT($C$84,3)&amp;"*"&amp;RIGHT($C$83,4)&amp;"*"&amp;H$55&amp;"*"&amp;"A"</f>
        <v>LLC*039*6140*A</v>
      </c>
      <c r="B738" s="160">
        <f>ROUND(H59,0)</f>
        <v>0</v>
      </c>
      <c r="C738" s="222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2">
        <f>IF(H81&gt;0,ROUND(H81,2),0)</f>
        <v>0</v>
      </c>
      <c r="U738" s="160"/>
      <c r="X738" s="160"/>
      <c r="Y738" s="160"/>
      <c r="Z738" s="160">
        <f t="shared" si="23"/>
        <v>0</v>
      </c>
    </row>
    <row r="739" spans="1:26" ht="12.65" customHeight="1" x14ac:dyDescent="0.3">
      <c r="A739" s="160" t="str">
        <f>RIGHT($C$84,3)&amp;"*"&amp;RIGHT($C$83,4)&amp;"*"&amp;I$55&amp;"*"&amp;"A"</f>
        <v>LLC*039*6150*A</v>
      </c>
      <c r="B739" s="160">
        <f>ROUND(I59,0)</f>
        <v>0</v>
      </c>
      <c r="C739" s="222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2">
        <f>IF(I81&gt;0,ROUND(I81,2),0)</f>
        <v>0</v>
      </c>
      <c r="U739" s="160"/>
      <c r="X739" s="160"/>
      <c r="Y739" s="160"/>
      <c r="Z739" s="160">
        <f t="shared" si="23"/>
        <v>0</v>
      </c>
    </row>
    <row r="740" spans="1:26" ht="12.65" customHeight="1" x14ac:dyDescent="0.3">
      <c r="A740" s="160" t="str">
        <f>RIGHT($C$84,3)&amp;"*"&amp;RIGHT($C$83,4)&amp;"*"&amp;J$55&amp;"*"&amp;"A"</f>
        <v>LLC*039*6170*A</v>
      </c>
      <c r="B740" s="160">
        <f>ROUND(J59,0)</f>
        <v>3513</v>
      </c>
      <c r="C740" s="222">
        <f>ROUND(J60,2)</f>
        <v>12.7</v>
      </c>
      <c r="D740" s="160">
        <f>ROUND(J61,0)</f>
        <v>1246937</v>
      </c>
      <c r="E740" s="160">
        <f>ROUND(J62,0)</f>
        <v>235969</v>
      </c>
      <c r="F740" s="160">
        <f>ROUND(J63,0)</f>
        <v>132505</v>
      </c>
      <c r="G740" s="160">
        <f>ROUND(J64,0)</f>
        <v>105813</v>
      </c>
      <c r="H740" s="160">
        <f>ROUND(J65,0)</f>
        <v>0</v>
      </c>
      <c r="I740" s="160">
        <f>ROUND(J66,0)</f>
        <v>2367</v>
      </c>
      <c r="J740" s="160">
        <f>ROUND(J67,0)</f>
        <v>55899</v>
      </c>
      <c r="K740" s="160">
        <f>ROUND(J68,0)</f>
        <v>0</v>
      </c>
      <c r="L740" s="160">
        <f>ROUND(J70,0)</f>
        <v>0</v>
      </c>
      <c r="M740" s="160">
        <f>ROUND(J71,0)</f>
        <v>1779739</v>
      </c>
      <c r="N740" s="160">
        <f>ROUND(J76,0)</f>
        <v>3386</v>
      </c>
      <c r="O740" s="160">
        <f>ROUND(J74,0)</f>
        <v>0</v>
      </c>
      <c r="P740" s="160">
        <f>IF(J77&gt;0,ROUND(J77,0),0)</f>
        <v>262</v>
      </c>
      <c r="Q740" s="160">
        <f>IF(J78&gt;0,ROUND(J78,0),0)</f>
        <v>487</v>
      </c>
      <c r="R740" s="160">
        <f>IF(J79&gt;0,ROUND(J79,0),0)</f>
        <v>47804</v>
      </c>
      <c r="S740" s="160">
        <f>IF(J80&gt;0,ROUND(J80,0),0)</f>
        <v>11</v>
      </c>
      <c r="T740" s="222">
        <f>IF(J81&gt;0,ROUND(J81,2),0)</f>
        <v>0</v>
      </c>
      <c r="U740" s="160"/>
      <c r="X740" s="160"/>
      <c r="Y740" s="160"/>
      <c r="Z740" s="160">
        <f t="shared" si="23"/>
        <v>0</v>
      </c>
    </row>
    <row r="741" spans="1:26" ht="12.65" customHeight="1" x14ac:dyDescent="0.3">
      <c r="A741" s="160" t="str">
        <f>RIGHT($C$84,3)&amp;"*"&amp;RIGHT($C$83,4)&amp;"*"&amp;K$55&amp;"*"&amp;"A"</f>
        <v>LLC*039*6200*A</v>
      </c>
      <c r="B741" s="160">
        <f>ROUND(K59,0)</f>
        <v>0</v>
      </c>
      <c r="C741" s="222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2">
        <f>IF(K81&gt;0,ROUND(K81,2),0)</f>
        <v>0</v>
      </c>
      <c r="U741" s="160"/>
      <c r="X741" s="160"/>
      <c r="Y741" s="160"/>
      <c r="Z741" s="160">
        <f t="shared" si="23"/>
        <v>655665</v>
      </c>
    </row>
    <row r="742" spans="1:26" ht="12.65" customHeight="1" x14ac:dyDescent="0.3">
      <c r="A742" s="160" t="str">
        <f>RIGHT($C$84,3)&amp;"*"&amp;RIGHT($C$83,4)&amp;"*"&amp;L$55&amp;"*"&amp;"A"</f>
        <v>LLC*039*6210*A</v>
      </c>
      <c r="B742" s="160">
        <f>ROUND(L59,0)</f>
        <v>0</v>
      </c>
      <c r="C742" s="222">
        <f>ROUND(L60,2)</f>
        <v>0</v>
      </c>
      <c r="D742" s="160">
        <f>ROUND(L61,0)</f>
        <v>0</v>
      </c>
      <c r="E742" s="160">
        <f>ROUND(L62,0)</f>
        <v>0</v>
      </c>
      <c r="F742" s="160">
        <f>ROUND(L63,0)</f>
        <v>0</v>
      </c>
      <c r="G742" s="160">
        <f>ROUND(L64,0)</f>
        <v>0</v>
      </c>
      <c r="H742" s="160">
        <f>ROUND(L65,0)</f>
        <v>0</v>
      </c>
      <c r="I742" s="160">
        <f>ROUND(L66,0)</f>
        <v>0</v>
      </c>
      <c r="J742" s="160">
        <f>ROUND(L67,0)</f>
        <v>0</v>
      </c>
      <c r="K742" s="160">
        <f>ROUND(L68,0)</f>
        <v>0</v>
      </c>
      <c r="L742" s="160">
        <f>ROUND(L70,0)</f>
        <v>0</v>
      </c>
      <c r="M742" s="160">
        <f>ROUND(L71,0)</f>
        <v>0</v>
      </c>
      <c r="N742" s="160">
        <f>ROUND(L76,0)</f>
        <v>0</v>
      </c>
      <c r="O742" s="160">
        <f>ROUND(L74,0)</f>
        <v>0</v>
      </c>
      <c r="P742" s="160">
        <f>IF(L77&gt;0,ROUND(L77,0),0)</f>
        <v>0</v>
      </c>
      <c r="Q742" s="160">
        <f>IF(L78&gt;0,ROUND(L78,0),0)</f>
        <v>0</v>
      </c>
      <c r="R742" s="160">
        <f>IF(L79&gt;0,ROUND(L79,0),0)</f>
        <v>0</v>
      </c>
      <c r="S742" s="160">
        <f>IF(L80&gt;0,ROUND(L80,0),0)</f>
        <v>0</v>
      </c>
      <c r="T742" s="222">
        <f>IF(L81&gt;0,ROUND(L81,2),0)</f>
        <v>0</v>
      </c>
      <c r="U742" s="160"/>
      <c r="X742" s="160"/>
      <c r="Y742" s="160"/>
      <c r="Z742" s="160">
        <f t="shared" si="23"/>
        <v>0</v>
      </c>
    </row>
    <row r="743" spans="1:26" ht="12.65" customHeight="1" x14ac:dyDescent="0.3">
      <c r="A743" s="160" t="str">
        <f>RIGHT($C$84,3)&amp;"*"&amp;RIGHT($C$83,4)&amp;"*"&amp;M$55&amp;"*"&amp;"A"</f>
        <v>LLC*039*6330*A</v>
      </c>
      <c r="B743" s="160">
        <f>ROUND(M59,0)</f>
        <v>0</v>
      </c>
      <c r="C743" s="222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2">
        <f>IF(M81&gt;0,ROUND(M81,2),0)</f>
        <v>0</v>
      </c>
      <c r="U743" s="160"/>
      <c r="X743" s="160"/>
      <c r="Y743" s="160"/>
      <c r="Z743" s="160">
        <f t="shared" si="23"/>
        <v>0</v>
      </c>
    </row>
    <row r="744" spans="1:26" ht="12.65" customHeight="1" x14ac:dyDescent="0.3">
      <c r="A744" s="160" t="str">
        <f>RIGHT($C$84,3)&amp;"*"&amp;RIGHT($C$83,4)&amp;"*"&amp;N$55&amp;"*"&amp;"A"</f>
        <v>LLC*039*6400*A</v>
      </c>
      <c r="B744" s="160">
        <f>ROUND(N59,0)</f>
        <v>0</v>
      </c>
      <c r="C744" s="222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2">
        <f>IF(N81&gt;0,ROUND(N81,2),0)</f>
        <v>0</v>
      </c>
      <c r="U744" s="160"/>
      <c r="X744" s="160"/>
      <c r="Y744" s="160"/>
      <c r="Z744" s="160">
        <f t="shared" si="23"/>
        <v>0</v>
      </c>
    </row>
    <row r="745" spans="1:26" ht="12.65" customHeight="1" x14ac:dyDescent="0.3">
      <c r="A745" s="160" t="str">
        <f>RIGHT($C$84,3)&amp;"*"&amp;RIGHT($C$83,4)&amp;"*"&amp;O$55&amp;"*"&amp;"A"</f>
        <v>LLC*039*7010*A</v>
      </c>
      <c r="B745" s="160">
        <f>ROUND(O59,0)</f>
        <v>0</v>
      </c>
      <c r="C745" s="222">
        <f>ROUND(O60,2)</f>
        <v>0</v>
      </c>
      <c r="D745" s="160">
        <f>ROUND(O61,0)</f>
        <v>0</v>
      </c>
      <c r="E745" s="160">
        <f>ROUND(O62,0)</f>
        <v>0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>
        <f>ROUND(O67,0)</f>
        <v>0</v>
      </c>
      <c r="K745" s="160">
        <f>ROUND(O68,0)</f>
        <v>0</v>
      </c>
      <c r="L745" s="160">
        <f>ROUND(O70,0)</f>
        <v>0</v>
      </c>
      <c r="M745" s="160">
        <f>ROUND(O71,0)</f>
        <v>0</v>
      </c>
      <c r="N745" s="160">
        <f>ROUND(O76,0)</f>
        <v>0</v>
      </c>
      <c r="O745" s="160">
        <f>ROUND(O74,0)</f>
        <v>0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22">
        <f>IF(O81&gt;0,ROUND(O81,2),0)</f>
        <v>0</v>
      </c>
      <c r="U745" s="160"/>
      <c r="X745" s="160"/>
      <c r="Y745" s="160"/>
      <c r="Z745" s="160">
        <f t="shared" si="23"/>
        <v>0</v>
      </c>
    </row>
    <row r="746" spans="1:26" ht="12.65" customHeight="1" x14ac:dyDescent="0.3">
      <c r="A746" s="160" t="str">
        <f>RIGHT($C$84,3)&amp;"*"&amp;RIGHT($C$83,4)&amp;"*"&amp;P$55&amp;"*"&amp;"A"</f>
        <v>LLC*039*7020*A</v>
      </c>
      <c r="B746" s="160">
        <f>ROUND(P59,0)</f>
        <v>250834</v>
      </c>
      <c r="C746" s="222">
        <f>ROUND(P60,2)</f>
        <v>18.420000000000002</v>
      </c>
      <c r="D746" s="160">
        <f>ROUND(P61,0)</f>
        <v>1432023</v>
      </c>
      <c r="E746" s="160">
        <f>ROUND(P62,0)</f>
        <v>270994</v>
      </c>
      <c r="F746" s="160">
        <f>ROUND(P63,0)</f>
        <v>68125</v>
      </c>
      <c r="G746" s="160">
        <f>ROUND(P64,0)</f>
        <v>6925161</v>
      </c>
      <c r="H746" s="160">
        <f>ROUND(P65,0)</f>
        <v>0</v>
      </c>
      <c r="I746" s="160">
        <f>ROUND(P66,0)</f>
        <v>307194</v>
      </c>
      <c r="J746" s="160">
        <f>ROUND(P67,0)</f>
        <v>359431</v>
      </c>
      <c r="K746" s="160">
        <f>ROUND(P68,0)</f>
        <v>40661</v>
      </c>
      <c r="L746" s="160">
        <f>ROUND(P70,0)</f>
        <v>3000</v>
      </c>
      <c r="M746" s="160">
        <f>ROUND(P71,0)</f>
        <v>9401594</v>
      </c>
      <c r="N746" s="160">
        <f>ROUND(P76,0)</f>
        <v>21772</v>
      </c>
      <c r="O746" s="160">
        <f>ROUND(P74,0)</f>
        <v>28345712</v>
      </c>
      <c r="P746" s="160">
        <f>IF(P77&gt;0,ROUND(P77,0),0)</f>
        <v>0</v>
      </c>
      <c r="Q746" s="160">
        <f>IF(P78&gt;0,ROUND(P78,0),0)</f>
        <v>3131</v>
      </c>
      <c r="R746" s="160">
        <f>IF(P79&gt;0,ROUND(P79,0),0)</f>
        <v>187178</v>
      </c>
      <c r="S746" s="160">
        <f>IF(P80&gt;0,ROUND(P80,0),0)</f>
        <v>6</v>
      </c>
      <c r="T746" s="222">
        <f>IF(P81&gt;0,ROUND(P81,2),0)</f>
        <v>0</v>
      </c>
      <c r="U746" s="160"/>
      <c r="X746" s="160"/>
      <c r="Y746" s="160"/>
      <c r="Z746" s="160">
        <f t="shared" si="23"/>
        <v>0</v>
      </c>
    </row>
    <row r="747" spans="1:26" ht="12.65" customHeight="1" x14ac:dyDescent="0.3">
      <c r="A747" s="160" t="str">
        <f>RIGHT($C$84,3)&amp;"*"&amp;RIGHT($C$83,4)&amp;"*"&amp;Q$55&amp;"*"&amp;"A"</f>
        <v>LLC*039*7030*A</v>
      </c>
      <c r="B747" s="160">
        <f>ROUND(Q59,0)</f>
        <v>125744</v>
      </c>
      <c r="C747" s="222">
        <f>ROUND(Q60,2)</f>
        <v>4.43</v>
      </c>
      <c r="D747" s="160">
        <f>ROUND(Q61,0)</f>
        <v>521875</v>
      </c>
      <c r="E747" s="160">
        <f>ROUND(Q62,0)</f>
        <v>98759</v>
      </c>
      <c r="F747" s="160">
        <f>ROUND(Q63,0)</f>
        <v>0</v>
      </c>
      <c r="G747" s="160">
        <f>ROUND(Q64,0)</f>
        <v>13373</v>
      </c>
      <c r="H747" s="160">
        <f>ROUND(Q65,0)</f>
        <v>0</v>
      </c>
      <c r="I747" s="160">
        <f>ROUND(Q66,0)</f>
        <v>862</v>
      </c>
      <c r="J747" s="160">
        <f>ROUND(Q67,0)</f>
        <v>55470</v>
      </c>
      <c r="K747" s="160">
        <f>ROUND(Q68,0)</f>
        <v>0</v>
      </c>
      <c r="L747" s="160">
        <f>ROUND(Q70,0)</f>
        <v>0</v>
      </c>
      <c r="M747" s="160">
        <f>ROUND(Q71,0)</f>
        <v>690340</v>
      </c>
      <c r="N747" s="160">
        <f>ROUND(Q76,0)</f>
        <v>3360</v>
      </c>
      <c r="O747" s="160">
        <f>ROUND(Q74,0)</f>
        <v>2375697</v>
      </c>
      <c r="P747" s="160">
        <f>IF(Q77&gt;0,ROUND(Q77,0),0)</f>
        <v>0</v>
      </c>
      <c r="Q747" s="160">
        <f>IF(Q78&gt;0,ROUND(Q78,0),0)</f>
        <v>483</v>
      </c>
      <c r="R747" s="160">
        <f>IF(Q79&gt;0,ROUND(Q79,0),0)</f>
        <v>0</v>
      </c>
      <c r="S747" s="160">
        <f>IF(Q80&gt;0,ROUND(Q80,0),0)</f>
        <v>4</v>
      </c>
      <c r="T747" s="222">
        <f>IF(Q81&gt;0,ROUND(Q81,2),0)</f>
        <v>0</v>
      </c>
      <c r="U747" s="160"/>
      <c r="X747" s="160"/>
      <c r="Y747" s="160"/>
      <c r="Z747" s="160">
        <f t="shared" si="23"/>
        <v>4057987</v>
      </c>
    </row>
    <row r="748" spans="1:26" ht="12.65" customHeight="1" x14ac:dyDescent="0.3">
      <c r="A748" s="160" t="str">
        <f>RIGHT($C$84,3)&amp;"*"&amp;RIGHT($C$83,4)&amp;"*"&amp;R$55&amp;"*"&amp;"A"</f>
        <v>LLC*039*7040*A</v>
      </c>
      <c r="B748" s="160">
        <f>ROUND(R59,0)</f>
        <v>0</v>
      </c>
      <c r="C748" s="222">
        <f>ROUND(R60,2)</f>
        <v>1.61</v>
      </c>
      <c r="D748" s="160">
        <f>ROUND(R61,0)</f>
        <v>118700</v>
      </c>
      <c r="E748" s="160">
        <f>ROUND(R62,0)</f>
        <v>22463</v>
      </c>
      <c r="F748" s="160">
        <f>ROUND(R63,0)</f>
        <v>0</v>
      </c>
      <c r="G748" s="160">
        <f>ROUND(R64,0)</f>
        <v>192597</v>
      </c>
      <c r="H748" s="160">
        <f>ROUND(R65,0)</f>
        <v>0</v>
      </c>
      <c r="I748" s="160">
        <f>ROUND(R66,0)</f>
        <v>373</v>
      </c>
      <c r="J748" s="160">
        <f>ROUND(R67,0)</f>
        <v>9113</v>
      </c>
      <c r="K748" s="160">
        <f>ROUND(R68,0)</f>
        <v>0</v>
      </c>
      <c r="L748" s="160">
        <f>ROUND(R70,0)</f>
        <v>0</v>
      </c>
      <c r="M748" s="160">
        <f>ROUND(R71,0)</f>
        <v>343325</v>
      </c>
      <c r="N748" s="160">
        <f>ROUND(R76,0)</f>
        <v>552</v>
      </c>
      <c r="O748" s="160">
        <f>ROUND(R74,0)</f>
        <v>4749370</v>
      </c>
      <c r="P748" s="160">
        <f>IF(R77&gt;0,ROUND(R77,0),0)</f>
        <v>0</v>
      </c>
      <c r="Q748" s="160">
        <f>IF(R78&gt;0,ROUND(R78,0),0)</f>
        <v>79</v>
      </c>
      <c r="R748" s="160">
        <f>IF(R79&gt;0,ROUND(R79,0),0)</f>
        <v>0</v>
      </c>
      <c r="S748" s="160">
        <f>IF(R80&gt;0,ROUND(R80,0),0)</f>
        <v>1</v>
      </c>
      <c r="T748" s="222">
        <f>IF(R81&gt;0,ROUND(R81,2),0)</f>
        <v>0</v>
      </c>
      <c r="U748" s="160"/>
      <c r="X748" s="160"/>
      <c r="Y748" s="160"/>
      <c r="Z748" s="160">
        <f t="shared" si="23"/>
        <v>410584</v>
      </c>
    </row>
    <row r="749" spans="1:26" ht="12.65" customHeight="1" x14ac:dyDescent="0.3">
      <c r="A749" s="160" t="str">
        <f>RIGHT($C$84,3)&amp;"*"&amp;RIGHT($C$83,4)&amp;"*"&amp;S$55&amp;"*"&amp;"A"</f>
        <v>LLC*039*7050*A</v>
      </c>
      <c r="B749" s="160"/>
      <c r="C749" s="222">
        <f>ROUND(S60,2)</f>
        <v>8.1300000000000008</v>
      </c>
      <c r="D749" s="160">
        <f>ROUND(S61,0)</f>
        <v>348165</v>
      </c>
      <c r="E749" s="160">
        <f>ROUND(S62,0)</f>
        <v>65886</v>
      </c>
      <c r="F749" s="160">
        <f>ROUND(S63,0)</f>
        <v>0</v>
      </c>
      <c r="G749" s="160">
        <f>ROUND(S64,0)</f>
        <v>247759</v>
      </c>
      <c r="H749" s="160">
        <f>ROUND(S65,0)</f>
        <v>0</v>
      </c>
      <c r="I749" s="160">
        <f>ROUND(S66,0)</f>
        <v>43547</v>
      </c>
      <c r="J749" s="160">
        <f>ROUND(S67,0)</f>
        <v>80316</v>
      </c>
      <c r="K749" s="160">
        <f>ROUND(S68,0)</f>
        <v>1387</v>
      </c>
      <c r="L749" s="160">
        <f>ROUND(S70,0)</f>
        <v>0</v>
      </c>
      <c r="M749" s="160">
        <f>ROUND(S71,0)</f>
        <v>788869</v>
      </c>
      <c r="N749" s="160">
        <f>ROUND(S76,0)</f>
        <v>4865</v>
      </c>
      <c r="O749" s="160">
        <f>ROUND(S74,0)</f>
        <v>4151552</v>
      </c>
      <c r="P749" s="160">
        <f>IF(S77&gt;0,ROUND(S77,0),0)</f>
        <v>0</v>
      </c>
      <c r="Q749" s="160">
        <f>IF(S78&gt;0,ROUND(S78,0),0)</f>
        <v>700</v>
      </c>
      <c r="R749" s="160">
        <f>IF(S79&gt;0,ROUND(S79,0),0)</f>
        <v>0</v>
      </c>
      <c r="S749" s="160">
        <f>IF(S80&gt;0,ROUND(S80,0),0)</f>
        <v>0</v>
      </c>
      <c r="T749" s="222">
        <f>IF(S81&gt;0,ROUND(S81,2),0)</f>
        <v>0</v>
      </c>
      <c r="U749" s="160"/>
      <c r="X749" s="160"/>
      <c r="Y749" s="160"/>
      <c r="Z749" s="160">
        <f t="shared" si="23"/>
        <v>310123</v>
      </c>
    </row>
    <row r="750" spans="1:26" ht="12.65" customHeight="1" x14ac:dyDescent="0.3">
      <c r="A750" s="160" t="str">
        <f>RIGHT($C$84,3)&amp;"*"&amp;RIGHT($C$83,4)&amp;"*"&amp;T$55&amp;"*"&amp;"A"</f>
        <v>LLC*039*7060*A</v>
      </c>
      <c r="B750" s="160"/>
      <c r="C750" s="222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272375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272375</v>
      </c>
      <c r="N750" s="160">
        <f>ROUND(T76,0)</f>
        <v>0</v>
      </c>
      <c r="O750" s="160">
        <f>ROUND(T74,0)</f>
        <v>4840366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2">
        <f>IF(T81&gt;0,ROUND(T81,2),0)</f>
        <v>0</v>
      </c>
      <c r="U750" s="160"/>
      <c r="X750" s="160"/>
      <c r="Y750" s="160"/>
      <c r="Z750" s="160">
        <f t="shared" si="23"/>
        <v>616236</v>
      </c>
    </row>
    <row r="751" spans="1:26" ht="12.65" customHeight="1" x14ac:dyDescent="0.3">
      <c r="A751" s="160" t="str">
        <f>RIGHT($C$84,3)&amp;"*"&amp;RIGHT($C$83,4)&amp;"*"&amp;U$55&amp;"*"&amp;"A"</f>
        <v>LLC*039*7070*A</v>
      </c>
      <c r="B751" s="160">
        <f>ROUND(U59,0)</f>
        <v>334281</v>
      </c>
      <c r="C751" s="222">
        <f>ROUND(U60,2)</f>
        <v>23.65</v>
      </c>
      <c r="D751" s="160">
        <f>ROUND(U61,0)</f>
        <v>1388198</v>
      </c>
      <c r="E751" s="160">
        <f>ROUND(U62,0)</f>
        <v>262701</v>
      </c>
      <c r="F751" s="160">
        <f>ROUND(U63,0)</f>
        <v>384414</v>
      </c>
      <c r="G751" s="160">
        <f>ROUND(U64,0)</f>
        <v>2014326</v>
      </c>
      <c r="H751" s="160">
        <f>ROUND(U65,0)</f>
        <v>0</v>
      </c>
      <c r="I751" s="160">
        <f>ROUND(U66,0)</f>
        <v>1531061</v>
      </c>
      <c r="J751" s="160">
        <f>ROUND(U67,0)</f>
        <v>217405</v>
      </c>
      <c r="K751" s="160">
        <f>ROUND(U68,0)</f>
        <v>152651</v>
      </c>
      <c r="L751" s="160">
        <f>ROUND(U70,0)</f>
        <v>0</v>
      </c>
      <c r="M751" s="160">
        <f>ROUND(U71,0)</f>
        <v>5957907</v>
      </c>
      <c r="N751" s="160">
        <f>ROUND(U76,0)</f>
        <v>13169</v>
      </c>
      <c r="O751" s="160">
        <f>ROUND(U74,0)</f>
        <v>25577508</v>
      </c>
      <c r="P751" s="160">
        <f>IF(U77&gt;0,ROUND(U77,0),0)</f>
        <v>0</v>
      </c>
      <c r="Q751" s="160">
        <f>IF(U78&gt;0,ROUND(U78,0),0)</f>
        <v>1894</v>
      </c>
      <c r="R751" s="160">
        <f>IF(U79&gt;0,ROUND(U79,0),0)</f>
        <v>0</v>
      </c>
      <c r="S751" s="160">
        <f>IF(U80&gt;0,ROUND(U80,0),0)</f>
        <v>0</v>
      </c>
      <c r="T751" s="222">
        <f>IF(U81&gt;0,ROUND(U81,2),0)</f>
        <v>0</v>
      </c>
      <c r="U751" s="160"/>
      <c r="X751" s="160"/>
      <c r="Y751" s="160"/>
      <c r="Z751" s="160">
        <f t="shared" si="23"/>
        <v>292810</v>
      </c>
    </row>
    <row r="752" spans="1:26" ht="12.65" customHeight="1" x14ac:dyDescent="0.3">
      <c r="A752" s="160" t="str">
        <f>RIGHT($C$84,3)&amp;"*"&amp;RIGHT($C$83,4)&amp;"*"&amp;V$55&amp;"*"&amp;"A"</f>
        <v>LLC*039*7110*A</v>
      </c>
      <c r="B752" s="160">
        <f>ROUND(V59,0)</f>
        <v>407</v>
      </c>
      <c r="C752" s="222">
        <f>ROUND(V60,2)</f>
        <v>0.59</v>
      </c>
      <c r="D752" s="160">
        <f>ROUND(V61,0)</f>
        <v>38746</v>
      </c>
      <c r="E752" s="160">
        <f>ROUND(V62,0)</f>
        <v>7332</v>
      </c>
      <c r="F752" s="160">
        <f>ROUND(V63,0)</f>
        <v>22096</v>
      </c>
      <c r="G752" s="160">
        <f>ROUND(V64,0)</f>
        <v>1091</v>
      </c>
      <c r="H752" s="160">
        <f>ROUND(V65,0)</f>
        <v>0</v>
      </c>
      <c r="I752" s="160">
        <f>ROUND(V66,0)</f>
        <v>0</v>
      </c>
      <c r="J752" s="160">
        <f>ROUND(V67,0)</f>
        <v>2476</v>
      </c>
      <c r="K752" s="160">
        <f>ROUND(V68,0)</f>
        <v>0</v>
      </c>
      <c r="L752" s="160">
        <f>ROUND(V70,0)</f>
        <v>0</v>
      </c>
      <c r="M752" s="160">
        <f>ROUND(V71,0)</f>
        <v>71741</v>
      </c>
      <c r="N752" s="160">
        <f>ROUND(V76,0)</f>
        <v>150</v>
      </c>
      <c r="O752" s="160">
        <f>ROUND(V74,0)</f>
        <v>201499</v>
      </c>
      <c r="P752" s="160">
        <f>IF(V77&gt;0,ROUND(V77,0),0)</f>
        <v>0</v>
      </c>
      <c r="Q752" s="160">
        <f>IF(V78&gt;0,ROUND(V78,0),0)</f>
        <v>22</v>
      </c>
      <c r="R752" s="160">
        <f>IF(V79&gt;0,ROUND(V79,0),0)</f>
        <v>1341</v>
      </c>
      <c r="S752" s="160">
        <f>IF(V80&gt;0,ROUND(V80,0),0)</f>
        <v>0</v>
      </c>
      <c r="T752" s="222">
        <f>IF(V81&gt;0,ROUND(V81,2),0)</f>
        <v>0</v>
      </c>
      <c r="U752" s="160"/>
      <c r="X752" s="160"/>
      <c r="Y752" s="160"/>
      <c r="Z752" s="160">
        <f t="shared" si="23"/>
        <v>3012863</v>
      </c>
    </row>
    <row r="753" spans="1:26" ht="12.65" customHeight="1" x14ac:dyDescent="0.3">
      <c r="A753" s="160" t="str">
        <f>RIGHT($C$84,3)&amp;"*"&amp;RIGHT($C$83,4)&amp;"*"&amp;W$55&amp;"*"&amp;"A"</f>
        <v>LLC*039*7120*A</v>
      </c>
      <c r="B753" s="160">
        <f>ROUND(W59,0)</f>
        <v>2269</v>
      </c>
      <c r="C753" s="222">
        <f>ROUND(W60,2)</f>
        <v>2.59</v>
      </c>
      <c r="D753" s="160">
        <f>ROUND(W61,0)</f>
        <v>295809</v>
      </c>
      <c r="E753" s="160">
        <f>ROUND(W62,0)</f>
        <v>55978</v>
      </c>
      <c r="F753" s="160">
        <f>ROUND(W63,0)</f>
        <v>0</v>
      </c>
      <c r="G753" s="160">
        <f>ROUND(W64,0)</f>
        <v>8108</v>
      </c>
      <c r="H753" s="160">
        <f>ROUND(W65,0)</f>
        <v>0</v>
      </c>
      <c r="I753" s="160">
        <f>ROUND(W66,0)</f>
        <v>263012</v>
      </c>
      <c r="J753" s="160">
        <f>ROUND(W67,0)</f>
        <v>91789</v>
      </c>
      <c r="K753" s="160">
        <f>ROUND(W68,0)</f>
        <v>256</v>
      </c>
      <c r="L753" s="160">
        <f>ROUND(W70,0)</f>
        <v>0</v>
      </c>
      <c r="M753" s="160">
        <f>ROUND(W71,0)</f>
        <v>714952</v>
      </c>
      <c r="N753" s="160">
        <f>ROUND(W76,0)</f>
        <v>5560</v>
      </c>
      <c r="O753" s="160">
        <f>ROUND(W74,0)</f>
        <v>7416902</v>
      </c>
      <c r="P753" s="160">
        <f>IF(W77&gt;0,ROUND(W77,0),0)</f>
        <v>0</v>
      </c>
      <c r="Q753" s="160">
        <f>IF(W78&gt;0,ROUND(W78,0),0)</f>
        <v>800</v>
      </c>
      <c r="R753" s="160">
        <f>IF(W79&gt;0,ROUND(W79,0),0)</f>
        <v>0</v>
      </c>
      <c r="S753" s="160">
        <f>IF(W80&gt;0,ROUND(W80,0),0)</f>
        <v>0</v>
      </c>
      <c r="T753" s="222">
        <f>IF(W81&gt;0,ROUND(W81,2),0)</f>
        <v>0</v>
      </c>
      <c r="U753" s="160"/>
      <c r="X753" s="160"/>
      <c r="Y753" s="160"/>
      <c r="Z753" s="160">
        <f t="shared" si="23"/>
        <v>28431</v>
      </c>
    </row>
    <row r="754" spans="1:26" ht="12.65" customHeight="1" x14ac:dyDescent="0.3">
      <c r="A754" s="160" t="str">
        <f>RIGHT($C$84,3)&amp;"*"&amp;RIGHT($C$83,4)&amp;"*"&amp;X$55&amp;"*"&amp;"A"</f>
        <v>LLC*039*7130*A</v>
      </c>
      <c r="B754" s="160">
        <f>ROUND(X59,0)</f>
        <v>11097</v>
      </c>
      <c r="C754" s="222">
        <f>ROUND(X60,2)</f>
        <v>5.61</v>
      </c>
      <c r="D754" s="160">
        <f>ROUND(X61,0)</f>
        <v>463264</v>
      </c>
      <c r="E754" s="160">
        <f>ROUND(X62,0)</f>
        <v>87667</v>
      </c>
      <c r="F754" s="160">
        <f>ROUND(X63,0)</f>
        <v>0</v>
      </c>
      <c r="G754" s="160">
        <f>ROUND(X64,0)</f>
        <v>132368</v>
      </c>
      <c r="H754" s="160">
        <f>ROUND(X65,0)</f>
        <v>0</v>
      </c>
      <c r="I754" s="160">
        <f>ROUND(X66,0)</f>
        <v>305011</v>
      </c>
      <c r="J754" s="160">
        <f>ROUND(X67,0)</f>
        <v>52333</v>
      </c>
      <c r="K754" s="160">
        <f>ROUND(X68,0)</f>
        <v>324</v>
      </c>
      <c r="L754" s="160">
        <f>ROUND(X70,0)</f>
        <v>0</v>
      </c>
      <c r="M754" s="160">
        <f>ROUND(X71,0)</f>
        <v>1040966</v>
      </c>
      <c r="N754" s="160">
        <f>ROUND(X76,0)</f>
        <v>3170</v>
      </c>
      <c r="O754" s="160">
        <f>ROUND(X74,0)</f>
        <v>29896942</v>
      </c>
      <c r="P754" s="160">
        <f>IF(X77&gt;0,ROUND(X77,0),0)</f>
        <v>0</v>
      </c>
      <c r="Q754" s="160">
        <f>IF(X78&gt;0,ROUND(X78,0),0)</f>
        <v>456</v>
      </c>
      <c r="R754" s="160">
        <f>IF(X79&gt;0,ROUND(X79,0),0)</f>
        <v>19984</v>
      </c>
      <c r="S754" s="160">
        <f>IF(X80&gt;0,ROUND(X80,0),0)</f>
        <v>0</v>
      </c>
      <c r="T754" s="222">
        <f>IF(X81&gt;0,ROUND(X81,2),0)</f>
        <v>0</v>
      </c>
      <c r="U754" s="160"/>
      <c r="X754" s="160"/>
      <c r="Y754" s="160"/>
      <c r="Z754" s="160">
        <f t="shared" si="23"/>
        <v>658725</v>
      </c>
    </row>
    <row r="755" spans="1:26" ht="12.65" customHeight="1" x14ac:dyDescent="0.3">
      <c r="A755" s="160" t="str">
        <f>RIGHT($C$84,3)&amp;"*"&amp;RIGHT($C$83,4)&amp;"*"&amp;Y$55&amp;"*"&amp;"A"</f>
        <v>LLC*039*7140*A</v>
      </c>
      <c r="B755" s="160">
        <f>ROUND(Y59,0)</f>
        <v>44620</v>
      </c>
      <c r="C755" s="222">
        <f>ROUND(Y60,2)</f>
        <v>31.55</v>
      </c>
      <c r="D755" s="160">
        <f>ROUND(Y61,0)</f>
        <v>2691802</v>
      </c>
      <c r="E755" s="160">
        <f>ROUND(Y62,0)</f>
        <v>509393</v>
      </c>
      <c r="F755" s="160">
        <f>ROUND(Y63,0)</f>
        <v>1919380</v>
      </c>
      <c r="G755" s="160">
        <f>ROUND(Y64,0)</f>
        <v>812162</v>
      </c>
      <c r="H755" s="160">
        <f>ROUND(Y65,0)</f>
        <v>0</v>
      </c>
      <c r="I755" s="160">
        <f>ROUND(Y66,0)</f>
        <v>1020279</v>
      </c>
      <c r="J755" s="160">
        <f>ROUND(Y67,0)</f>
        <v>313668</v>
      </c>
      <c r="K755" s="160">
        <f>ROUND(Y68,0)</f>
        <v>11536</v>
      </c>
      <c r="L755" s="160">
        <f>ROUND(Y70,0)</f>
        <v>0</v>
      </c>
      <c r="M755" s="160">
        <f>ROUND(Y71,0)</f>
        <v>7285885</v>
      </c>
      <c r="N755" s="160">
        <f>ROUND(Y76,0)</f>
        <v>19000</v>
      </c>
      <c r="O755" s="160">
        <f>ROUND(Y74,0)</f>
        <v>25969904</v>
      </c>
      <c r="P755" s="160">
        <f>IF(Y77&gt;0,ROUND(Y77,0),0)</f>
        <v>0</v>
      </c>
      <c r="Q755" s="160">
        <f>IF(Y78&gt;0,ROUND(Y78,0),0)</f>
        <v>2732</v>
      </c>
      <c r="R755" s="160">
        <f>IF(Y79&gt;0,ROUND(Y79,0),0)</f>
        <v>51954</v>
      </c>
      <c r="S755" s="160">
        <f>IF(Y80&gt;0,ROUND(Y80,0),0)</f>
        <v>4</v>
      </c>
      <c r="T755" s="222">
        <f>IF(Y81&gt;0,ROUND(Y81,2),0)</f>
        <v>0</v>
      </c>
      <c r="U755" s="160"/>
      <c r="X755" s="160"/>
      <c r="Y755" s="160"/>
      <c r="Z755" s="160">
        <f t="shared" si="23"/>
        <v>1471718</v>
      </c>
    </row>
    <row r="756" spans="1:26" ht="12.65" customHeight="1" x14ac:dyDescent="0.3">
      <c r="A756" s="160" t="str">
        <f>RIGHT($C$84,3)&amp;"*"&amp;RIGHT($C$83,4)&amp;"*"&amp;Z$55&amp;"*"&amp;"A"</f>
        <v>LLC*039*7150*A</v>
      </c>
      <c r="B756" s="160">
        <f>ROUND(Z59,0)</f>
        <v>729652</v>
      </c>
      <c r="C756" s="222">
        <f>ROUND(Z60,2)</f>
        <v>0</v>
      </c>
      <c r="D756" s="160">
        <f>ROUND(Z61,0)</f>
        <v>0</v>
      </c>
      <c r="E756" s="160">
        <f>ROUND(Z62,0)</f>
        <v>0</v>
      </c>
      <c r="F756" s="160">
        <f>ROUND(Z63,0)</f>
        <v>0</v>
      </c>
      <c r="G756" s="160">
        <f>ROUND(Z64,0)</f>
        <v>9178127</v>
      </c>
      <c r="H756" s="160">
        <f>ROUND(Z65,0)</f>
        <v>0</v>
      </c>
      <c r="I756" s="160">
        <f>ROUND(Z66,0)</f>
        <v>13</v>
      </c>
      <c r="J756" s="160">
        <f>ROUND(Z67,0)</f>
        <v>0</v>
      </c>
      <c r="K756" s="160">
        <f>ROUND(Z68,0)</f>
        <v>55</v>
      </c>
      <c r="L756" s="160">
        <f>ROUND(Z70,0)</f>
        <v>0</v>
      </c>
      <c r="M756" s="160">
        <f>ROUND(Z71,0)</f>
        <v>9178195</v>
      </c>
      <c r="N756" s="160">
        <f>ROUND(Z76,0)</f>
        <v>0</v>
      </c>
      <c r="O756" s="160">
        <f>ROUND(Z74,0)</f>
        <v>45272021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22">
        <f>IF(Z81&gt;0,ROUND(Z81,2),0)</f>
        <v>0</v>
      </c>
      <c r="U756" s="160"/>
      <c r="X756" s="160"/>
      <c r="Y756" s="160"/>
      <c r="Z756" s="160">
        <f t="shared" si="23"/>
        <v>3089919</v>
      </c>
    </row>
    <row r="757" spans="1:26" ht="12.65" customHeight="1" x14ac:dyDescent="0.3">
      <c r="A757" s="160" t="str">
        <f>RIGHT($C$84,3)&amp;"*"&amp;RIGHT($C$83,4)&amp;"*"&amp;AA$55&amp;"*"&amp;"A"</f>
        <v>LLC*039*7160*A</v>
      </c>
      <c r="B757" s="160">
        <f>ROUND(AA59,0)</f>
        <v>1002</v>
      </c>
      <c r="C757" s="222">
        <f>ROUND(AA60,2)</f>
        <v>2.76</v>
      </c>
      <c r="D757" s="160">
        <f>ROUND(AA61,0)</f>
        <v>291156</v>
      </c>
      <c r="E757" s="160">
        <f>ROUND(AA62,0)</f>
        <v>55098</v>
      </c>
      <c r="F757" s="160">
        <f>ROUND(AA63,0)</f>
        <v>0</v>
      </c>
      <c r="G757" s="160">
        <f>ROUND(AA64,0)</f>
        <v>180866</v>
      </c>
      <c r="H757" s="160">
        <f>ROUND(AA65,0)</f>
        <v>0</v>
      </c>
      <c r="I757" s="160">
        <f>ROUND(AA66,0)</f>
        <v>53563</v>
      </c>
      <c r="J757" s="160">
        <f>ROUND(AA67,0)</f>
        <v>70113</v>
      </c>
      <c r="K757" s="160">
        <f>ROUND(AA68,0)</f>
        <v>596</v>
      </c>
      <c r="L757" s="160">
        <f>ROUND(AA70,0)</f>
        <v>0</v>
      </c>
      <c r="M757" s="160">
        <f>ROUND(AA71,0)</f>
        <v>651392</v>
      </c>
      <c r="N757" s="160">
        <f>ROUND(AA76,0)</f>
        <v>4247</v>
      </c>
      <c r="O757" s="160">
        <f>ROUND(AA74,0)</f>
        <v>3218100</v>
      </c>
      <c r="P757" s="160">
        <f>IF(AA77&gt;0,ROUND(AA77,0),0)</f>
        <v>0</v>
      </c>
      <c r="Q757" s="160">
        <f>IF(AA78&gt;0,ROUND(AA78,0),0)</f>
        <v>611</v>
      </c>
      <c r="R757" s="160">
        <f>IF(AA79&gt;0,ROUND(AA79,0),0)</f>
        <v>0</v>
      </c>
      <c r="S757" s="160">
        <f>IF(AA80&gt;0,ROUND(AA80,0),0)</f>
        <v>1</v>
      </c>
      <c r="T757" s="222">
        <f>IF(AA81&gt;0,ROUND(AA81,2),0)</f>
        <v>0</v>
      </c>
      <c r="U757" s="160"/>
      <c r="X757" s="160"/>
      <c r="Y757" s="160"/>
      <c r="Z757" s="160">
        <f t="shared" si="23"/>
        <v>2552076</v>
      </c>
    </row>
    <row r="758" spans="1:26" ht="12.65" customHeight="1" x14ac:dyDescent="0.3">
      <c r="A758" s="160" t="str">
        <f>RIGHT($C$84,3)&amp;"*"&amp;RIGHT($C$83,4)&amp;"*"&amp;AB$55&amp;"*"&amp;"A"</f>
        <v>LLC*039*7170*A</v>
      </c>
      <c r="B758" s="160"/>
      <c r="C758" s="222">
        <f>ROUND(AB60,2)</f>
        <v>14.7</v>
      </c>
      <c r="D758" s="160">
        <f>ROUND(AB61,0)</f>
        <v>1566548</v>
      </c>
      <c r="E758" s="160">
        <f>ROUND(AB62,0)</f>
        <v>296451</v>
      </c>
      <c r="F758" s="160">
        <f>ROUND(AB63,0)</f>
        <v>0</v>
      </c>
      <c r="G758" s="160">
        <f>ROUND(AB64,0)</f>
        <v>5101342</v>
      </c>
      <c r="H758" s="160">
        <f>ROUND(AB65,0)</f>
        <v>0</v>
      </c>
      <c r="I758" s="160">
        <f>ROUND(AB66,0)</f>
        <v>374036</v>
      </c>
      <c r="J758" s="160">
        <f>ROUND(AB67,0)</f>
        <v>92334</v>
      </c>
      <c r="K758" s="160">
        <f>ROUND(AB68,0)</f>
        <v>4940</v>
      </c>
      <c r="L758" s="160">
        <f>ROUND(AB70,0)</f>
        <v>21230</v>
      </c>
      <c r="M758" s="160">
        <f>ROUND(AB71,0)</f>
        <v>7417009</v>
      </c>
      <c r="N758" s="160">
        <f>ROUND(AB76,0)</f>
        <v>5593</v>
      </c>
      <c r="O758" s="160">
        <f>ROUND(AB74,0)</f>
        <v>11353190</v>
      </c>
      <c r="P758" s="160">
        <f>IF(AB77&gt;0,ROUND(AB77,0),0)</f>
        <v>0</v>
      </c>
      <c r="Q758" s="160">
        <f>IF(AB78&gt;0,ROUND(AB78,0),0)</f>
        <v>804</v>
      </c>
      <c r="R758" s="160">
        <f>IF(AB79&gt;0,ROUND(AB79,0),0)</f>
        <v>0</v>
      </c>
      <c r="S758" s="160">
        <f>IF(AB80&gt;0,ROUND(AB80,0),0)</f>
        <v>0</v>
      </c>
      <c r="T758" s="222">
        <f>IF(AB81&gt;0,ROUND(AB81,2),0)</f>
        <v>0</v>
      </c>
      <c r="U758" s="160"/>
      <c r="X758" s="160"/>
      <c r="Y758" s="160"/>
      <c r="Z758" s="160">
        <f t="shared" si="23"/>
        <v>439458</v>
      </c>
    </row>
    <row r="759" spans="1:26" ht="12.65" customHeight="1" x14ac:dyDescent="0.3">
      <c r="A759" s="160" t="str">
        <f>RIGHT($C$84,3)&amp;"*"&amp;RIGHT($C$83,4)&amp;"*"&amp;AC$55&amp;"*"&amp;"A"</f>
        <v>LLC*039*7180*A</v>
      </c>
      <c r="B759" s="160">
        <f>ROUND(AC59,0)</f>
        <v>59135</v>
      </c>
      <c r="C759" s="222">
        <f>ROUND(AC60,2)</f>
        <v>17.48</v>
      </c>
      <c r="D759" s="160">
        <f>ROUND(AC61,0)</f>
        <v>1265575</v>
      </c>
      <c r="E759" s="160">
        <f>ROUND(AC62,0)</f>
        <v>239496</v>
      </c>
      <c r="F759" s="160">
        <f>ROUND(AC63,0)</f>
        <v>68341</v>
      </c>
      <c r="G759" s="160">
        <f>ROUND(AC64,0)</f>
        <v>241002</v>
      </c>
      <c r="H759" s="160">
        <f>ROUND(AC65,0)</f>
        <v>345</v>
      </c>
      <c r="I759" s="160">
        <f>ROUND(AC66,0)</f>
        <v>1347</v>
      </c>
      <c r="J759" s="160">
        <f>ROUND(AC67,0)</f>
        <v>66976</v>
      </c>
      <c r="K759" s="160">
        <f>ROUND(AC68,0)</f>
        <v>21000</v>
      </c>
      <c r="L759" s="160">
        <f>ROUND(AC70,0)</f>
        <v>0</v>
      </c>
      <c r="M759" s="160">
        <f>ROUND(AC71,0)</f>
        <v>1904082</v>
      </c>
      <c r="N759" s="160">
        <f>ROUND(AC76,0)</f>
        <v>4057</v>
      </c>
      <c r="O759" s="160">
        <f>ROUND(AC74,0)</f>
        <v>4794694</v>
      </c>
      <c r="P759" s="160">
        <f>IF(AC77&gt;0,ROUND(AC77,0),0)</f>
        <v>0</v>
      </c>
      <c r="Q759" s="160">
        <f>IF(AC78&gt;0,ROUND(AC78,0),0)</f>
        <v>583</v>
      </c>
      <c r="R759" s="160">
        <f>IF(AC79&gt;0,ROUND(AC79,0),0)</f>
        <v>0</v>
      </c>
      <c r="S759" s="160">
        <f>IF(AC80&gt;0,ROUND(AC80,0),0)</f>
        <v>0</v>
      </c>
      <c r="T759" s="222">
        <f>IF(AC81&gt;0,ROUND(AC81,2),0)</f>
        <v>0</v>
      </c>
      <c r="U759" s="160"/>
      <c r="X759" s="160"/>
      <c r="Y759" s="160"/>
      <c r="Z759" s="160">
        <f t="shared" si="23"/>
        <v>2187917</v>
      </c>
    </row>
    <row r="760" spans="1:26" ht="12.65" customHeight="1" x14ac:dyDescent="0.3">
      <c r="A760" s="160" t="str">
        <f>RIGHT($C$84,3)&amp;"*"&amp;RIGHT($C$83,4)&amp;"*"&amp;AD$55&amp;"*"&amp;"A"</f>
        <v>LLC*039*7190*A</v>
      </c>
      <c r="B760" s="160">
        <f>ROUND(AD59,0)</f>
        <v>0</v>
      </c>
      <c r="C760" s="222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2">
        <f>IF(AD81&gt;0,ROUND(AD81,2),0)</f>
        <v>0</v>
      </c>
      <c r="U760" s="160"/>
      <c r="X760" s="160"/>
      <c r="Y760" s="160"/>
      <c r="Z760" s="160">
        <f t="shared" si="23"/>
        <v>1095561</v>
      </c>
    </row>
    <row r="761" spans="1:26" ht="12.65" customHeight="1" x14ac:dyDescent="0.3">
      <c r="A761" s="160" t="str">
        <f>RIGHT($C$84,3)&amp;"*"&amp;RIGHT($C$83,4)&amp;"*"&amp;AE$55&amp;"*"&amp;"A"</f>
        <v>LLC*039*7200*A</v>
      </c>
      <c r="B761" s="160">
        <f>ROUND(AE59,0)</f>
        <v>23438</v>
      </c>
      <c r="C761" s="222">
        <f>ROUND(AE60,2)</f>
        <v>8.3800000000000008</v>
      </c>
      <c r="D761" s="160">
        <f>ROUND(AE61,0)</f>
        <v>811331</v>
      </c>
      <c r="E761" s="160">
        <f>ROUND(AE62,0)</f>
        <v>153535</v>
      </c>
      <c r="F761" s="160">
        <f>ROUND(AE63,0)</f>
        <v>37422</v>
      </c>
      <c r="G761" s="160">
        <f>ROUND(AE64,0)</f>
        <v>13521</v>
      </c>
      <c r="H761" s="160">
        <f>ROUND(AE65,0)</f>
        <v>966</v>
      </c>
      <c r="I761" s="160">
        <f>ROUND(AE66,0)</f>
        <v>32023</v>
      </c>
      <c r="J761" s="160">
        <f>ROUND(AE67,0)</f>
        <v>134597</v>
      </c>
      <c r="K761" s="160">
        <f>ROUND(AE68,0)</f>
        <v>2586</v>
      </c>
      <c r="L761" s="160">
        <f>ROUND(AE70,0)</f>
        <v>0</v>
      </c>
      <c r="M761" s="160">
        <f>ROUND(AE71,0)</f>
        <v>1187351</v>
      </c>
      <c r="N761" s="160">
        <f>ROUND(AE76,0)</f>
        <v>8153</v>
      </c>
      <c r="O761" s="160">
        <f>ROUND(AE74,0)</f>
        <v>1196627</v>
      </c>
      <c r="P761" s="160">
        <f>IF(AE77&gt;0,ROUND(AE77,0),0)</f>
        <v>0</v>
      </c>
      <c r="Q761" s="160">
        <f>IF(AE78&gt;0,ROUND(AE78,0),0)</f>
        <v>1172</v>
      </c>
      <c r="R761" s="160">
        <f>IF(AE79&gt;0,ROUND(AE79,0),0)</f>
        <v>35613</v>
      </c>
      <c r="S761" s="160">
        <f>IF(AE80&gt;0,ROUND(AE80,0),0)</f>
        <v>1</v>
      </c>
      <c r="T761" s="222">
        <f>IF(AE81&gt;0,ROUND(AE81,2),0)</f>
        <v>0</v>
      </c>
      <c r="U761" s="160"/>
      <c r="X761" s="160"/>
      <c r="Y761" s="160"/>
      <c r="Z761" s="160">
        <f t="shared" si="23"/>
        <v>0</v>
      </c>
    </row>
    <row r="762" spans="1:26" ht="12.65" customHeight="1" x14ac:dyDescent="0.3">
      <c r="A762" s="160" t="str">
        <f>RIGHT($C$84,3)&amp;"*"&amp;RIGHT($C$83,4)&amp;"*"&amp;AF$55&amp;"*"&amp;"A"</f>
        <v>LLC*039*7220*A</v>
      </c>
      <c r="B762" s="160">
        <f>ROUND(AF59,0)</f>
        <v>0</v>
      </c>
      <c r="C762" s="222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447546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447546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2">
        <f>IF(AF81&gt;0,ROUND(AF81,2),0)</f>
        <v>0</v>
      </c>
      <c r="U762" s="160"/>
      <c r="X762" s="160"/>
      <c r="Y762" s="160"/>
      <c r="Z762" s="160">
        <f t="shared" si="23"/>
        <v>725165</v>
      </c>
    </row>
    <row r="763" spans="1:26" ht="12.65" customHeight="1" x14ac:dyDescent="0.3">
      <c r="A763" s="160" t="str">
        <f>RIGHT($C$84,3)&amp;"*"&amp;RIGHT($C$83,4)&amp;"*"&amp;AG$55&amp;"*"&amp;"A"</f>
        <v>LLC*039*7230*A</v>
      </c>
      <c r="B763" s="160">
        <f>ROUND(AG59,0)</f>
        <v>23010</v>
      </c>
      <c r="C763" s="222">
        <f>ROUND(AG60,2)</f>
        <v>39.19</v>
      </c>
      <c r="D763" s="160">
        <f>ROUND(AG61,0)</f>
        <v>5907268</v>
      </c>
      <c r="E763" s="160">
        <f>ROUND(AG62,0)</f>
        <v>1117884</v>
      </c>
      <c r="F763" s="160">
        <f>ROUND(AG63,0)</f>
        <v>1293556</v>
      </c>
      <c r="G763" s="160">
        <f>ROUND(AG64,0)</f>
        <v>0</v>
      </c>
      <c r="H763" s="160">
        <f>ROUND(AG65,0)</f>
        <v>4785</v>
      </c>
      <c r="I763" s="160">
        <f>ROUND(AG66,0)</f>
        <v>242479</v>
      </c>
      <c r="J763" s="160">
        <f>ROUND(AG67,0)</f>
        <v>206559</v>
      </c>
      <c r="K763" s="160">
        <f>ROUND(AG68,0)</f>
        <v>24736</v>
      </c>
      <c r="L763" s="160">
        <f>ROUND(AG70,0)</f>
        <v>667862</v>
      </c>
      <c r="M763" s="160">
        <f>ROUND(AG71,0)</f>
        <v>8145898</v>
      </c>
      <c r="N763" s="160">
        <f>ROUND(AG76,0)</f>
        <v>12512</v>
      </c>
      <c r="O763" s="160">
        <f>ROUND(AG74,0)</f>
        <v>29785960</v>
      </c>
      <c r="P763" s="160">
        <f>IF(AG77&gt;0,ROUND(AG77,0),0)</f>
        <v>407</v>
      </c>
      <c r="Q763" s="160">
        <f>IF(AG78&gt;0,ROUND(AG78,0),0)</f>
        <v>1799</v>
      </c>
      <c r="R763" s="160">
        <f>IF(AG79&gt;0,ROUND(AG79,0),0)</f>
        <v>163373</v>
      </c>
      <c r="S763" s="160">
        <f>IF(AG80&gt;0,ROUND(AG80,0),0)</f>
        <v>19</v>
      </c>
      <c r="T763" s="222">
        <f>IF(AG81&gt;0,ROUND(AG81,2),0)</f>
        <v>0</v>
      </c>
      <c r="U763" s="160"/>
      <c r="X763" s="160"/>
      <c r="Y763" s="160"/>
      <c r="Z763" s="160">
        <f t="shared" si="23"/>
        <v>58387</v>
      </c>
    </row>
    <row r="764" spans="1:26" ht="12.65" customHeight="1" x14ac:dyDescent="0.3">
      <c r="A764" s="160" t="str">
        <f>RIGHT($C$84,3)&amp;"*"&amp;RIGHT($C$83,4)&amp;"*"&amp;AH$55&amp;"*"&amp;"A"</f>
        <v>LLC*039*7240*A</v>
      </c>
      <c r="B764" s="160">
        <f>ROUND(AH59,0)</f>
        <v>0</v>
      </c>
      <c r="C764" s="222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2">
        <f>IF(AH81&gt;0,ROUND(AH81,2),0)</f>
        <v>0</v>
      </c>
      <c r="U764" s="160"/>
      <c r="X764" s="160"/>
      <c r="Y764" s="160"/>
      <c r="Z764" s="160">
        <f t="shared" si="23"/>
        <v>3113698</v>
      </c>
    </row>
    <row r="765" spans="1:26" ht="12.65" customHeight="1" x14ac:dyDescent="0.3">
      <c r="A765" s="160" t="str">
        <f>RIGHT($C$84,3)&amp;"*"&amp;RIGHT($C$83,4)&amp;"*"&amp;AI$55&amp;"*"&amp;"A"</f>
        <v>LLC*039*7250*A</v>
      </c>
      <c r="B765" s="160">
        <f>ROUND(AI59,0)</f>
        <v>31249</v>
      </c>
      <c r="C765" s="222">
        <f>ROUND(AI60,2)</f>
        <v>22.26</v>
      </c>
      <c r="D765" s="160">
        <f>ROUND(AI61,0)</f>
        <v>1843733</v>
      </c>
      <c r="E765" s="160">
        <f>ROUND(AI62,0)</f>
        <v>348906</v>
      </c>
      <c r="F765" s="160">
        <f>ROUND(AI63,0)</f>
        <v>0</v>
      </c>
      <c r="G765" s="160">
        <f>ROUND(AI64,0)</f>
        <v>338505</v>
      </c>
      <c r="H765" s="160">
        <f>ROUND(AI65,0)</f>
        <v>0</v>
      </c>
      <c r="I765" s="160">
        <f>ROUND(AI66,0)</f>
        <v>4603</v>
      </c>
      <c r="J765" s="160">
        <f>ROUND(AI67,0)</f>
        <v>417806</v>
      </c>
      <c r="K765" s="160">
        <f>ROUND(AI68,0)</f>
        <v>9013</v>
      </c>
      <c r="L765" s="160">
        <f>ROUND(AI70,0)</f>
        <v>0</v>
      </c>
      <c r="M765" s="160">
        <f>ROUND(AI71,0)</f>
        <v>2962565</v>
      </c>
      <c r="N765" s="160">
        <f>ROUND(AI76,0)</f>
        <v>25308</v>
      </c>
      <c r="O765" s="160">
        <f>ROUND(AI74,0)</f>
        <v>10337297</v>
      </c>
      <c r="P765" s="160">
        <f>IF(AI77&gt;0,ROUND(AI77,0),0)</f>
        <v>1969</v>
      </c>
      <c r="Q765" s="160">
        <f>IF(AI78&gt;0,ROUND(AI78,0),0)</f>
        <v>3639</v>
      </c>
      <c r="R765" s="160">
        <f>IF(AI79&gt;0,ROUND(AI79,0),0)</f>
        <v>47580</v>
      </c>
      <c r="S765" s="160">
        <f>IF(AI80&gt;0,ROUND(AI80,0),0)</f>
        <v>18</v>
      </c>
      <c r="T765" s="222">
        <f>IF(AI81&gt;0,ROUND(AI81,2),0)</f>
        <v>0</v>
      </c>
      <c r="U765" s="160"/>
      <c r="X765" s="160"/>
      <c r="Y765" s="160"/>
      <c r="Z765" s="160">
        <f t="shared" si="23"/>
        <v>0</v>
      </c>
    </row>
    <row r="766" spans="1:26" ht="12.65" customHeight="1" x14ac:dyDescent="0.3">
      <c r="A766" s="160" t="str">
        <f>RIGHT($C$84,3)&amp;"*"&amp;RIGHT($C$83,4)&amp;"*"&amp;AJ$55&amp;"*"&amp;"A"</f>
        <v>LLC*039*7260*A</v>
      </c>
      <c r="B766" s="160">
        <f>ROUND(AJ59,0)</f>
        <v>6124</v>
      </c>
      <c r="C766" s="222">
        <f>ROUND(AJ60,2)</f>
        <v>8.76</v>
      </c>
      <c r="D766" s="160">
        <f>ROUND(AJ61,0)</f>
        <v>676500</v>
      </c>
      <c r="E766" s="160">
        <f>ROUND(AJ62,0)</f>
        <v>128020</v>
      </c>
      <c r="F766" s="160">
        <f>ROUND(AJ63,0)</f>
        <v>50114</v>
      </c>
      <c r="G766" s="160">
        <f>ROUND(AJ64,0)</f>
        <v>293921</v>
      </c>
      <c r="H766" s="160">
        <f>ROUND(AJ65,0)</f>
        <v>0</v>
      </c>
      <c r="I766" s="160">
        <f>ROUND(AJ66,0)</f>
        <v>70582</v>
      </c>
      <c r="J766" s="160">
        <f>ROUND(AJ67,0)</f>
        <v>135207</v>
      </c>
      <c r="K766" s="160">
        <f>ROUND(AJ68,0)</f>
        <v>15142</v>
      </c>
      <c r="L766" s="160">
        <f>ROUND(AJ70,0)</f>
        <v>0</v>
      </c>
      <c r="M766" s="160">
        <f>ROUND(AJ71,0)</f>
        <v>1369611</v>
      </c>
      <c r="N766" s="160">
        <f>ROUND(AJ76,0)</f>
        <v>8190</v>
      </c>
      <c r="O766" s="160">
        <f>ROUND(AJ74,0)</f>
        <v>7504134</v>
      </c>
      <c r="P766" s="160">
        <f>IF(AJ77&gt;0,ROUND(AJ77,0),0)</f>
        <v>0</v>
      </c>
      <c r="Q766" s="160">
        <f>IF(AJ78&gt;0,ROUND(AJ78,0),0)</f>
        <v>1178</v>
      </c>
      <c r="R766" s="160">
        <f>IF(AJ79&gt;0,ROUND(AJ79,0),0)</f>
        <v>0</v>
      </c>
      <c r="S766" s="160">
        <f>IF(AJ80&gt;0,ROUND(AJ80,0),0)</f>
        <v>2</v>
      </c>
      <c r="T766" s="222">
        <f>IF(AJ81&gt;0,ROUND(AJ81,2),0)</f>
        <v>0</v>
      </c>
      <c r="U766" s="160"/>
      <c r="X766" s="160"/>
      <c r="Y766" s="160"/>
      <c r="Z766" s="160">
        <f t="shared" si="23"/>
        <v>2383297</v>
      </c>
    </row>
    <row r="767" spans="1:26" ht="12.65" customHeight="1" x14ac:dyDescent="0.3">
      <c r="A767" s="160" t="str">
        <f>RIGHT($C$84,3)&amp;"*"&amp;RIGHT($C$83,4)&amp;"*"&amp;AK$55&amp;"*"&amp;"A"</f>
        <v>LLC*039*7310*A</v>
      </c>
      <c r="B767" s="160">
        <f>ROUND(AK59,0)</f>
        <v>0</v>
      </c>
      <c r="C767" s="222">
        <f>ROUND(AK60,2)</f>
        <v>0</v>
      </c>
      <c r="D767" s="160">
        <f>ROUND(AK61,0)</f>
        <v>0</v>
      </c>
      <c r="E767" s="160">
        <f>ROUND(AK62,0)</f>
        <v>0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0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2">
        <f>IF(AK81&gt;0,ROUND(AK81,2),0)</f>
        <v>0</v>
      </c>
      <c r="U767" s="160"/>
      <c r="X767" s="160"/>
      <c r="Y767" s="160"/>
      <c r="Z767" s="160">
        <f t="shared" si="23"/>
        <v>913893</v>
      </c>
    </row>
    <row r="768" spans="1:26" ht="12.65" customHeight="1" x14ac:dyDescent="0.3">
      <c r="A768" s="160" t="str">
        <f>RIGHT($C$84,3)&amp;"*"&amp;RIGHT($C$83,4)&amp;"*"&amp;AL$55&amp;"*"&amp;"A"</f>
        <v>LLC*039*7320*A</v>
      </c>
      <c r="B768" s="160">
        <f>ROUND(AL59,0)</f>
        <v>0</v>
      </c>
      <c r="C768" s="222">
        <f>ROUND(AL60,2)</f>
        <v>1.05</v>
      </c>
      <c r="D768" s="160">
        <f>ROUND(AL61,0)</f>
        <v>106364</v>
      </c>
      <c r="E768" s="160">
        <f>ROUND(AL62,0)</f>
        <v>20128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513</v>
      </c>
      <c r="J768" s="160">
        <f>ROUND(AL67,0)</f>
        <v>3302</v>
      </c>
      <c r="K768" s="160">
        <f>ROUND(AL68,0)</f>
        <v>0</v>
      </c>
      <c r="L768" s="160">
        <f>ROUND(AL70,0)</f>
        <v>0</v>
      </c>
      <c r="M768" s="160">
        <f>ROUND(AL71,0)</f>
        <v>130473</v>
      </c>
      <c r="N768" s="160">
        <f>ROUND(AL76,0)</f>
        <v>200</v>
      </c>
      <c r="O768" s="160">
        <f>ROUND(AL74,0)</f>
        <v>271671</v>
      </c>
      <c r="P768" s="160">
        <f>IF(AL77&gt;0,ROUND(AL77,0),0)</f>
        <v>0</v>
      </c>
      <c r="Q768" s="160">
        <f>IF(AL78&gt;0,ROUND(AL78,0),0)</f>
        <v>29</v>
      </c>
      <c r="R768" s="160">
        <f>IF(AL79&gt;0,ROUND(AL79,0),0)</f>
        <v>0</v>
      </c>
      <c r="S768" s="160">
        <f>IF(AL80&gt;0,ROUND(AL80,0),0)</f>
        <v>0</v>
      </c>
      <c r="T768" s="222">
        <f>IF(AL81&gt;0,ROUND(AL81,2),0)</f>
        <v>0</v>
      </c>
      <c r="U768" s="160"/>
      <c r="X768" s="160"/>
      <c r="Y768" s="160"/>
      <c r="Z768" s="160">
        <f t="shared" si="23"/>
        <v>0</v>
      </c>
    </row>
    <row r="769" spans="1:26" ht="12.65" customHeight="1" x14ac:dyDescent="0.3">
      <c r="A769" s="160" t="str">
        <f>RIGHT($C$84,3)&amp;"*"&amp;RIGHT($C$83,4)&amp;"*"&amp;AM$55&amp;"*"&amp;"A"</f>
        <v>LLC*039*7330*A</v>
      </c>
      <c r="B769" s="160">
        <f>ROUND(AM59,0)</f>
        <v>0</v>
      </c>
      <c r="C769" s="222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2">
        <f>IF(AM81&gt;0,ROUND(AM81,2),0)</f>
        <v>0</v>
      </c>
      <c r="U769" s="160"/>
      <c r="X769" s="160"/>
      <c r="Y769" s="160"/>
      <c r="Z769" s="160">
        <f t="shared" si="23"/>
        <v>47084</v>
      </c>
    </row>
    <row r="770" spans="1:26" ht="12.65" customHeight="1" x14ac:dyDescent="0.3">
      <c r="A770" s="160" t="str">
        <f>RIGHT($C$84,3)&amp;"*"&amp;RIGHT($C$83,4)&amp;"*"&amp;AN$55&amp;"*"&amp;"A"</f>
        <v>LLC*039*7340*A</v>
      </c>
      <c r="B770" s="160">
        <f>ROUND(AN59,0)</f>
        <v>0</v>
      </c>
      <c r="C770" s="222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2">
        <f>IF(AN81&gt;0,ROUND(AN81,2),0)</f>
        <v>0</v>
      </c>
      <c r="U770" s="160"/>
      <c r="X770" s="160"/>
      <c r="Y770" s="160"/>
      <c r="Z770" s="160">
        <f t="shared" si="23"/>
        <v>0</v>
      </c>
    </row>
    <row r="771" spans="1:26" ht="12.65" customHeight="1" x14ac:dyDescent="0.3">
      <c r="A771" s="160" t="str">
        <f>RIGHT($C$84,3)&amp;"*"&amp;RIGHT($C$83,4)&amp;"*"&amp;AO$55&amp;"*"&amp;"A"</f>
        <v>LLC*039*7350*A</v>
      </c>
      <c r="B771" s="160">
        <f>ROUND(AO59,0)</f>
        <v>0</v>
      </c>
      <c r="C771" s="222">
        <f>ROUND(AO60,2)</f>
        <v>0</v>
      </c>
      <c r="D771" s="160">
        <f>ROUND(AO61,0)</f>
        <v>0</v>
      </c>
      <c r="E771" s="160">
        <f>ROUND(AO62,0)</f>
        <v>0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>
        <f>ROUND(AO67,0)</f>
        <v>0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0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2">
        <f>IF(AO81&gt;0,ROUND(AO81,2),0)</f>
        <v>0</v>
      </c>
      <c r="U771" s="160"/>
      <c r="X771" s="160"/>
      <c r="Y771" s="160"/>
      <c r="Z771" s="160">
        <f t="shared" si="23"/>
        <v>0</v>
      </c>
    </row>
    <row r="772" spans="1:26" ht="12.65" customHeight="1" x14ac:dyDescent="0.3">
      <c r="A772" s="160" t="str">
        <f>RIGHT($C$84,3)&amp;"*"&amp;RIGHT($C$83,4)&amp;"*"&amp;AP$55&amp;"*"&amp;"A"</f>
        <v>LLC*039*7380*A</v>
      </c>
      <c r="B772" s="160">
        <f>ROUND(AP59,0)</f>
        <v>6007</v>
      </c>
      <c r="C772" s="222">
        <f>ROUND(AP60,2)</f>
        <v>183.48</v>
      </c>
      <c r="D772" s="160">
        <f>ROUND(AP61,0)</f>
        <v>23553928</v>
      </c>
      <c r="E772" s="160">
        <f>ROUND(AP62,0)</f>
        <v>4457315</v>
      </c>
      <c r="F772" s="160">
        <f>ROUND(AP63,0)</f>
        <v>848762</v>
      </c>
      <c r="G772" s="160">
        <f>ROUND(AP64,0)</f>
        <v>1236526</v>
      </c>
      <c r="H772" s="160">
        <f>ROUND(AP65,0)</f>
        <v>436978</v>
      </c>
      <c r="I772" s="160">
        <f>ROUND(AP66,0)</f>
        <v>2155220</v>
      </c>
      <c r="J772" s="160">
        <f>ROUND(AP67,0)</f>
        <v>1695987</v>
      </c>
      <c r="K772" s="160">
        <f>ROUND(AP68,0)</f>
        <v>375900</v>
      </c>
      <c r="L772" s="160">
        <f>ROUND(AP70,0)</f>
        <v>240218</v>
      </c>
      <c r="M772" s="160">
        <f>ROUND(AP71,0)</f>
        <v>34762601</v>
      </c>
      <c r="N772" s="160">
        <f>ROUND(AP76,0)</f>
        <v>102732</v>
      </c>
      <c r="O772" s="160">
        <f>ROUND(AP74,0)</f>
        <v>65060286</v>
      </c>
      <c r="P772" s="160">
        <f>IF(AP77&gt;0,ROUND(AP77,0),0)</f>
        <v>0</v>
      </c>
      <c r="Q772" s="160">
        <f>IF(AP78&gt;0,ROUND(AP78,0),0)</f>
        <v>14773</v>
      </c>
      <c r="R772" s="160">
        <f>IF(AP79&gt;0,ROUND(AP79,0),0)</f>
        <v>0</v>
      </c>
      <c r="S772" s="160">
        <f>IF(AP80&gt;0,ROUND(AP80,0),0)</f>
        <v>2</v>
      </c>
      <c r="T772" s="222">
        <f>IF(AP81&gt;0,ROUND(AP81,2),0)</f>
        <v>0</v>
      </c>
      <c r="U772" s="160"/>
      <c r="X772" s="160"/>
      <c r="Y772" s="160"/>
      <c r="Z772" s="160">
        <f t="shared" si="23"/>
        <v>0</v>
      </c>
    </row>
    <row r="773" spans="1:26" ht="12.65" customHeight="1" x14ac:dyDescent="0.3">
      <c r="A773" s="160" t="str">
        <f>RIGHT($C$84,3)&amp;"*"&amp;RIGHT($C$83,4)&amp;"*"&amp;AQ$55&amp;"*"&amp;"A"</f>
        <v>LLC*039*7390*A</v>
      </c>
      <c r="B773" s="160">
        <f>ROUND(AQ59,0)</f>
        <v>0</v>
      </c>
      <c r="C773" s="222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2">
        <f>IF(AQ81&gt;0,ROUND(AQ81,2),0)</f>
        <v>0</v>
      </c>
      <c r="U773" s="160"/>
      <c r="X773" s="160"/>
      <c r="Y773" s="160"/>
      <c r="Z773" s="160">
        <f t="shared" si="23"/>
        <v>11668275</v>
      </c>
    </row>
    <row r="774" spans="1:26" ht="12.65" customHeight="1" x14ac:dyDescent="0.3">
      <c r="A774" s="160" t="str">
        <f>RIGHT($C$84,3)&amp;"*"&amp;RIGHT($C$83,4)&amp;"*"&amp;AR$55&amp;"*"&amp;"A"</f>
        <v>LLC*039*7400*A</v>
      </c>
      <c r="B774" s="160">
        <f>ROUND(AR59,0)</f>
        <v>0</v>
      </c>
      <c r="C774" s="222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2">
        <f>IF(AR81&gt;0,ROUND(AR81,2),0)</f>
        <v>0</v>
      </c>
      <c r="U774" s="160"/>
      <c r="X774" s="160"/>
      <c r="Y774" s="160"/>
      <c r="Z774" s="160">
        <f t="shared" si="23"/>
        <v>0</v>
      </c>
    </row>
    <row r="775" spans="1:26" ht="12.65" customHeight="1" x14ac:dyDescent="0.3">
      <c r="A775" s="160" t="str">
        <f>RIGHT($C$84,3)&amp;"*"&amp;RIGHT($C$83,4)&amp;"*"&amp;AS$55&amp;"*"&amp;"A"</f>
        <v>LLC*039*7410*A</v>
      </c>
      <c r="B775" s="160">
        <f>ROUND(AS59,0)</f>
        <v>0</v>
      </c>
      <c r="C775" s="222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2">
        <f>IF(AS81&gt;0,ROUND(AS81,2),0)</f>
        <v>0</v>
      </c>
      <c r="U775" s="160"/>
      <c r="X775" s="160"/>
      <c r="Y775" s="160"/>
      <c r="Z775" s="160">
        <f t="shared" si="23"/>
        <v>0</v>
      </c>
    </row>
    <row r="776" spans="1:26" ht="12.65" customHeight="1" x14ac:dyDescent="0.3">
      <c r="A776" s="160" t="str">
        <f>RIGHT($C$84,3)&amp;"*"&amp;RIGHT($C$83,4)&amp;"*"&amp;AT$55&amp;"*"&amp;"A"</f>
        <v>LLC*039*7420*A</v>
      </c>
      <c r="B776" s="160">
        <f>ROUND(AT59,0)</f>
        <v>0</v>
      </c>
      <c r="C776" s="222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2">
        <f>IF(AT81&gt;0,ROUND(AT81,2),0)</f>
        <v>0</v>
      </c>
      <c r="U776" s="160"/>
      <c r="X776" s="160"/>
      <c r="Y776" s="160"/>
      <c r="Z776" s="160">
        <f t="shared" si="23"/>
        <v>0</v>
      </c>
    </row>
    <row r="777" spans="1:26" ht="12.65" customHeight="1" x14ac:dyDescent="0.3">
      <c r="A777" s="160" t="str">
        <f>RIGHT($C$84,3)&amp;"*"&amp;RIGHT($C$83,4)&amp;"*"&amp;AU$55&amp;"*"&amp;"A"</f>
        <v>LLC*039*7430*A</v>
      </c>
      <c r="B777" s="160">
        <f>ROUND(AU59,0)</f>
        <v>0</v>
      </c>
      <c r="C777" s="222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2">
        <f>IF(AU81&gt;0,ROUND(AU81,2),0)</f>
        <v>0</v>
      </c>
      <c r="U777" s="160"/>
      <c r="X777" s="160"/>
      <c r="Y777" s="160"/>
      <c r="Z777" s="160">
        <f t="shared" si="23"/>
        <v>0</v>
      </c>
    </row>
    <row r="778" spans="1:26" ht="12.65" customHeight="1" x14ac:dyDescent="0.3">
      <c r="A778" s="160" t="str">
        <f>RIGHT($C$84,3)&amp;"*"&amp;RIGHT($C$83,4)&amp;"*"&amp;AV$55&amp;"*"&amp;"A"</f>
        <v>LLC*039*7490*A</v>
      </c>
      <c r="B778" s="160"/>
      <c r="C778" s="222">
        <f>ROUND(AV60,2)</f>
        <v>0</v>
      </c>
      <c r="D778" s="160">
        <f>ROUND(AV61,0)</f>
        <v>0</v>
      </c>
      <c r="E778" s="160">
        <f>ROUND(AV62,0)</f>
        <v>0</v>
      </c>
      <c r="F778" s="160">
        <f>ROUND(AV63,0)</f>
        <v>0</v>
      </c>
      <c r="G778" s="160">
        <f>ROUND(AV64,0)</f>
        <v>0</v>
      </c>
      <c r="H778" s="160">
        <f>ROUND(AV65,0)</f>
        <v>0</v>
      </c>
      <c r="I778" s="160">
        <f>ROUND(AV66,0)</f>
        <v>0</v>
      </c>
      <c r="J778" s="160">
        <f>ROUND(AV67,0)</f>
        <v>0</v>
      </c>
      <c r="K778" s="160">
        <f>ROUND(AV68,0)</f>
        <v>0</v>
      </c>
      <c r="L778" s="160">
        <f>ROUND(AV70,0)</f>
        <v>0</v>
      </c>
      <c r="M778" s="160">
        <f>ROUND(AV71,0)</f>
        <v>0</v>
      </c>
      <c r="N778" s="160">
        <f>ROUND(AV76,0)</f>
        <v>0</v>
      </c>
      <c r="O778" s="160">
        <f>ROUND(AV74,0)</f>
        <v>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0</v>
      </c>
      <c r="T778" s="222">
        <f>IF(AV81&gt;0,ROUND(AV81,2),0)</f>
        <v>0</v>
      </c>
      <c r="U778" s="160"/>
      <c r="X778" s="160"/>
      <c r="Y778" s="160"/>
      <c r="Z778" s="160">
        <f t="shared" si="23"/>
        <v>0</v>
      </c>
    </row>
    <row r="779" spans="1:26" ht="12.65" customHeight="1" x14ac:dyDescent="0.3">
      <c r="A779" s="160" t="str">
        <f>RIGHT($C$84,3)&amp;"*"&amp;RIGHT($C$83,4)&amp;"*"&amp;AW$55&amp;"*"&amp;"A"</f>
        <v>LLC*039*8200*A</v>
      </c>
      <c r="B779" s="160"/>
      <c r="C779" s="222">
        <f>ROUND(AW60,2)</f>
        <v>26.41</v>
      </c>
      <c r="D779" s="160">
        <f>ROUND(AW61,0)</f>
        <v>1811606</v>
      </c>
      <c r="E779" s="160">
        <f>ROUND(AW62,0)</f>
        <v>342826</v>
      </c>
      <c r="F779" s="160">
        <f>ROUND(AW63,0)</f>
        <v>-9950</v>
      </c>
      <c r="G779" s="160">
        <f>ROUND(AW64,0)</f>
        <v>38282</v>
      </c>
      <c r="H779" s="160">
        <f>ROUND(AW65,0)</f>
        <v>0</v>
      </c>
      <c r="I779" s="160">
        <f>ROUND(AW66,0)</f>
        <v>3503</v>
      </c>
      <c r="J779" s="160">
        <f>ROUND(AW67,0)</f>
        <v>23030</v>
      </c>
      <c r="K779" s="160">
        <f>ROUND(AW68,0)</f>
        <v>2999</v>
      </c>
      <c r="L779" s="160">
        <f>ROUND(AW70,0)</f>
        <v>38500</v>
      </c>
      <c r="M779" s="160">
        <f>ROUND(AW71,0)</f>
        <v>2210004</v>
      </c>
      <c r="N779" s="160"/>
      <c r="O779" s="160"/>
      <c r="P779" s="160">
        <f>IF(AW77&gt;0,ROUND(AW77,0),0)</f>
        <v>0</v>
      </c>
      <c r="Q779" s="160">
        <f>IF(AW78&gt;0,ROUND(AW78,0),0)</f>
        <v>201</v>
      </c>
      <c r="R779" s="160">
        <f>IF(AW79&gt;0,ROUND(AW79,0),0)</f>
        <v>0</v>
      </c>
      <c r="S779" s="160">
        <f>IF(AW80&gt;0,ROUND(AW80,0),0)</f>
        <v>0</v>
      </c>
      <c r="T779" s="222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LLC*039*8310*A</v>
      </c>
      <c r="B780" s="160"/>
      <c r="C780" s="222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2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LLC*039*8320*A</v>
      </c>
      <c r="B781" s="160">
        <f>ROUND(AY59,0)</f>
        <v>271970</v>
      </c>
      <c r="C781" s="222">
        <f>ROUND(AY60,2)</f>
        <v>25.24</v>
      </c>
      <c r="D781" s="160">
        <f>ROUND(AY61,0)</f>
        <v>845578</v>
      </c>
      <c r="E781" s="160">
        <f>ROUND(AY62,0)</f>
        <v>160016</v>
      </c>
      <c r="F781" s="160">
        <f>ROUND(AY63,0)</f>
        <v>0</v>
      </c>
      <c r="G781" s="160">
        <f>ROUND(AY64,0)</f>
        <v>377479</v>
      </c>
      <c r="H781" s="160">
        <f>ROUND(AY65,0)</f>
        <v>0</v>
      </c>
      <c r="I781" s="160">
        <f>ROUND(AY66,0)</f>
        <v>45297</v>
      </c>
      <c r="J781" s="160">
        <f>ROUND(AY67,0)</f>
        <v>171676</v>
      </c>
      <c r="K781" s="160">
        <f>ROUND(AY68,0)</f>
        <v>2517</v>
      </c>
      <c r="L781" s="160">
        <f>ROUND(AY70,0)</f>
        <v>330409</v>
      </c>
      <c r="M781" s="160">
        <f>ROUND(AY71,0)</f>
        <v>1273284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2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LLC*039*8330*A</v>
      </c>
      <c r="B782" s="160">
        <f>ROUND(AZ59,0)</f>
        <v>0</v>
      </c>
      <c r="C782" s="222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>
        <f>ROUND(AZ67,0)</f>
        <v>0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0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2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LLC*039*8350*A</v>
      </c>
      <c r="B783" s="160">
        <f>ROUND(BA59,0)</f>
        <v>0</v>
      </c>
      <c r="C783" s="222">
        <f>ROUND(BA60,2)</f>
        <v>0</v>
      </c>
      <c r="D783" s="160">
        <f>ROUND(BA61,0)</f>
        <v>0</v>
      </c>
      <c r="E783" s="160">
        <f>ROUND(BA62,0)</f>
        <v>0</v>
      </c>
      <c r="F783" s="160">
        <f>ROUND(BA63,0)</f>
        <v>0</v>
      </c>
      <c r="G783" s="160">
        <f>ROUND(BA64,0)</f>
        <v>40465</v>
      </c>
      <c r="H783" s="160">
        <f>ROUND(BA65,0)</f>
        <v>0</v>
      </c>
      <c r="I783" s="160">
        <f>ROUND(BA66,0)</f>
        <v>249937</v>
      </c>
      <c r="J783" s="160">
        <f>ROUND(BA67,0)</f>
        <v>28230</v>
      </c>
      <c r="K783" s="160">
        <f>ROUND(BA68,0)</f>
        <v>0</v>
      </c>
      <c r="L783" s="160">
        <f>ROUND(BA70,0)</f>
        <v>31800</v>
      </c>
      <c r="M783" s="160">
        <f>ROUND(BA71,0)</f>
        <v>286832</v>
      </c>
      <c r="N783" s="160"/>
      <c r="O783" s="160"/>
      <c r="P783" s="160">
        <f>IF(BA77&gt;0,ROUND(BA77,0),0)</f>
        <v>0</v>
      </c>
      <c r="Q783" s="160">
        <f>IF(BA78&gt;0,ROUND(BA78,0),0)</f>
        <v>246</v>
      </c>
      <c r="R783" s="160">
        <f>IF(BA79&gt;0,ROUND(BA79,0),0)</f>
        <v>0</v>
      </c>
      <c r="S783" s="160">
        <f>IF(BA80&gt;0,ROUND(BA80,0),0)</f>
        <v>0</v>
      </c>
      <c r="T783" s="222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LLC*039*8360*A</v>
      </c>
      <c r="B784" s="160"/>
      <c r="C784" s="222">
        <f>ROUND(BB60,2)</f>
        <v>0</v>
      </c>
      <c r="D784" s="160">
        <f>ROUND(BB61,0)</f>
        <v>0</v>
      </c>
      <c r="E784" s="160">
        <f>ROUND(BB62,0)</f>
        <v>0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0</v>
      </c>
      <c r="K784" s="160">
        <f>ROUND(BB68,0)</f>
        <v>0</v>
      </c>
      <c r="L784" s="160">
        <f>ROUND(BB70,0)</f>
        <v>0</v>
      </c>
      <c r="M784" s="160">
        <f>ROUND(BB71,0)</f>
        <v>0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2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LLC*039*8370*A</v>
      </c>
      <c r="B785" s="160"/>
      <c r="C785" s="222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2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LLC*039*8420*A</v>
      </c>
      <c r="B786" s="160"/>
      <c r="C786" s="222">
        <f>ROUND(BD60,2)</f>
        <v>7.65</v>
      </c>
      <c r="D786" s="160">
        <f>ROUND(BD61,0)</f>
        <v>392309</v>
      </c>
      <c r="E786" s="160">
        <f>ROUND(BD62,0)</f>
        <v>74240</v>
      </c>
      <c r="F786" s="160">
        <f>ROUND(BD63,0)</f>
        <v>0</v>
      </c>
      <c r="G786" s="160">
        <f>ROUND(BD64,0)</f>
        <v>-100399</v>
      </c>
      <c r="H786" s="160">
        <f>ROUND(BD65,0)</f>
        <v>42193</v>
      </c>
      <c r="I786" s="160">
        <f>ROUND(BD66,0)</f>
        <v>54391</v>
      </c>
      <c r="J786" s="160">
        <f>ROUND(BD67,0)</f>
        <v>239857</v>
      </c>
      <c r="K786" s="160">
        <f>ROUND(BD68,0)</f>
        <v>6017</v>
      </c>
      <c r="L786" s="160">
        <f>ROUND(BD70,0)</f>
        <v>580732</v>
      </c>
      <c r="M786" s="160">
        <f>ROUND(BD71,0)</f>
        <v>357087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2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LLC*039*8430*A</v>
      </c>
      <c r="B787" s="160">
        <f>ROUND(BE59,0)</f>
        <v>517611</v>
      </c>
      <c r="C787" s="222">
        <f>ROUND(BE60,2)</f>
        <v>9.06</v>
      </c>
      <c r="D787" s="160">
        <f>ROUND(BE61,0)</f>
        <v>614028</v>
      </c>
      <c r="E787" s="160">
        <f>ROUND(BE62,0)</f>
        <v>116198</v>
      </c>
      <c r="F787" s="160">
        <f>ROUND(BE63,0)</f>
        <v>0</v>
      </c>
      <c r="G787" s="160">
        <f>ROUND(BE64,0)</f>
        <v>65103</v>
      </c>
      <c r="H787" s="160">
        <f>ROUND(BE65,0)</f>
        <v>1172880</v>
      </c>
      <c r="I787" s="160">
        <f>ROUND(BE66,0)</f>
        <v>1025049</v>
      </c>
      <c r="J787" s="160">
        <f>ROUND(BE67,0)</f>
        <v>724210</v>
      </c>
      <c r="K787" s="160">
        <f>ROUND(BE68,0)</f>
        <v>3644</v>
      </c>
      <c r="L787" s="160">
        <f>ROUND(BE70,0)</f>
        <v>0</v>
      </c>
      <c r="M787" s="160">
        <f>ROUND(BE71,0)</f>
        <v>3726039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2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LLC*039*8460*A</v>
      </c>
      <c r="B788" s="160"/>
      <c r="C788" s="222">
        <f>ROUND(BF60,2)</f>
        <v>40.729999999999997</v>
      </c>
      <c r="D788" s="160">
        <f>ROUND(BF61,0)</f>
        <v>1494649</v>
      </c>
      <c r="E788" s="160">
        <f>ROUND(BF62,0)</f>
        <v>282845</v>
      </c>
      <c r="F788" s="160">
        <f>ROUND(BF63,0)</f>
        <v>0</v>
      </c>
      <c r="G788" s="160">
        <f>ROUND(BF64,0)</f>
        <v>116949</v>
      </c>
      <c r="H788" s="160">
        <f>ROUND(BF65,0)</f>
        <v>132842</v>
      </c>
      <c r="I788" s="160">
        <f>ROUND(BF66,0)</f>
        <v>50655</v>
      </c>
      <c r="J788" s="160">
        <f>ROUND(BF67,0)</f>
        <v>48965</v>
      </c>
      <c r="K788" s="160">
        <f>ROUND(BF68,0)</f>
        <v>0</v>
      </c>
      <c r="L788" s="160">
        <f>ROUND(BF70,0)</f>
        <v>0</v>
      </c>
      <c r="M788" s="160">
        <f>ROUND(BF71,0)</f>
        <v>2128110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2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LLC*039*8470*A</v>
      </c>
      <c r="B789" s="160"/>
      <c r="C789" s="222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238</v>
      </c>
      <c r="H789" s="160">
        <f>ROUND(BG65,0)</f>
        <v>0</v>
      </c>
      <c r="I789" s="160">
        <f>ROUND(BG66,0)</f>
        <v>490181</v>
      </c>
      <c r="J789" s="160">
        <f>ROUND(BG67,0)</f>
        <v>23674</v>
      </c>
      <c r="K789" s="160">
        <f>ROUND(BG68,0)</f>
        <v>0</v>
      </c>
      <c r="L789" s="160">
        <f>ROUND(BG70,0)</f>
        <v>0</v>
      </c>
      <c r="M789" s="160">
        <f>ROUND(BG71,0)</f>
        <v>514125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2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LLC*039*8480*A</v>
      </c>
      <c r="B790" s="160"/>
      <c r="C790" s="222">
        <f>ROUND(BH60,2)</f>
        <v>14.61</v>
      </c>
      <c r="D790" s="160">
        <f>ROUND(BH61,0)</f>
        <v>1197682</v>
      </c>
      <c r="E790" s="160">
        <f>ROUND(BH62,0)</f>
        <v>226648</v>
      </c>
      <c r="F790" s="160">
        <f>ROUND(BH63,0)</f>
        <v>22593</v>
      </c>
      <c r="G790" s="160">
        <f>ROUND(BH64,0)</f>
        <v>11558</v>
      </c>
      <c r="H790" s="160">
        <f>ROUND(BH65,0)</f>
        <v>345506</v>
      </c>
      <c r="I790" s="160">
        <f>ROUND(BH66,0)</f>
        <v>1058668</v>
      </c>
      <c r="J790" s="160">
        <f>ROUND(BH67,0)</f>
        <v>146896</v>
      </c>
      <c r="K790" s="160">
        <f>ROUND(BH68,0)</f>
        <v>5279</v>
      </c>
      <c r="L790" s="160">
        <f>ROUND(BH70,0)</f>
        <v>1650</v>
      </c>
      <c r="M790" s="160">
        <f>ROUND(BH71,0)</f>
        <v>3013180</v>
      </c>
      <c r="N790" s="160"/>
      <c r="O790" s="160"/>
      <c r="P790" s="160">
        <f>IF(BH77&gt;0,ROUND(BH77,0),0)</f>
        <v>0</v>
      </c>
      <c r="Q790" s="160">
        <f>IF(BH78&gt;0,ROUND(BH78,0),0)</f>
        <v>1280</v>
      </c>
      <c r="R790" s="160">
        <f>IF(BH79&gt;0,ROUND(BH79,0),0)</f>
        <v>0</v>
      </c>
      <c r="S790" s="160">
        <f>IF(BH80&gt;0,ROUND(BH80,0),0)</f>
        <v>0</v>
      </c>
      <c r="T790" s="222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LLC*039*8490*A</v>
      </c>
      <c r="B791" s="160"/>
      <c r="C791" s="222">
        <f>ROUND(BI60,2)</f>
        <v>0</v>
      </c>
      <c r="D791" s="160">
        <f>ROUND(BI61,0)</f>
        <v>0</v>
      </c>
      <c r="E791" s="160">
        <f>ROUND(BI62,0)</f>
        <v>0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>
        <f>ROUND(BI67,0)</f>
        <v>0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2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LLC*039*8510*A</v>
      </c>
      <c r="B792" s="160"/>
      <c r="C792" s="222">
        <f>ROUND(BJ60,2)</f>
        <v>6.13</v>
      </c>
      <c r="D792" s="160">
        <f>ROUND(BJ61,0)</f>
        <v>481406</v>
      </c>
      <c r="E792" s="160">
        <f>ROUND(BJ62,0)</f>
        <v>91101</v>
      </c>
      <c r="F792" s="160">
        <f>ROUND(BJ63,0)</f>
        <v>39536</v>
      </c>
      <c r="G792" s="160">
        <f>ROUND(BJ64,0)</f>
        <v>2814</v>
      </c>
      <c r="H792" s="160">
        <f>ROUND(BJ65,0)</f>
        <v>1656</v>
      </c>
      <c r="I792" s="160">
        <f>ROUND(BJ66,0)</f>
        <v>43316</v>
      </c>
      <c r="J792" s="160">
        <f>ROUND(BJ67,0)</f>
        <v>10599</v>
      </c>
      <c r="K792" s="160">
        <f>ROUND(BJ68,0)</f>
        <v>2642</v>
      </c>
      <c r="L792" s="160">
        <f>ROUND(BJ70,0)</f>
        <v>0</v>
      </c>
      <c r="M792" s="160">
        <f>ROUND(BJ71,0)</f>
        <v>673619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2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LLC*039*8530*A</v>
      </c>
      <c r="B793" s="160"/>
      <c r="C793" s="222">
        <f>ROUND(BK60,2)</f>
        <v>15.85</v>
      </c>
      <c r="D793" s="160">
        <f>ROUND(BK61,0)</f>
        <v>712715</v>
      </c>
      <c r="E793" s="160">
        <f>ROUND(BK62,0)</f>
        <v>134873</v>
      </c>
      <c r="F793" s="160">
        <f>ROUND(BK63,0)</f>
        <v>0</v>
      </c>
      <c r="G793" s="160">
        <f>ROUND(BK64,0)</f>
        <v>2519</v>
      </c>
      <c r="H793" s="160">
        <f>ROUND(BK65,0)</f>
        <v>0</v>
      </c>
      <c r="I793" s="160">
        <f>ROUND(BK66,0)</f>
        <v>1356331</v>
      </c>
      <c r="J793" s="160">
        <f>ROUND(BK67,0)</f>
        <v>67884</v>
      </c>
      <c r="K793" s="160">
        <f>ROUND(BK68,0)</f>
        <v>26078</v>
      </c>
      <c r="L793" s="160">
        <f>ROUND(BK70,0)</f>
        <v>0</v>
      </c>
      <c r="M793" s="160">
        <f>ROUND(BK71,0)</f>
        <v>2325738</v>
      </c>
      <c r="N793" s="160"/>
      <c r="O793" s="160"/>
      <c r="P793" s="160">
        <f>IF(BK77&gt;0,ROUND(BK77,0),0)</f>
        <v>0</v>
      </c>
      <c r="Q793" s="160">
        <f>IF(BK78&gt;0,ROUND(BK78,0),0)</f>
        <v>591</v>
      </c>
      <c r="R793" s="160">
        <f>IF(BK79&gt;0,ROUND(BK79,0),0)</f>
        <v>0</v>
      </c>
      <c r="S793" s="160">
        <f>IF(BK80&gt;0,ROUND(BK80,0),0)</f>
        <v>0</v>
      </c>
      <c r="T793" s="222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LLC*039*8560*A</v>
      </c>
      <c r="B794" s="160"/>
      <c r="C794" s="222">
        <f>ROUND(BL60,2)</f>
        <v>20.54</v>
      </c>
      <c r="D794" s="160">
        <f>ROUND(BL61,0)</f>
        <v>809364</v>
      </c>
      <c r="E794" s="160">
        <f>ROUND(BL62,0)</f>
        <v>153163</v>
      </c>
      <c r="F794" s="160">
        <f>ROUND(BL63,0)</f>
        <v>717</v>
      </c>
      <c r="G794" s="160">
        <f>ROUND(BL64,0)</f>
        <v>24451</v>
      </c>
      <c r="H794" s="160">
        <f>ROUND(BL65,0)</f>
        <v>0</v>
      </c>
      <c r="I794" s="160">
        <f>ROUND(BL66,0)</f>
        <v>240423</v>
      </c>
      <c r="J794" s="160">
        <f>ROUND(BL67,0)</f>
        <v>96676</v>
      </c>
      <c r="K794" s="160">
        <f>ROUND(BL68,0)</f>
        <v>8236</v>
      </c>
      <c r="L794" s="160">
        <f>ROUND(BL70,0)</f>
        <v>0</v>
      </c>
      <c r="M794" s="160">
        <f>ROUND(BL71,0)</f>
        <v>1333132</v>
      </c>
      <c r="N794" s="160"/>
      <c r="O794" s="160"/>
      <c r="P794" s="160">
        <f>IF(BL77&gt;0,ROUND(BL77,0),0)</f>
        <v>0</v>
      </c>
      <c r="Q794" s="160">
        <f>IF(BL78&gt;0,ROUND(BL78,0),0)</f>
        <v>842</v>
      </c>
      <c r="R794" s="160">
        <f>IF(BL79&gt;0,ROUND(BL79,0),0)</f>
        <v>0</v>
      </c>
      <c r="S794" s="160">
        <f>IF(BL80&gt;0,ROUND(BL80,0),0)</f>
        <v>0</v>
      </c>
      <c r="T794" s="222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LLC*039*8590*A</v>
      </c>
      <c r="B795" s="160"/>
      <c r="C795" s="222">
        <f>ROUND(BM60,2)</f>
        <v>0</v>
      </c>
      <c r="D795" s="160">
        <f>ROUND(BM61,0)</f>
        <v>0</v>
      </c>
      <c r="E795" s="160">
        <f>ROUND(BM62,0)</f>
        <v>0</v>
      </c>
      <c r="F795" s="160">
        <f>ROUND(BM63,0)</f>
        <v>0</v>
      </c>
      <c r="G795" s="160">
        <f>ROUND(BM64,0)</f>
        <v>0</v>
      </c>
      <c r="H795" s="160">
        <f>ROUND(BM65,0)</f>
        <v>0</v>
      </c>
      <c r="I795" s="160">
        <f>ROUND(BM66,0)</f>
        <v>0</v>
      </c>
      <c r="J795" s="160">
        <f>ROUND(BM67,0)</f>
        <v>0</v>
      </c>
      <c r="K795" s="160">
        <f>ROUND(BM68,0)</f>
        <v>0</v>
      </c>
      <c r="L795" s="160">
        <f>ROUND(BM70,0)</f>
        <v>0</v>
      </c>
      <c r="M795" s="160">
        <f>ROUND(BM71,0)</f>
        <v>0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2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LLC*039*8610*A</v>
      </c>
      <c r="B796" s="160"/>
      <c r="C796" s="222">
        <f>ROUND(BN60,2)</f>
        <v>6.76</v>
      </c>
      <c r="D796" s="160">
        <f>ROUND(BN61,0)</f>
        <v>1699996</v>
      </c>
      <c r="E796" s="160">
        <f>ROUND(BN62,0)</f>
        <v>321705</v>
      </c>
      <c r="F796" s="160">
        <f>ROUND(BN63,0)</f>
        <v>66387</v>
      </c>
      <c r="G796" s="160">
        <f>ROUND(BN64,0)</f>
        <v>21153</v>
      </c>
      <c r="H796" s="160">
        <f>ROUND(BN65,0)</f>
        <v>600</v>
      </c>
      <c r="I796" s="160">
        <f>ROUND(BN66,0)</f>
        <v>647058</v>
      </c>
      <c r="J796" s="160">
        <f>ROUND(BN67,0)</f>
        <v>28247</v>
      </c>
      <c r="K796" s="160">
        <f>ROUND(BN68,0)</f>
        <v>9547</v>
      </c>
      <c r="L796" s="160">
        <f>ROUND(BN70,0)</f>
        <v>0</v>
      </c>
      <c r="M796" s="160">
        <f>ROUND(BN71,0)</f>
        <v>3351590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2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LLC*039*8620*A</v>
      </c>
      <c r="B797" s="160"/>
      <c r="C797" s="222">
        <f>ROUND(BO60,2)</f>
        <v>0.38</v>
      </c>
      <c r="D797" s="160">
        <f>ROUND(BO61,0)</f>
        <v>30610</v>
      </c>
      <c r="E797" s="160">
        <f>ROUND(BO62,0)</f>
        <v>5793</v>
      </c>
      <c r="F797" s="160">
        <f>ROUND(BO63,0)</f>
        <v>0</v>
      </c>
      <c r="G797" s="160">
        <f>ROUND(BO64,0)</f>
        <v>9991</v>
      </c>
      <c r="H797" s="160">
        <f>ROUND(BO65,0)</f>
        <v>0</v>
      </c>
      <c r="I797" s="160">
        <f>ROUND(BO66,0)</f>
        <v>187847</v>
      </c>
      <c r="J797" s="160">
        <f>ROUND(BO67,0)</f>
        <v>4078</v>
      </c>
      <c r="K797" s="160">
        <f>ROUND(BO68,0)</f>
        <v>362</v>
      </c>
      <c r="L797" s="160">
        <f>ROUND(BO70,0)</f>
        <v>0</v>
      </c>
      <c r="M797" s="160">
        <f>ROUND(BO71,0)</f>
        <v>238681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2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LLC*039*8630*A</v>
      </c>
      <c r="B798" s="160"/>
      <c r="C798" s="222">
        <f>ROUND(BP60,2)</f>
        <v>1</v>
      </c>
      <c r="D798" s="160">
        <f>ROUND(BP61,0)</f>
        <v>92125</v>
      </c>
      <c r="E798" s="160">
        <f>ROUND(BP62,0)</f>
        <v>17434</v>
      </c>
      <c r="F798" s="160">
        <f>ROUND(BP63,0)</f>
        <v>0</v>
      </c>
      <c r="G798" s="160">
        <f>ROUND(BP64,0)</f>
        <v>59</v>
      </c>
      <c r="H798" s="160">
        <f>ROUND(BP65,0)</f>
        <v>0</v>
      </c>
      <c r="I798" s="160">
        <f>ROUND(BP66,0)</f>
        <v>14685</v>
      </c>
      <c r="J798" s="160">
        <f>ROUND(BP67,0)</f>
        <v>4292</v>
      </c>
      <c r="K798" s="160">
        <f>ROUND(BP68,0)</f>
        <v>3766</v>
      </c>
      <c r="L798" s="160">
        <f>ROUND(BP70,0)</f>
        <v>25000</v>
      </c>
      <c r="M798" s="160">
        <f>ROUND(BP71,0)</f>
        <v>275939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2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LLC*039*8640*A</v>
      </c>
      <c r="B799" s="160"/>
      <c r="C799" s="222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2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LLC*039*8650*A</v>
      </c>
      <c r="B800" s="160"/>
      <c r="C800" s="222">
        <f>ROUND(BR60,2)</f>
        <v>7.06</v>
      </c>
      <c r="D800" s="160">
        <f>ROUND(BR61,0)</f>
        <v>414539</v>
      </c>
      <c r="E800" s="160">
        <f>ROUND(BR62,0)</f>
        <v>78447</v>
      </c>
      <c r="F800" s="160">
        <f>ROUND(BR63,0)</f>
        <v>1095</v>
      </c>
      <c r="G800" s="160">
        <f>ROUND(BR64,0)</f>
        <v>9873</v>
      </c>
      <c r="H800" s="160">
        <f>ROUND(BR65,0)</f>
        <v>1076</v>
      </c>
      <c r="I800" s="160">
        <f>ROUND(BR66,0)</f>
        <v>135963</v>
      </c>
      <c r="J800" s="160">
        <f>ROUND(BR67,0)</f>
        <v>31037</v>
      </c>
      <c r="K800" s="160">
        <f>ROUND(BR68,0)</f>
        <v>6383</v>
      </c>
      <c r="L800" s="160">
        <f>ROUND(BR70,0)</f>
        <v>0</v>
      </c>
      <c r="M800" s="160">
        <f>ROUND(BR71,0)</f>
        <v>821586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2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LLC*039*8660*A</v>
      </c>
      <c r="B801" s="160"/>
      <c r="C801" s="222">
        <f>ROUND(BS60,2)</f>
        <v>0</v>
      </c>
      <c r="D801" s="160">
        <f>ROUND(BS61,0)</f>
        <v>284</v>
      </c>
      <c r="E801" s="160">
        <f>ROUND(BS62,0)</f>
        <v>54</v>
      </c>
      <c r="F801" s="160">
        <f>ROUND(BS63,0)</f>
        <v>0</v>
      </c>
      <c r="G801" s="160">
        <f>ROUND(BS64,0)</f>
        <v>1856</v>
      </c>
      <c r="H801" s="160">
        <f>ROUND(BS65,0)</f>
        <v>0</v>
      </c>
      <c r="I801" s="160">
        <f>ROUND(BS66,0)</f>
        <v>1</v>
      </c>
      <c r="J801" s="160">
        <f>ROUND(BS67,0)</f>
        <v>36204</v>
      </c>
      <c r="K801" s="160">
        <f>ROUND(BS68,0)</f>
        <v>8</v>
      </c>
      <c r="L801" s="160">
        <f>ROUND(BS70,0)</f>
        <v>0</v>
      </c>
      <c r="M801" s="160">
        <f>ROUND(BS71,0)</f>
        <v>38407</v>
      </c>
      <c r="N801" s="160"/>
      <c r="O801" s="160"/>
      <c r="P801" s="160">
        <f>IF(BS77&gt;0,ROUND(BS77,0),0)</f>
        <v>0</v>
      </c>
      <c r="Q801" s="160">
        <f>IF(BS78&gt;0,ROUND(BS78,0),0)</f>
        <v>315</v>
      </c>
      <c r="R801" s="160">
        <f>IF(BS79&gt;0,ROUND(BS79,0),0)</f>
        <v>0</v>
      </c>
      <c r="S801" s="160">
        <f>IF(BS80&gt;0,ROUND(BS80,0),0)</f>
        <v>0</v>
      </c>
      <c r="T801" s="222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LLC*039*8670*A</v>
      </c>
      <c r="B802" s="160"/>
      <c r="C802" s="222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64231</v>
      </c>
      <c r="J802" s="160">
        <f>ROUND(BT67,0)</f>
        <v>14247</v>
      </c>
      <c r="K802" s="160">
        <f>ROUND(BT68,0)</f>
        <v>348</v>
      </c>
      <c r="L802" s="160">
        <f>ROUND(BT70,0)</f>
        <v>0</v>
      </c>
      <c r="M802" s="160">
        <f>ROUND(BT71,0)</f>
        <v>78826</v>
      </c>
      <c r="N802" s="160"/>
      <c r="O802" s="160"/>
      <c r="P802" s="160">
        <f>IF(BT77&gt;0,ROUND(BT77,0),0)</f>
        <v>0</v>
      </c>
      <c r="Q802" s="160">
        <f>IF(BT78&gt;0,ROUND(BT78,0),0)</f>
        <v>124</v>
      </c>
      <c r="R802" s="160">
        <f>IF(BT79&gt;0,ROUND(BT79,0),0)</f>
        <v>0</v>
      </c>
      <c r="S802" s="160">
        <f>IF(BT80&gt;0,ROUND(BT80,0),0)</f>
        <v>0</v>
      </c>
      <c r="T802" s="222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LLC*039*8680*A</v>
      </c>
      <c r="B803" s="160"/>
      <c r="C803" s="222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2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LLC*039*8690*A</v>
      </c>
      <c r="B804" s="160"/>
      <c r="C804" s="222">
        <f>ROUND(BV60,2)</f>
        <v>3.7</v>
      </c>
      <c r="D804" s="160">
        <f>ROUND(BV61,0)</f>
        <v>337345</v>
      </c>
      <c r="E804" s="160">
        <f>ROUND(BV62,0)</f>
        <v>63839</v>
      </c>
      <c r="F804" s="160">
        <f>ROUND(BV63,0)</f>
        <v>640</v>
      </c>
      <c r="G804" s="160">
        <f>ROUND(BV64,0)</f>
        <v>7129</v>
      </c>
      <c r="H804" s="160">
        <f>ROUND(BV65,0)</f>
        <v>0</v>
      </c>
      <c r="I804" s="160">
        <f>ROUND(BV66,0)</f>
        <v>664370</v>
      </c>
      <c r="J804" s="160">
        <f>ROUND(BV67,0)</f>
        <v>11688</v>
      </c>
      <c r="K804" s="160">
        <f>ROUND(BV68,0)</f>
        <v>5166</v>
      </c>
      <c r="L804" s="160">
        <f>ROUND(BV70,0)</f>
        <v>0</v>
      </c>
      <c r="M804" s="160">
        <f>ROUND(BV71,0)</f>
        <v>1091054</v>
      </c>
      <c r="N804" s="160"/>
      <c r="O804" s="160"/>
      <c r="P804" s="160">
        <f>IF(BV77&gt;0,ROUND(BV77,0),0)</f>
        <v>0</v>
      </c>
      <c r="Q804" s="160">
        <f>IF(BV78&gt;0,ROUND(BV78,0),0)</f>
        <v>102</v>
      </c>
      <c r="R804" s="160">
        <f>IF(BV79&gt;0,ROUND(BV79,0),0)</f>
        <v>0</v>
      </c>
      <c r="S804" s="160">
        <f>IF(BV80&gt;0,ROUND(BV80,0),0)</f>
        <v>0</v>
      </c>
      <c r="T804" s="222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LLC*039*8700*A</v>
      </c>
      <c r="B805" s="160"/>
      <c r="C805" s="222">
        <f>ROUND(BW60,2)</f>
        <v>2.0099999999999998</v>
      </c>
      <c r="D805" s="160">
        <f>ROUND(BW61,0)</f>
        <v>115350</v>
      </c>
      <c r="E805" s="160">
        <f>ROUND(BW62,0)</f>
        <v>21829</v>
      </c>
      <c r="F805" s="160">
        <f>ROUND(BW63,0)</f>
        <v>0</v>
      </c>
      <c r="G805" s="160">
        <f>ROUND(BW64,0)</f>
        <v>62201</v>
      </c>
      <c r="H805" s="160">
        <f>ROUND(BW65,0)</f>
        <v>0</v>
      </c>
      <c r="I805" s="160">
        <f>ROUND(BW66,0)</f>
        <v>48365</v>
      </c>
      <c r="J805" s="160">
        <f>ROUND(BW67,0)</f>
        <v>135653</v>
      </c>
      <c r="K805" s="160">
        <f>ROUND(BW68,0)</f>
        <v>1576</v>
      </c>
      <c r="L805" s="160">
        <f>ROUND(BW70,0)</f>
        <v>22350</v>
      </c>
      <c r="M805" s="160">
        <f>ROUND(BW71,0)</f>
        <v>363098</v>
      </c>
      <c r="N805" s="160"/>
      <c r="O805" s="160"/>
      <c r="P805" s="160">
        <f>IF(BW77&gt;0,ROUND(BW77,0),0)</f>
        <v>0</v>
      </c>
      <c r="Q805" s="160">
        <f>IF(BW78&gt;0,ROUND(BW78,0),0)</f>
        <v>1182</v>
      </c>
      <c r="R805" s="160">
        <f>IF(BW79&gt;0,ROUND(BW79,0),0)</f>
        <v>0</v>
      </c>
      <c r="S805" s="160">
        <f>IF(BW80&gt;0,ROUND(BW80,0),0)</f>
        <v>0</v>
      </c>
      <c r="T805" s="222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LLC*039*8710*A</v>
      </c>
      <c r="B806" s="160"/>
      <c r="C806" s="222">
        <f>ROUND(BX60,2)</f>
        <v>12.05</v>
      </c>
      <c r="D806" s="160">
        <f>ROUND(BX61,0)</f>
        <v>1019681</v>
      </c>
      <c r="E806" s="160">
        <f>ROUND(BX62,0)</f>
        <v>192963</v>
      </c>
      <c r="F806" s="160">
        <f>ROUND(BX63,0)</f>
        <v>16601</v>
      </c>
      <c r="G806" s="160">
        <f>ROUND(BX64,0)</f>
        <v>11722</v>
      </c>
      <c r="H806" s="160">
        <f>ROUND(BX65,0)</f>
        <v>0</v>
      </c>
      <c r="I806" s="160">
        <f>ROUND(BX66,0)</f>
        <v>318677</v>
      </c>
      <c r="J806" s="160">
        <f>ROUND(BX67,0)</f>
        <v>8783</v>
      </c>
      <c r="K806" s="160">
        <f>ROUND(BX68,0)</f>
        <v>16931</v>
      </c>
      <c r="L806" s="160">
        <f>ROUND(BX70,0)</f>
        <v>0</v>
      </c>
      <c r="M806" s="160">
        <f>ROUND(BX71,0)</f>
        <v>1597916</v>
      </c>
      <c r="N806" s="160"/>
      <c r="O806" s="160"/>
      <c r="P806" s="160">
        <f>IF(BX77&gt;0,ROUND(BX77,0),0)</f>
        <v>0</v>
      </c>
      <c r="Q806" s="160">
        <f>IF(BX78&gt;0,ROUND(BX78,0),0)</f>
        <v>77</v>
      </c>
      <c r="R806" s="160">
        <f>IF(BX79&gt;0,ROUND(BX79,0),0)</f>
        <v>0</v>
      </c>
      <c r="S806" s="160">
        <f>IF(BX80&gt;0,ROUND(BX80,0),0)</f>
        <v>0</v>
      </c>
      <c r="T806" s="222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LLC*039*8720*A</v>
      </c>
      <c r="B807" s="160"/>
      <c r="C807" s="222">
        <f>ROUND(BY60,2)</f>
        <v>7.66</v>
      </c>
      <c r="D807" s="160">
        <f>ROUND(BY61,0)</f>
        <v>857240</v>
      </c>
      <c r="E807" s="160">
        <f>ROUND(BY62,0)</f>
        <v>162223</v>
      </c>
      <c r="F807" s="160">
        <f>ROUND(BY63,0)</f>
        <v>438</v>
      </c>
      <c r="G807" s="160">
        <f>ROUND(BY64,0)</f>
        <v>2133</v>
      </c>
      <c r="H807" s="160">
        <f>ROUND(BY65,0)</f>
        <v>483</v>
      </c>
      <c r="I807" s="160">
        <f>ROUND(BY66,0)</f>
        <v>2484</v>
      </c>
      <c r="J807" s="160">
        <f>ROUND(BY67,0)</f>
        <v>14577</v>
      </c>
      <c r="K807" s="160">
        <f>ROUND(BY68,0)</f>
        <v>5032</v>
      </c>
      <c r="L807" s="160">
        <f>ROUND(BY70,0)</f>
        <v>0</v>
      </c>
      <c r="M807" s="160">
        <f>ROUND(BY71,0)</f>
        <v>1048297</v>
      </c>
      <c r="N807" s="160"/>
      <c r="O807" s="160"/>
      <c r="P807" s="160">
        <f>IF(BY77&gt;0,ROUND(BY77,0),0)</f>
        <v>0</v>
      </c>
      <c r="Q807" s="160">
        <f>IF(BY78&gt;0,ROUND(BY78,0),0)</f>
        <v>127</v>
      </c>
      <c r="R807" s="160">
        <f>IF(BY79&gt;0,ROUND(BY79,0),0)</f>
        <v>0</v>
      </c>
      <c r="S807" s="160">
        <f>IF(BY80&gt;0,ROUND(BY80,0),0)</f>
        <v>0</v>
      </c>
      <c r="T807" s="222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LLC*039*8730*A</v>
      </c>
      <c r="B808" s="160"/>
      <c r="C808" s="222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2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LLC*039*8740*A</v>
      </c>
      <c r="B809" s="160"/>
      <c r="C809" s="222">
        <f>ROUND(CA60,2)</f>
        <v>2.11</v>
      </c>
      <c r="D809" s="160">
        <f>ROUND(CA61,0)</f>
        <v>161481</v>
      </c>
      <c r="E809" s="160">
        <f>ROUND(CA62,0)</f>
        <v>30558</v>
      </c>
      <c r="F809" s="160">
        <f>ROUND(CA63,0)</f>
        <v>0</v>
      </c>
      <c r="G809" s="160">
        <f>ROUND(CA64,0)</f>
        <v>3286</v>
      </c>
      <c r="H809" s="160">
        <f>ROUND(CA65,0)</f>
        <v>0</v>
      </c>
      <c r="I809" s="160">
        <f>ROUND(CA66,0)</f>
        <v>120104</v>
      </c>
      <c r="J809" s="160">
        <f>ROUND(CA67,0)</f>
        <v>4160</v>
      </c>
      <c r="K809" s="160">
        <f>ROUND(CA68,0)</f>
        <v>2891</v>
      </c>
      <c r="L809" s="160">
        <f>ROUND(CA70,0)</f>
        <v>24376</v>
      </c>
      <c r="M809" s="160">
        <f>ROUND(CA71,0)</f>
        <v>307349</v>
      </c>
      <c r="N809" s="160"/>
      <c r="O809" s="160"/>
      <c r="P809" s="160">
        <f>IF(CA77&gt;0,ROUND(CA77,0),0)</f>
        <v>0</v>
      </c>
      <c r="Q809" s="160">
        <f>IF(CA78&gt;0,ROUND(CA78,0),0)</f>
        <v>36</v>
      </c>
      <c r="R809" s="160">
        <f>IF(CA79&gt;0,ROUND(CA79,0),0)</f>
        <v>0</v>
      </c>
      <c r="S809" s="160">
        <f>IF(CA80&gt;0,ROUND(CA80,0),0)</f>
        <v>0</v>
      </c>
      <c r="T809" s="222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LLC*039*8770*A</v>
      </c>
      <c r="B810" s="160"/>
      <c r="C810" s="222">
        <f>ROUND(CB60,2)</f>
        <v>0</v>
      </c>
      <c r="D810" s="160">
        <f>ROUND(CB61,0)</f>
        <v>0</v>
      </c>
      <c r="E810" s="160">
        <f>ROUND(CB62,0)</f>
        <v>0</v>
      </c>
      <c r="F810" s="160">
        <f>ROUND(CB63,0)</f>
        <v>0</v>
      </c>
      <c r="G810" s="160">
        <f>ROUND(CB64,0)</f>
        <v>1337</v>
      </c>
      <c r="H810" s="160">
        <f>ROUND(CB65,0)</f>
        <v>0</v>
      </c>
      <c r="I810" s="160">
        <f>ROUND(CB66,0)</f>
        <v>199058</v>
      </c>
      <c r="J810" s="160">
        <f>ROUND(CB67,0)</f>
        <v>5101</v>
      </c>
      <c r="K810" s="160">
        <f>ROUND(CB68,0)</f>
        <v>0</v>
      </c>
      <c r="L810" s="160">
        <f>ROUND(CB70,0)</f>
        <v>7680</v>
      </c>
      <c r="M810" s="160">
        <f>ROUND(CB71,0)</f>
        <v>197817</v>
      </c>
      <c r="N810" s="160"/>
      <c r="O810" s="160"/>
      <c r="P810" s="160">
        <f>IF(CB77&gt;0,ROUND(CB77,0),0)</f>
        <v>0</v>
      </c>
      <c r="Q810" s="160">
        <f>IF(CB78&gt;0,ROUND(CB78,0),0)</f>
        <v>44</v>
      </c>
      <c r="R810" s="160">
        <f>IF(CB79&gt;0,ROUND(CB79,0),0)</f>
        <v>0</v>
      </c>
      <c r="S810" s="160">
        <f>IF(CB80&gt;0,ROUND(CB80,0),0)</f>
        <v>0</v>
      </c>
      <c r="T810" s="222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LLC*039*8790*A</v>
      </c>
      <c r="B811" s="160"/>
      <c r="C811" s="222">
        <f>ROUND(CC60,2)</f>
        <v>9.5299999999999994</v>
      </c>
      <c r="D811" s="160">
        <f>ROUND(CC61,0)</f>
        <v>816310</v>
      </c>
      <c r="E811" s="160">
        <f>ROUND(CC62,0)</f>
        <v>154477</v>
      </c>
      <c r="F811" s="160">
        <f>ROUND(CC63,0)</f>
        <v>158575</v>
      </c>
      <c r="G811" s="160">
        <f>ROUND(CC64,0)</f>
        <v>479333</v>
      </c>
      <c r="H811" s="160">
        <f>ROUND(CC65,0)</f>
        <v>26615</v>
      </c>
      <c r="I811" s="160">
        <f>ROUND(CC66,0)</f>
        <v>157425</v>
      </c>
      <c r="J811" s="160">
        <f>ROUND(CC67,0)</f>
        <v>1791293</v>
      </c>
      <c r="K811" s="160">
        <f>ROUND(CC68,0)</f>
        <v>13444</v>
      </c>
      <c r="L811" s="160">
        <f>ROUND(CC70,0)</f>
        <v>162925</v>
      </c>
      <c r="M811" s="160">
        <f>ROUND(CC71,0)</f>
        <v>3465618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2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LLC*039*9000*A</v>
      </c>
      <c r="B812" s="160"/>
      <c r="C812" s="223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3"/>
      <c r="U812" s="160">
        <f>ROUND(CD70,0)</f>
        <v>1400028</v>
      </c>
      <c r="V812" s="1">
        <f>ROUND(CD69,0)</f>
        <v>20449570</v>
      </c>
      <c r="W812" s="1">
        <f>ROUND(CD71,0)</f>
        <v>19049542</v>
      </c>
      <c r="X812" s="160">
        <f>ROUND(CE73,0)</f>
        <v>206169589</v>
      </c>
      <c r="Y812" s="160">
        <f>ROUND(C132,0)</f>
        <v>0</v>
      </c>
      <c r="Z812" s="160"/>
    </row>
    <row r="814" spans="1:26" ht="12.65" customHeight="1" x14ac:dyDescent="0.3">
      <c r="B814" s="150" t="s">
        <v>1004</v>
      </c>
      <c r="C814" s="204">
        <f t="shared" ref="C814:K814" si="24">SUM(C733:C812)</f>
        <v>781.61999999999978</v>
      </c>
      <c r="D814" s="1">
        <f t="shared" si="24"/>
        <v>70874119</v>
      </c>
      <c r="E814" s="1">
        <f t="shared" si="24"/>
        <v>13412126</v>
      </c>
      <c r="F814" s="1">
        <f t="shared" si="24"/>
        <v>6661524</v>
      </c>
      <c r="G814" s="1">
        <f t="shared" si="24"/>
        <v>30252593</v>
      </c>
      <c r="H814" s="1">
        <f t="shared" si="24"/>
        <v>2167615</v>
      </c>
      <c r="I814" s="1">
        <f t="shared" si="24"/>
        <v>14256420</v>
      </c>
      <c r="J814" s="1">
        <f t="shared" si="24"/>
        <v>8545163</v>
      </c>
      <c r="K814" s="1">
        <f t="shared" si="24"/>
        <v>816366</v>
      </c>
      <c r="L814" s="1">
        <f>SUM(L733:L812)+SUM(U733:U812)</f>
        <v>3557760</v>
      </c>
      <c r="M814" s="1">
        <f>SUM(M733:M812)+SUM(W733:W812)</f>
        <v>165429158</v>
      </c>
      <c r="N814" s="1">
        <f t="shared" ref="N814:Z814" si="25">SUM(N733:N812)</f>
        <v>295242</v>
      </c>
      <c r="O814" s="1">
        <f t="shared" si="25"/>
        <v>318085350</v>
      </c>
      <c r="P814" s="1">
        <f t="shared" si="25"/>
        <v>57882</v>
      </c>
      <c r="Q814" s="1">
        <f t="shared" si="25"/>
        <v>47623</v>
      </c>
      <c r="R814" s="1">
        <f t="shared" si="25"/>
        <v>1205212</v>
      </c>
      <c r="S814" s="1">
        <f t="shared" si="25"/>
        <v>186</v>
      </c>
      <c r="T814" s="204">
        <f t="shared" si="25"/>
        <v>0</v>
      </c>
      <c r="U814" s="1">
        <f t="shared" si="25"/>
        <v>1400028</v>
      </c>
      <c r="V814" s="1">
        <f t="shared" si="25"/>
        <v>20449570</v>
      </c>
      <c r="W814" s="1">
        <f t="shared" si="25"/>
        <v>19049542</v>
      </c>
      <c r="X814" s="1">
        <f t="shared" si="25"/>
        <v>206169589</v>
      </c>
      <c r="Y814" s="1">
        <f t="shared" si="25"/>
        <v>0</v>
      </c>
      <c r="Z814" s="1">
        <f t="shared" si="25"/>
        <v>49766871</v>
      </c>
    </row>
    <row r="815" spans="1:26" ht="12.65" customHeight="1" x14ac:dyDescent="0.3">
      <c r="B815" s="1" t="s">
        <v>1005</v>
      </c>
      <c r="C815" s="204">
        <f>CE60</f>
        <v>781.61999999999978</v>
      </c>
      <c r="D815" s="1">
        <f>CE61</f>
        <v>70874121.480000019</v>
      </c>
      <c r="E815" s="1">
        <f>CE62</f>
        <v>13412126</v>
      </c>
      <c r="F815" s="1">
        <f>CE63</f>
        <v>6661524.7199999988</v>
      </c>
      <c r="G815" s="1">
        <f>CE64</f>
        <v>30252591.477000002</v>
      </c>
      <c r="H815" s="185">
        <f>CE65</f>
        <v>2167615.5299999998</v>
      </c>
      <c r="I815" s="185">
        <f>CE66</f>
        <v>14256420.300000001</v>
      </c>
      <c r="J815" s="185">
        <f>CE67</f>
        <v>8545163</v>
      </c>
      <c r="K815" s="185">
        <f>CE68</f>
        <v>816363.91000000015</v>
      </c>
      <c r="L815" s="185">
        <f>CE70</f>
        <v>3557758.8899999997</v>
      </c>
      <c r="M815" s="185">
        <f>CE71</f>
        <v>165429159.18700004</v>
      </c>
      <c r="N815" s="1">
        <f>CE76</f>
        <v>517611</v>
      </c>
      <c r="O815" s="1">
        <f>CE74</f>
        <v>318085349.02000004</v>
      </c>
      <c r="P815" s="1">
        <f>CE77</f>
        <v>57882</v>
      </c>
      <c r="Q815" s="1">
        <f>CE78</f>
        <v>47623.390098935313</v>
      </c>
      <c r="R815" s="1">
        <f>CE79</f>
        <v>1205212</v>
      </c>
      <c r="S815" s="1">
        <f>CE80</f>
        <v>184.85000000000002</v>
      </c>
      <c r="T815" s="204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>
        <f>M715</f>
        <v>49766871</v>
      </c>
    </row>
    <row r="816" spans="1:26" ht="12.65" customHeight="1" x14ac:dyDescent="0.3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70874121</v>
      </c>
      <c r="G816" s="185">
        <f>C379</f>
        <v>13412128</v>
      </c>
      <c r="H816" s="185">
        <f>C380</f>
        <v>6661524</v>
      </c>
      <c r="I816" s="185">
        <f>C381</f>
        <v>30252591</v>
      </c>
      <c r="J816" s="185">
        <f>C382</f>
        <v>2167616</v>
      </c>
      <c r="K816" s="185">
        <f>C383</f>
        <v>14256421</v>
      </c>
      <c r="L816" s="185">
        <f>C384+C385+C386+C388</f>
        <v>21364746</v>
      </c>
      <c r="M816" s="185">
        <f>C368</f>
        <v>0</v>
      </c>
      <c r="N816" s="1">
        <f>D360</f>
        <v>0</v>
      </c>
      <c r="O816" s="1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B35" sqref="B35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26" t="s">
        <v>1263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1260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1261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1262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RCCH Trios Health LLC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H-039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3730 Plaza Way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 t="str">
        <f>+data!C86</f>
        <v>3730 Plaza Way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Kennewick , WA 99338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12/31/2021.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zoomScale="75" workbookViewId="0">
      <selection activeCell="A115" sqref="A115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1027</v>
      </c>
      <c r="H1" s="5"/>
    </row>
    <row r="2" spans="1:8" ht="20.149999999999999" customHeight="1" x14ac:dyDescent="0.35">
      <c r="A2" s="4" t="s">
        <v>1028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12/31/2021</v>
      </c>
      <c r="C4" s="28"/>
      <c r="D4" s="84"/>
      <c r="E4" s="51"/>
      <c r="F4" s="28" t="str">
        <f>"License Number:  "&amp;"H-"&amp;FIXED(data!C83,0)</f>
        <v>License Number:  H-39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RCCH Trios Health LLC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Benton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1029</v>
      </c>
      <c r="C7" s="11"/>
      <c r="D7" s="28" t="str">
        <f>"  "&amp;data!C89</f>
        <v xml:space="preserve">  Jerry Dooley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1030</v>
      </c>
      <c r="C8" s="11"/>
      <c r="D8" s="28" t="str">
        <f>"  "&amp;data!C90</f>
        <v xml:space="preserve">  Charlie Pearce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1031</v>
      </c>
      <c r="C9" s="11"/>
      <c r="D9" s="28" t="str">
        <f>"  "&amp;data!C91</f>
        <v xml:space="preserve">  Dr. Randall Fong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1032</v>
      </c>
      <c r="C10" s="11"/>
      <c r="D10" s="28" t="str">
        <f>"  "&amp;data!C92</f>
        <v xml:space="preserve">  509-221-7000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1033</v>
      </c>
      <c r="C11" s="11"/>
      <c r="D11" s="28" t="str">
        <f>"  "&amp;data!C93</f>
        <v xml:space="preserve">  509-221-5892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/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1036</v>
      </c>
      <c r="C18" s="11"/>
      <c r="D18" s="11"/>
      <c r="E18" s="12" t="str">
        <f>IF(data!C106&gt;0," X","")</f>
        <v xml:space="preserve"> X</v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/>
      </c>
      <c r="B19" s="16" t="s">
        <v>1037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1039</v>
      </c>
      <c r="C23" s="28"/>
      <c r="D23" s="28"/>
      <c r="E23" s="28"/>
      <c r="F23" s="10">
        <f>data!C111</f>
        <v>5866</v>
      </c>
      <c r="G23" s="11">
        <f>data!D111</f>
        <v>21433</v>
      </c>
      <c r="H23" s="5"/>
    </row>
    <row r="24" spans="1:8" ht="20.149999999999999" customHeight="1" x14ac:dyDescent="0.35">
      <c r="A24" s="10"/>
      <c r="B24" s="28" t="s">
        <v>1040</v>
      </c>
      <c r="C24" s="28"/>
      <c r="D24" s="28"/>
      <c r="E24" s="28"/>
      <c r="F24" s="10">
        <f>data!C112</f>
        <v>0</v>
      </c>
      <c r="G24" s="11">
        <f>data!D112</f>
        <v>0</v>
      </c>
      <c r="H24" s="5"/>
    </row>
    <row r="25" spans="1:8" ht="20.149999999999999" customHeight="1" x14ac:dyDescent="0.35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1365</v>
      </c>
      <c r="G26" s="10">
        <f>data!D114</f>
        <v>2032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14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1044</v>
      </c>
      <c r="C32" s="11"/>
      <c r="D32" s="11">
        <f>data!C118</f>
        <v>60</v>
      </c>
      <c r="E32" s="28" t="s">
        <v>1045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1046</v>
      </c>
      <c r="C33" s="11"/>
      <c r="D33" s="11">
        <f>data!C119</f>
        <v>7</v>
      </c>
      <c r="E33" s="28" t="s">
        <v>1047</v>
      </c>
      <c r="F33" s="11"/>
      <c r="G33" s="11">
        <f>data!C126</f>
        <v>10</v>
      </c>
      <c r="H33" s="5"/>
    </row>
    <row r="34" spans="1:8" ht="20.149999999999999" customHeight="1" x14ac:dyDescent="0.35">
      <c r="A34" s="10"/>
      <c r="B34" s="68" t="s">
        <v>1048</v>
      </c>
      <c r="C34" s="11"/>
      <c r="D34" s="11">
        <f>data!C120</f>
        <v>20</v>
      </c>
      <c r="E34" s="28" t="s">
        <v>291</v>
      </c>
      <c r="F34" s="11"/>
      <c r="G34" s="11">
        <f>data!E127</f>
        <v>111</v>
      </c>
      <c r="H34" s="5"/>
    </row>
    <row r="35" spans="1:8" ht="20.149999999999999" customHeight="1" x14ac:dyDescent="0.35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111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10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A115" sqref="A115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49999999999999" customHeight="1" x14ac:dyDescent="0.35">
      <c r="A2" s="5" t="str">
        <f>"Hospital Name: "&amp;data!C84</f>
        <v>Hospital Name: RCCH Trios Health LLC</v>
      </c>
      <c r="B2" s="5"/>
      <c r="C2" s="5"/>
      <c r="D2" s="5"/>
      <c r="E2" s="5"/>
      <c r="F2" s="8"/>
      <c r="G2" s="54" t="s">
        <v>1054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12/31/2021</v>
      </c>
    </row>
    <row r="4" spans="1:7" ht="20.149999999999999" customHeight="1" x14ac:dyDescent="0.35">
      <c r="A4" s="72" t="s">
        <v>1055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1917</v>
      </c>
      <c r="C7" s="37">
        <f>data!B139</f>
        <v>10347</v>
      </c>
      <c r="D7" s="37">
        <f>data!B140</f>
        <v>31331</v>
      </c>
      <c r="E7" s="37">
        <f>data!B141</f>
        <v>101722499.58</v>
      </c>
      <c r="F7" s="37">
        <f>data!B142</f>
        <v>158711854</v>
      </c>
      <c r="G7" s="37">
        <f>data!B141+data!B142</f>
        <v>260434353.57999998</v>
      </c>
    </row>
    <row r="8" spans="1:7" ht="20.149999999999999" customHeight="1" x14ac:dyDescent="0.35">
      <c r="A8" s="10" t="s">
        <v>297</v>
      </c>
      <c r="B8" s="37">
        <f>data!C138</f>
        <v>1205</v>
      </c>
      <c r="C8" s="37">
        <f>data!C139</f>
        <v>4951</v>
      </c>
      <c r="D8" s="37">
        <f>data!C140</f>
        <v>22677</v>
      </c>
      <c r="E8" s="37">
        <f>data!C141</f>
        <v>46259580</v>
      </c>
      <c r="F8" s="37">
        <f>data!C142</f>
        <v>84475211</v>
      </c>
      <c r="G8" s="37">
        <f>data!C141+data!C142</f>
        <v>130734791</v>
      </c>
    </row>
    <row r="9" spans="1:7" ht="20.149999999999999" customHeight="1" x14ac:dyDescent="0.35">
      <c r="A9" s="10" t="s">
        <v>1058</v>
      </c>
      <c r="B9" s="37">
        <f>data!D138</f>
        <v>2744</v>
      </c>
      <c r="C9" s="37">
        <f>data!D139</f>
        <v>6135</v>
      </c>
      <c r="D9" s="37">
        <f>data!D140</f>
        <v>31787</v>
      </c>
      <c r="E9" s="37">
        <f>data!D141</f>
        <v>67252645.390000001</v>
      </c>
      <c r="F9" s="37">
        <f>data!D142</f>
        <v>142811096</v>
      </c>
      <c r="G9" s="37">
        <f>data!D141+data!D142</f>
        <v>210063741.38999999</v>
      </c>
    </row>
    <row r="10" spans="1:7" ht="20.149999999999999" customHeight="1" x14ac:dyDescent="0.35">
      <c r="A10" s="76" t="s">
        <v>203</v>
      </c>
      <c r="B10" s="37">
        <f>data!E138</f>
        <v>5866</v>
      </c>
      <c r="C10" s="37">
        <f>data!E139</f>
        <v>21433</v>
      </c>
      <c r="D10" s="37">
        <f>data!E140</f>
        <v>85795</v>
      </c>
      <c r="E10" s="37">
        <f>data!E141</f>
        <v>215234724.96999997</v>
      </c>
      <c r="F10" s="37">
        <f>data!E142</f>
        <v>385998161</v>
      </c>
      <c r="G10" s="37">
        <f>data!E141+data!E142</f>
        <v>601232885.97000003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0</v>
      </c>
      <c r="C16" s="37">
        <f>data!B145</f>
        <v>0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297</v>
      </c>
      <c r="B17" s="37">
        <f>data!C144</f>
        <v>0</v>
      </c>
      <c r="C17" s="37">
        <f>data!C145</f>
        <v>0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1058</v>
      </c>
      <c r="B18" s="37">
        <f>data!D144</f>
        <v>0</v>
      </c>
      <c r="C18" s="37">
        <f>data!D145</f>
        <v>0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203</v>
      </c>
      <c r="B19" s="37">
        <f>data!E144</f>
        <v>0</v>
      </c>
      <c r="C19" s="37">
        <f>data!E145</f>
        <v>0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1060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1062</v>
      </c>
      <c r="C32" s="87">
        <f>data!B157</f>
        <v>0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1063</v>
      </c>
      <c r="C33" s="83">
        <f>data!C157</f>
        <v>0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A115" sqref="A115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305</v>
      </c>
      <c r="B1" s="4"/>
      <c r="C1" s="124" t="s">
        <v>1064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RCCH Trios Health LLC</v>
      </c>
      <c r="B3" s="21"/>
      <c r="C3" s="22" t="str">
        <f>"FYE: "&amp;data!C82</f>
        <v>FYE: 12/31/2021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1065</v>
      </c>
      <c r="C6" s="10">
        <f>data!C165</f>
        <v>4498803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342044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1230392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5808065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264768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1495590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331901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1066</v>
      </c>
      <c r="C14" s="10">
        <f>data!D173</f>
        <v>13971563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1067</v>
      </c>
      <c r="C18" s="10">
        <f>data!C175</f>
        <v>-575836</v>
      </c>
    </row>
    <row r="19" spans="1:3" ht="20.149999999999999" customHeight="1" x14ac:dyDescent="0.35">
      <c r="A19" s="10">
        <v>13</v>
      </c>
      <c r="B19" s="28" t="s">
        <v>1068</v>
      </c>
      <c r="C19" s="10">
        <f>data!C176</f>
        <v>158404</v>
      </c>
    </row>
    <row r="20" spans="1:3" ht="20.149999999999999" customHeight="1" x14ac:dyDescent="0.35">
      <c r="A20" s="10">
        <v>14</v>
      </c>
      <c r="B20" s="28" t="s">
        <v>1069</v>
      </c>
      <c r="C20" s="10">
        <f>data!D177</f>
        <v>-417432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1070</v>
      </c>
      <c r="C24" s="29"/>
    </row>
    <row r="25" spans="1:3" ht="20.149999999999999" customHeight="1" x14ac:dyDescent="0.35">
      <c r="A25" s="10">
        <v>17</v>
      </c>
      <c r="B25" s="28" t="s">
        <v>1071</v>
      </c>
      <c r="C25" s="10">
        <f>data!C179</f>
        <v>1215831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235044</v>
      </c>
    </row>
    <row r="27" spans="1:3" ht="20.149999999999999" customHeight="1" x14ac:dyDescent="0.35">
      <c r="A27" s="10">
        <v>19</v>
      </c>
      <c r="B27" s="28" t="s">
        <v>1072</v>
      </c>
      <c r="C27" s="10">
        <f>data!D181</f>
        <v>1450875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1073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523419</v>
      </c>
    </row>
    <row r="32" spans="1:3" ht="20.149999999999999" customHeight="1" x14ac:dyDescent="0.35">
      <c r="A32" s="10">
        <v>22</v>
      </c>
      <c r="B32" s="28" t="s">
        <v>1074</v>
      </c>
      <c r="C32" s="10">
        <f>data!C184</f>
        <v>7070745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1075</v>
      </c>
      <c r="C34" s="10">
        <f>data!D186</f>
        <v>7594164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1076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3355651</v>
      </c>
    </row>
    <row r="40" spans="1:3" ht="20.149999999999999" customHeight="1" x14ac:dyDescent="0.35">
      <c r="A40" s="10">
        <v>28</v>
      </c>
      <c r="B40" s="28" t="s">
        <v>1077</v>
      </c>
      <c r="C40" s="10">
        <f>data!D190</f>
        <v>3355651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A115" sqref="A115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1078</v>
      </c>
    </row>
    <row r="3" spans="1:6" ht="20.149999999999999" customHeight="1" x14ac:dyDescent="0.35">
      <c r="A3" s="7" t="str">
        <f>"Hospital: "&amp;data!C84</f>
        <v>Hospital: RCCH Trios Health LLC</v>
      </c>
      <c r="E3" s="8"/>
      <c r="F3" s="9" t="str">
        <f>" FYE: "&amp;data!C82</f>
        <v xml:space="preserve"> FYE: 12/31/2021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1079</v>
      </c>
      <c r="D5" s="36"/>
      <c r="E5" s="36"/>
      <c r="F5" s="36" t="s">
        <v>1080</v>
      </c>
    </row>
    <row r="6" spans="1:6" ht="20.149999999999999" customHeight="1" x14ac:dyDescent="0.35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22989999.790000007</v>
      </c>
      <c r="D7" s="11">
        <f>data!C195</f>
        <v>264705.65000000002</v>
      </c>
      <c r="E7" s="11">
        <f>data!D195</f>
        <v>10123542.48</v>
      </c>
      <c r="F7" s="11">
        <f>data!E195</f>
        <v>13131162.960000005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2165523.1</v>
      </c>
      <c r="D8" s="11">
        <f>data!C196</f>
        <v>0</v>
      </c>
      <c r="E8" s="11">
        <f>data!D196</f>
        <v>1151822.31</v>
      </c>
      <c r="F8" s="11">
        <f>data!E196</f>
        <v>1013700.79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52526507.280000009</v>
      </c>
      <c r="D9" s="11">
        <f>data!C197</f>
        <v>15397.48</v>
      </c>
      <c r="E9" s="11">
        <f>data!D197</f>
        <v>33624138.229999997</v>
      </c>
      <c r="F9" s="11">
        <f>data!E197</f>
        <v>18917766.530000009</v>
      </c>
    </row>
    <row r="10" spans="1:6" ht="20.149999999999999" customHeight="1" x14ac:dyDescent="0.35">
      <c r="A10" s="10">
        <v>4</v>
      </c>
      <c r="B10" s="11" t="s">
        <v>1083</v>
      </c>
      <c r="C10" s="11">
        <f>data!B198</f>
        <v>0</v>
      </c>
      <c r="D10" s="11">
        <f>data!C198</f>
        <v>0</v>
      </c>
      <c r="E10" s="11">
        <f>data!D198</f>
        <v>0</v>
      </c>
      <c r="F10" s="11">
        <f>data!E198</f>
        <v>0</v>
      </c>
    </row>
    <row r="11" spans="1:6" ht="20.149999999999999" customHeight="1" x14ac:dyDescent="0.35">
      <c r="A11" s="10">
        <v>5</v>
      </c>
      <c r="B11" s="11" t="s">
        <v>1084</v>
      </c>
      <c r="C11" s="11">
        <f>data!B199</f>
        <v>0</v>
      </c>
      <c r="D11" s="11">
        <f>data!C199</f>
        <v>0</v>
      </c>
      <c r="E11" s="11">
        <f>data!D199</f>
        <v>0</v>
      </c>
      <c r="F11" s="11">
        <f>data!E199</f>
        <v>0</v>
      </c>
    </row>
    <row r="12" spans="1:6" ht="20.149999999999999" customHeight="1" x14ac:dyDescent="0.35">
      <c r="A12" s="10">
        <v>6</v>
      </c>
      <c r="B12" s="11" t="s">
        <v>1085</v>
      </c>
      <c r="C12" s="11">
        <f>data!B200</f>
        <v>14097990.510000002</v>
      </c>
      <c r="D12" s="11">
        <f>data!C200</f>
        <v>4654098.24</v>
      </c>
      <c r="E12" s="11">
        <f>data!D200</f>
        <v>325764.46999999997</v>
      </c>
      <c r="F12" s="11">
        <f>data!E200</f>
        <v>18426324.280000001</v>
      </c>
    </row>
    <row r="13" spans="1:6" ht="20.149999999999999" customHeight="1" x14ac:dyDescent="0.35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15681916.539999999</v>
      </c>
      <c r="D14" s="11">
        <f>data!C202</f>
        <v>132745.82</v>
      </c>
      <c r="E14" s="11">
        <f>data!D202</f>
        <v>0</v>
      </c>
      <c r="F14" s="11">
        <f>data!E202</f>
        <v>15814662.359999999</v>
      </c>
    </row>
    <row r="15" spans="1:6" ht="20.149999999999999" customHeight="1" x14ac:dyDescent="0.35">
      <c r="A15" s="10">
        <v>9</v>
      </c>
      <c r="B15" s="11" t="s">
        <v>1087</v>
      </c>
      <c r="C15" s="11">
        <f>data!B203</f>
        <v>1625564.9300000006</v>
      </c>
      <c r="D15" s="11">
        <f>data!C203</f>
        <v>17774050.579999998</v>
      </c>
      <c r="E15" s="11">
        <f>data!D203</f>
        <v>928240.53</v>
      </c>
      <c r="F15" s="11">
        <f>data!E203</f>
        <v>18471374.979999997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109087502.15000004</v>
      </c>
      <c r="D16" s="11">
        <f>data!C204</f>
        <v>22840997.77</v>
      </c>
      <c r="E16" s="11">
        <f>data!D204</f>
        <v>46153508.019999996</v>
      </c>
      <c r="F16" s="11">
        <f>data!E204</f>
        <v>85774991.900000006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49999999999999" customHeight="1" x14ac:dyDescent="0.35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1622627.3300000003</v>
      </c>
      <c r="D24" s="11">
        <f>data!C209</f>
        <v>360563.35</v>
      </c>
      <c r="E24" s="11">
        <f>data!D209</f>
        <v>1023842.29</v>
      </c>
      <c r="F24" s="11">
        <f>data!E209</f>
        <v>959348.39000000013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3590629.44</v>
      </c>
      <c r="D25" s="11">
        <f>data!C210</f>
        <v>951637.62999999989</v>
      </c>
      <c r="E25" s="11">
        <f>data!D210</f>
        <v>1246142.56</v>
      </c>
      <c r="F25" s="11">
        <f>data!E210</f>
        <v>3296124.5100000002</v>
      </c>
    </row>
    <row r="26" spans="1:6" ht="20.149999999999999" customHeight="1" x14ac:dyDescent="0.35">
      <c r="A26" s="10">
        <v>14</v>
      </c>
      <c r="B26" s="11" t="s">
        <v>1083</v>
      </c>
      <c r="C26" s="11">
        <f>data!B211</f>
        <v>0</v>
      </c>
      <c r="D26" s="11">
        <f>data!C211</f>
        <v>0</v>
      </c>
      <c r="E26" s="11">
        <f>data!D211</f>
        <v>0</v>
      </c>
      <c r="F26" s="11">
        <f>data!E211</f>
        <v>0</v>
      </c>
    </row>
    <row r="27" spans="1:6" ht="20.149999999999999" customHeight="1" x14ac:dyDescent="0.35">
      <c r="A27" s="10">
        <v>15</v>
      </c>
      <c r="B27" s="11" t="s">
        <v>1084</v>
      </c>
      <c r="C27" s="11">
        <f>data!B212</f>
        <v>0</v>
      </c>
      <c r="D27" s="11">
        <f>data!C212</f>
        <v>0</v>
      </c>
      <c r="E27" s="11">
        <f>data!D212</f>
        <v>0</v>
      </c>
      <c r="F27" s="11">
        <f>data!E212</f>
        <v>0</v>
      </c>
    </row>
    <row r="28" spans="1:6" ht="20.149999999999999" customHeight="1" x14ac:dyDescent="0.35">
      <c r="A28" s="10">
        <v>16</v>
      </c>
      <c r="B28" s="11" t="s">
        <v>1085</v>
      </c>
      <c r="C28" s="11">
        <f>data!B213</f>
        <v>6674252.2599999979</v>
      </c>
      <c r="D28" s="11">
        <f>data!C213</f>
        <v>2877931.32</v>
      </c>
      <c r="E28" s="11">
        <f>data!D213</f>
        <v>202495.35</v>
      </c>
      <c r="F28" s="11">
        <f>data!E213</f>
        <v>9349688.2299999986</v>
      </c>
    </row>
    <row r="29" spans="1:6" ht="20.149999999999999" customHeight="1" x14ac:dyDescent="0.35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7367972.7899999982</v>
      </c>
      <c r="D30" s="11">
        <f>data!C215</f>
        <v>2182534.5</v>
      </c>
      <c r="E30" s="11">
        <f>data!D215</f>
        <v>0</v>
      </c>
      <c r="F30" s="11">
        <f>data!E215</f>
        <v>9550507.2899999991</v>
      </c>
    </row>
    <row r="31" spans="1:6" ht="20.149999999999999" customHeight="1" x14ac:dyDescent="0.35">
      <c r="A31" s="10">
        <v>19</v>
      </c>
      <c r="B31" s="11" t="s">
        <v>1087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19255481.819999997</v>
      </c>
      <c r="D32" s="11">
        <f>data!C217</f>
        <v>6372666.7999999998</v>
      </c>
      <c r="E32" s="11">
        <f>data!D217</f>
        <v>2472480.2000000002</v>
      </c>
      <c r="F32" s="11">
        <f>data!E217</f>
        <v>23155668.419999998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A115" sqref="A115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1089</v>
      </c>
      <c r="B1" s="4"/>
      <c r="C1" s="4"/>
      <c r="D1" s="124" t="s">
        <v>1090</v>
      </c>
    </row>
    <row r="2" spans="1:4" ht="20.149999999999999" customHeight="1" x14ac:dyDescent="0.35">
      <c r="A2" s="20" t="str">
        <f>"Hospital: "&amp;data!C84</f>
        <v>Hospital: RCCH Trios Health LLC</v>
      </c>
      <c r="B2" s="21"/>
      <c r="C2" s="21"/>
      <c r="D2" s="22" t="str">
        <f>"FYE: "&amp;data!C82</f>
        <v>FYE: 12/31/2021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1091</v>
      </c>
      <c r="C4" s="31" t="s">
        <v>1092</v>
      </c>
      <c r="D4" s="40"/>
    </row>
    <row r="5" spans="1:4" ht="20.149999999999999" customHeight="1" x14ac:dyDescent="0.35">
      <c r="A5" s="32">
        <v>1</v>
      </c>
      <c r="B5" s="41"/>
      <c r="C5" s="16" t="s">
        <v>1254</v>
      </c>
      <c r="D5" s="11">
        <f>data!D221</f>
        <v>-1806529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200004044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109670988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9900453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13527841</v>
      </c>
    </row>
    <row r="11" spans="1:4" ht="20.149999999999999" customHeight="1" x14ac:dyDescent="0.35">
      <c r="A11" s="10">
        <v>7</v>
      </c>
      <c r="B11" s="41">
        <v>5850</v>
      </c>
      <c r="C11" s="11" t="s">
        <v>1093</v>
      </c>
      <c r="D11" s="11">
        <f>data!C227</f>
        <v>92187247.760000005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0</v>
      </c>
    </row>
    <row r="13" spans="1:4" ht="20.149999999999999" customHeight="1" x14ac:dyDescent="0.35">
      <c r="A13" s="10">
        <v>9</v>
      </c>
      <c r="B13" s="11"/>
      <c r="C13" s="11" t="s">
        <v>1094</v>
      </c>
      <c r="D13" s="11">
        <f>data!D229</f>
        <v>425290573.75999999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1095</v>
      </c>
      <c r="D16" s="10">
        <f>+data!C231</f>
        <v>1869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2133897</v>
      </c>
    </row>
    <row r="19" spans="1:4" ht="20.149999999999999" customHeight="1" x14ac:dyDescent="0.35">
      <c r="A19" s="44">
        <v>15</v>
      </c>
      <c r="B19" s="41">
        <v>5910</v>
      </c>
      <c r="C19" s="16" t="s">
        <v>1096</v>
      </c>
      <c r="D19" s="11">
        <f>data!C234</f>
        <v>7258855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1097</v>
      </c>
      <c r="D22" s="11">
        <f>data!D236</f>
        <v>9392752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3">
        <v>20</v>
      </c>
      <c r="B24" s="41">
        <v>5970</v>
      </c>
      <c r="C24" s="11" t="s">
        <v>357</v>
      </c>
      <c r="D24" s="11">
        <f>data!C238</f>
        <v>1747564.24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1099</v>
      </c>
      <c r="C27" s="12"/>
      <c r="D27" s="11">
        <f>data!D242</f>
        <v>434624361</v>
      </c>
    </row>
    <row r="28" spans="1:4" ht="20.149999999999999" customHeight="1" x14ac:dyDescent="0.35">
      <c r="A28" s="57">
        <v>24</v>
      </c>
      <c r="B28" s="46" t="s">
        <v>1100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A115" sqref="A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1101</v>
      </c>
      <c r="B1" s="4"/>
      <c r="C1" s="4"/>
    </row>
    <row r="2" spans="1:3" ht="20.149999999999999" customHeight="1" x14ac:dyDescent="0.35">
      <c r="A2" s="3"/>
      <c r="B2" s="4"/>
      <c r="C2" s="124" t="s">
        <v>1102</v>
      </c>
    </row>
    <row r="3" spans="1:3" ht="20.149999999999999" customHeight="1" x14ac:dyDescent="0.35">
      <c r="A3" s="20" t="str">
        <f>"HOSPITAL: "&amp;data!C84</f>
        <v>HOSPITAL: RCCH Trios Health LLC</v>
      </c>
      <c r="B3" s="21"/>
      <c r="C3" s="22" t="str">
        <f>" FYE: "&amp;data!C82</f>
        <v xml:space="preserve"> FYE: 12/31/2021</v>
      </c>
    </row>
    <row r="4" spans="1:3" ht="20.149999999999999" customHeight="1" x14ac:dyDescent="0.35">
      <c r="A4" s="23"/>
      <c r="B4" s="24" t="s">
        <v>1103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-697025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107103078.53</v>
      </c>
    </row>
    <row r="9" spans="1:3" ht="20.149999999999999" customHeight="1" x14ac:dyDescent="0.35">
      <c r="A9" s="10">
        <v>5</v>
      </c>
      <c r="B9" s="11" t="s">
        <v>1104</v>
      </c>
      <c r="C9" s="11">
        <f>data!C253</f>
        <v>82770609</v>
      </c>
    </row>
    <row r="10" spans="1:3" ht="20.149999999999999" customHeight="1" x14ac:dyDescent="0.35">
      <c r="A10" s="10">
        <v>6</v>
      </c>
      <c r="B10" s="11" t="s">
        <v>1105</v>
      </c>
      <c r="C10" s="11">
        <f>data!C254</f>
        <v>1588151</v>
      </c>
    </row>
    <row r="11" spans="1:3" ht="20.149999999999999" customHeight="1" x14ac:dyDescent="0.35">
      <c r="A11" s="10">
        <v>7</v>
      </c>
      <c r="B11" s="11" t="s">
        <v>1106</v>
      </c>
      <c r="C11" s="11">
        <f>data!C255</f>
        <v>2124699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4456064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3514496</v>
      </c>
    </row>
    <row r="15" spans="1:3" ht="20.149999999999999" customHeight="1" x14ac:dyDescent="0.35">
      <c r="A15" s="10">
        <v>11</v>
      </c>
      <c r="B15" s="11" t="s">
        <v>1107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1108</v>
      </c>
      <c r="C16" s="11">
        <f>data!D260</f>
        <v>35318854.530000001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1109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0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1110</v>
      </c>
      <c r="C22" s="11">
        <f>data!D265</f>
        <v>0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1111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13131163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1013700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18917766</v>
      </c>
    </row>
    <row r="28" spans="1:3" ht="20.149999999999999" customHeight="1" x14ac:dyDescent="0.35">
      <c r="A28" s="10">
        <v>24</v>
      </c>
      <c r="B28" s="11" t="s">
        <v>1112</v>
      </c>
      <c r="C28" s="11">
        <f>data!C270</f>
        <v>0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0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18426323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15814662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18471375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85774989</v>
      </c>
    </row>
    <row r="34" spans="1:3" ht="20.149999999999999" customHeight="1" x14ac:dyDescent="0.35">
      <c r="A34" s="10">
        <v>30</v>
      </c>
      <c r="B34" s="11" t="s">
        <v>1113</v>
      </c>
      <c r="C34" s="11">
        <f>data!C276</f>
        <v>23155668</v>
      </c>
    </row>
    <row r="35" spans="1:3" ht="20.149999999999999" customHeight="1" x14ac:dyDescent="0.35">
      <c r="A35" s="10">
        <v>31</v>
      </c>
      <c r="B35" s="11" t="s">
        <v>1114</v>
      </c>
      <c r="C35" s="11">
        <f>data!D277</f>
        <v>62619321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1115</v>
      </c>
      <c r="C37" s="26"/>
    </row>
    <row r="38" spans="1:3" ht="20.149999999999999" customHeight="1" x14ac:dyDescent="0.35">
      <c r="A38" s="10">
        <v>34</v>
      </c>
      <c r="B38" s="11" t="s">
        <v>1116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1117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161590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0</v>
      </c>
    </row>
    <row r="42" spans="1:3" ht="20.149999999999999" customHeight="1" x14ac:dyDescent="0.35">
      <c r="A42" s="10">
        <v>38</v>
      </c>
      <c r="B42" s="11" t="s">
        <v>1118</v>
      </c>
      <c r="C42" s="11">
        <f>data!D283</f>
        <v>161590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1119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22280143.93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1120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1121</v>
      </c>
      <c r="C49" s="11">
        <f>data!D290</f>
        <v>22280143.93</v>
      </c>
    </row>
    <row r="50" spans="1:3" ht="20.149999999999999" customHeight="1" x14ac:dyDescent="0.35">
      <c r="A50" s="30">
        <v>46</v>
      </c>
      <c r="B50" s="31" t="s">
        <v>1122</v>
      </c>
      <c r="C50" s="11">
        <f>data!D292</f>
        <v>120379909.46000001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1123</v>
      </c>
      <c r="B53" s="4"/>
      <c r="C53" s="4"/>
    </row>
    <row r="54" spans="1:3" ht="20.149999999999999" customHeight="1" x14ac:dyDescent="0.35">
      <c r="A54" s="3"/>
      <c r="B54" s="4"/>
      <c r="C54" s="124" t="s">
        <v>1124</v>
      </c>
    </row>
    <row r="55" spans="1:3" ht="20.149999999999999" customHeight="1" x14ac:dyDescent="0.35">
      <c r="A55" s="20" t="str">
        <f>"HOSPITAL: "&amp;data!C84</f>
        <v>HOSPITAL: RCCH Trios Health LLC</v>
      </c>
      <c r="B55" s="21"/>
      <c r="C55" s="22" t="str">
        <f>"FYE: "&amp;data!C82</f>
        <v>FYE: 12/31/2021</v>
      </c>
    </row>
    <row r="56" spans="1:3" ht="20.149999999999999" customHeight="1" x14ac:dyDescent="0.35">
      <c r="A56" s="32"/>
      <c r="B56" s="33" t="s">
        <v>1125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0</v>
      </c>
    </row>
    <row r="59" spans="1:3" ht="20.149999999999999" customHeight="1" x14ac:dyDescent="0.35">
      <c r="A59" s="10">
        <v>3</v>
      </c>
      <c r="B59" s="11" t="s">
        <v>1126</v>
      </c>
      <c r="C59" s="11">
        <f>data!C305</f>
        <v>7727247.54</v>
      </c>
    </row>
    <row r="60" spans="1:3" ht="20.149999999999999" customHeight="1" x14ac:dyDescent="0.35">
      <c r="A60" s="10">
        <v>4</v>
      </c>
      <c r="B60" s="11" t="s">
        <v>1127</v>
      </c>
      <c r="C60" s="11">
        <f>data!C306</f>
        <v>9641030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0</v>
      </c>
    </row>
    <row r="62" spans="1:3" ht="20.149999999999999" customHeight="1" x14ac:dyDescent="0.35">
      <c r="A62" s="10">
        <v>6</v>
      </c>
      <c r="B62" s="11" t="s">
        <v>1128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1129</v>
      </c>
      <c r="C63" s="11">
        <f>data!C309</f>
        <v>439705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0</v>
      </c>
    </row>
    <row r="67" spans="1:3" ht="20.149999999999999" customHeight="1" x14ac:dyDescent="0.35">
      <c r="A67" s="10">
        <v>11</v>
      </c>
      <c r="B67" s="11" t="s">
        <v>1130</v>
      </c>
      <c r="C67" s="11">
        <f>data!C313</f>
        <v>309718</v>
      </c>
    </row>
    <row r="68" spans="1:3" ht="20.149999999999999" customHeight="1" x14ac:dyDescent="0.35">
      <c r="A68" s="10">
        <v>12</v>
      </c>
      <c r="B68" s="11" t="s">
        <v>1131</v>
      </c>
      <c r="C68" s="11">
        <f>data!D314</f>
        <v>18117700.539999999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1132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1133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575413</v>
      </c>
    </row>
    <row r="74" spans="1:3" ht="20.149999999999999" customHeight="1" x14ac:dyDescent="0.35">
      <c r="A74" s="10">
        <v>18</v>
      </c>
      <c r="B74" s="11" t="s">
        <v>1134</v>
      </c>
      <c r="C74" s="11">
        <f>data!D319</f>
        <v>575413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1136</v>
      </c>
      <c r="C80" s="11">
        <f>data!C324</f>
        <v>33513878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0</v>
      </c>
    </row>
    <row r="82" spans="1:3" ht="20.149999999999999" customHeight="1" x14ac:dyDescent="0.35">
      <c r="A82" s="10">
        <v>26</v>
      </c>
      <c r="B82" s="11" t="s">
        <v>1137</v>
      </c>
      <c r="C82" s="11">
        <f>data!C326</f>
        <v>45973460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0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79487338</v>
      </c>
    </row>
    <row r="85" spans="1:3" ht="20.149999999999999" customHeight="1" x14ac:dyDescent="0.35">
      <c r="A85" s="10">
        <v>29</v>
      </c>
      <c r="B85" s="11" t="s">
        <v>1138</v>
      </c>
      <c r="C85" s="11">
        <f>data!D329</f>
        <v>309718</v>
      </c>
    </row>
    <row r="86" spans="1:3" ht="20.149999999999999" customHeight="1" x14ac:dyDescent="0.35">
      <c r="A86" s="10">
        <v>30</v>
      </c>
      <c r="B86" s="11" t="s">
        <v>1139</v>
      </c>
      <c r="C86" s="11">
        <f>data!D330</f>
        <v>79177620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1140</v>
      </c>
      <c r="C88" s="11">
        <f>data!C332</f>
        <v>26122476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1141</v>
      </c>
      <c r="C90" s="26"/>
    </row>
    <row r="91" spans="1:3" ht="20.149999999999999" customHeight="1" x14ac:dyDescent="0.35">
      <c r="A91" s="10">
        <v>35</v>
      </c>
      <c r="B91" s="11" t="s">
        <v>1142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1143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1144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1145</v>
      </c>
      <c r="C97" s="11">
        <f>data!C337</f>
        <v>-3613301</v>
      </c>
    </row>
    <row r="98" spans="1:3" ht="20.149999999999999" customHeight="1" x14ac:dyDescent="0.35">
      <c r="A98" s="10">
        <v>42</v>
      </c>
      <c r="B98" s="11" t="s">
        <v>1146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1147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1148</v>
      </c>
      <c r="C101" s="11">
        <f>data!C332+data!C334+data!C335+data!C336+data!C337-data!C338</f>
        <v>22509175</v>
      </c>
    </row>
    <row r="102" spans="1:3" ht="20.149999999999999" customHeight="1" x14ac:dyDescent="0.35">
      <c r="A102" s="10">
        <v>46</v>
      </c>
      <c r="B102" s="11" t="s">
        <v>1149</v>
      </c>
      <c r="C102" s="11">
        <f>data!D339</f>
        <v>120379908.53999999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1150</v>
      </c>
      <c r="B105" s="4"/>
      <c r="C105" s="4"/>
    </row>
    <row r="106" spans="1:3" ht="20.149999999999999" customHeight="1" x14ac:dyDescent="0.35">
      <c r="A106" s="21"/>
      <c r="C106" s="124" t="s">
        <v>1151</v>
      </c>
    </row>
    <row r="107" spans="1:3" ht="20.149999999999999" customHeight="1" x14ac:dyDescent="0.35">
      <c r="A107" s="20" t="str">
        <f>"HOSPITAL: "&amp;data!C84</f>
        <v>HOSPITAL: RCCH Trios Health LLC</v>
      </c>
      <c r="B107" s="21"/>
      <c r="C107" s="22" t="str">
        <f>" FYE: "&amp;data!C82</f>
        <v xml:space="preserve"> FYE: 12/31/2021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1152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215234725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385998161</v>
      </c>
    </row>
    <row r="112" spans="1:3" ht="20.149999999999999" customHeight="1" x14ac:dyDescent="0.35">
      <c r="A112" s="10">
        <v>4</v>
      </c>
      <c r="B112" s="11" t="s">
        <v>1153</v>
      </c>
      <c r="C112" s="11">
        <f>data!D361</f>
        <v>601232886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1154</v>
      </c>
      <c r="C114" s="26"/>
    </row>
    <row r="115" spans="1:3" ht="20.149999999999999" customHeight="1" x14ac:dyDescent="0.35">
      <c r="A115" s="10">
        <v>7</v>
      </c>
      <c r="B115" s="212" t="s">
        <v>450</v>
      </c>
      <c r="C115" s="37">
        <f>data!C363</f>
        <v>-1806529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425290574</v>
      </c>
    </row>
    <row r="117" spans="1:3" ht="20.149999999999999" customHeight="1" x14ac:dyDescent="0.35">
      <c r="A117" s="10">
        <v>9</v>
      </c>
      <c r="B117" s="11" t="s">
        <v>1155</v>
      </c>
      <c r="C117" s="37">
        <f>data!C365</f>
        <v>9392753</v>
      </c>
    </row>
    <row r="118" spans="1:3" ht="20.149999999999999" customHeight="1" x14ac:dyDescent="0.35">
      <c r="A118" s="10">
        <v>10</v>
      </c>
      <c r="B118" s="11" t="s">
        <v>1156</v>
      </c>
      <c r="C118" s="37">
        <f>data!C366</f>
        <v>1747566</v>
      </c>
    </row>
    <row r="119" spans="1:3" ht="20.149999999999999" customHeight="1" x14ac:dyDescent="0.35">
      <c r="A119" s="10">
        <v>11</v>
      </c>
      <c r="B119" s="11" t="s">
        <v>1099</v>
      </c>
      <c r="C119" s="37">
        <f>data!D367</f>
        <v>434624364</v>
      </c>
    </row>
    <row r="120" spans="1:3" ht="20.149999999999999" customHeight="1" x14ac:dyDescent="0.35">
      <c r="A120" s="10">
        <v>12</v>
      </c>
      <c r="B120" s="11" t="s">
        <v>1157</v>
      </c>
      <c r="C120" s="37">
        <f>data!D368</f>
        <v>166608522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1689480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0</v>
      </c>
    </row>
    <row r="125" spans="1:3" ht="20.149999999999999" customHeight="1" x14ac:dyDescent="0.35">
      <c r="A125" s="10">
        <v>17</v>
      </c>
      <c r="B125" s="11" t="s">
        <v>1158</v>
      </c>
      <c r="C125" s="37">
        <f>data!D372</f>
        <v>1689480</v>
      </c>
    </row>
    <row r="126" spans="1:3" ht="20.149999999999999" customHeight="1" x14ac:dyDescent="0.35">
      <c r="A126" s="10">
        <v>18</v>
      </c>
      <c r="B126" s="11" t="s">
        <v>1159</v>
      </c>
      <c r="C126" s="37">
        <f>data!D373</f>
        <v>168298002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1160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73357192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13971563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12377772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34200152</v>
      </c>
    </row>
    <row r="133" spans="1:3" ht="20.149999999999999" customHeight="1" x14ac:dyDescent="0.35">
      <c r="A133" s="10">
        <v>25</v>
      </c>
      <c r="B133" s="11" t="s">
        <v>1161</v>
      </c>
      <c r="C133" s="37">
        <f>data!C382</f>
        <v>2309697</v>
      </c>
    </row>
    <row r="134" spans="1:3" ht="20.149999999999999" customHeight="1" x14ac:dyDescent="0.35">
      <c r="A134" s="10">
        <v>26</v>
      </c>
      <c r="B134" s="11" t="s">
        <v>1162</v>
      </c>
      <c r="C134" s="37">
        <f>data!C383</f>
        <v>16251996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5756291</v>
      </c>
    </row>
    <row r="136" spans="1:3" ht="20.149999999999999" customHeight="1" x14ac:dyDescent="0.35">
      <c r="A136" s="10">
        <v>28</v>
      </c>
      <c r="B136" s="11" t="s">
        <v>1163</v>
      </c>
      <c r="C136" s="37">
        <f>data!C385</f>
        <v>-417432.38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1450874</v>
      </c>
    </row>
    <row r="138" spans="1:3" ht="20.149999999999999" customHeight="1" x14ac:dyDescent="0.35">
      <c r="A138" s="10">
        <v>30</v>
      </c>
      <c r="B138" s="11" t="s">
        <v>1164</v>
      </c>
      <c r="C138" s="37">
        <f>data!C387</f>
        <v>7594165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3355651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1681611</v>
      </c>
    </row>
    <row r="141" spans="1:3" ht="20.149999999999999" customHeight="1" x14ac:dyDescent="0.35">
      <c r="A141" s="10">
        <v>34</v>
      </c>
      <c r="B141" s="11" t="s">
        <v>1165</v>
      </c>
      <c r="C141" s="37">
        <f>data!D390</f>
        <v>171889531.62</v>
      </c>
    </row>
    <row r="142" spans="1:3" ht="20.149999999999999" customHeight="1" x14ac:dyDescent="0.35">
      <c r="A142" s="10">
        <v>35</v>
      </c>
      <c r="B142" s="11" t="s">
        <v>1166</v>
      </c>
      <c r="C142" s="37">
        <f>data!D391</f>
        <v>-3591529.6200000048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1167</v>
      </c>
      <c r="C144" s="37">
        <f>data!C392</f>
        <v>-5989071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1168</v>
      </c>
      <c r="C146" s="11">
        <f>data!D393</f>
        <v>-9580600.6200000048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1169</v>
      </c>
      <c r="C148" s="37">
        <f>data!C394</f>
        <v>5967300</v>
      </c>
    </row>
    <row r="149" spans="1:3" ht="20.149999999999999" customHeight="1" x14ac:dyDescent="0.35">
      <c r="A149" s="10">
        <v>42</v>
      </c>
      <c r="B149" s="11" t="s">
        <v>1170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1171</v>
      </c>
      <c r="C151" s="37">
        <f>data!D396</f>
        <v>-3613300.6200000048</v>
      </c>
    </row>
    <row r="152" spans="1:3" ht="20.149999999999999" customHeight="1" x14ac:dyDescent="0.35">
      <c r="A152" s="30">
        <v>45</v>
      </c>
      <c r="B152" s="28" t="s">
        <v>1172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topLeftCell="A162" zoomScale="65" workbookViewId="0">
      <selection activeCell="A115" sqref="A115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1174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RCCH Trios Health LLC</v>
      </c>
      <c r="G4" s="8"/>
      <c r="H4" s="55" t="str">
        <f>"FYE: "&amp;data!C82</f>
        <v>FYE: 12/31/2021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4427</v>
      </c>
      <c r="D9" s="11">
        <f>data!D59</f>
        <v>0</v>
      </c>
      <c r="E9" s="11">
        <f>data!E59</f>
        <v>14217</v>
      </c>
      <c r="F9" s="11">
        <f>data!F59</f>
        <v>2789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36.49</v>
      </c>
      <c r="D10" s="17">
        <f>data!D60</f>
        <v>0</v>
      </c>
      <c r="E10" s="17">
        <f>data!E60</f>
        <v>65.28</v>
      </c>
      <c r="F10" s="17">
        <f>data!F60</f>
        <v>48.95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3174938</v>
      </c>
      <c r="D11" s="11">
        <f>data!D61</f>
        <v>0</v>
      </c>
      <c r="E11" s="11">
        <f>data!E61</f>
        <v>5458893</v>
      </c>
      <c r="F11" s="11">
        <f>data!F61</f>
        <v>4746297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604697</v>
      </c>
      <c r="D12" s="11">
        <f>data!D62</f>
        <v>0</v>
      </c>
      <c r="E12" s="11">
        <f>data!E62</f>
        <v>1039697</v>
      </c>
      <c r="F12" s="11">
        <f>data!F62</f>
        <v>903977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3052526</v>
      </c>
      <c r="D13" s="11">
        <f>data!D63</f>
        <v>0</v>
      </c>
      <c r="E13" s="11">
        <f>data!E63</f>
        <v>701773</v>
      </c>
      <c r="F13" s="11">
        <f>data!F63</f>
        <v>215238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940597</v>
      </c>
      <c r="D14" s="11">
        <f>data!D64</f>
        <v>0</v>
      </c>
      <c r="E14" s="11">
        <f>data!E64</f>
        <v>844209</v>
      </c>
      <c r="F14" s="11">
        <f>data!F64</f>
        <v>562995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22989</v>
      </c>
      <c r="D16" s="11">
        <f>data!D66</f>
        <v>0</v>
      </c>
      <c r="E16" s="11">
        <f>data!E66</f>
        <v>484973</v>
      </c>
      <c r="F16" s="11">
        <f>data!F66</f>
        <v>43294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95978</v>
      </c>
      <c r="D17" s="11">
        <f>data!D67</f>
        <v>0</v>
      </c>
      <c r="E17" s="11">
        <f>data!E67</f>
        <v>324498</v>
      </c>
      <c r="F17" s="11">
        <f>data!F67</f>
        <v>153925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16487</v>
      </c>
      <c r="D18" s="11">
        <f>data!D68</f>
        <v>0</v>
      </c>
      <c r="E18" s="11">
        <f>data!E68</f>
        <v>4347</v>
      </c>
      <c r="F18" s="11">
        <f>data!F68</f>
        <v>-100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432</v>
      </c>
      <c r="D19" s="11">
        <f>data!D69</f>
        <v>0</v>
      </c>
      <c r="E19" s="11">
        <f>data!E69</f>
        <v>0</v>
      </c>
      <c r="F19" s="11">
        <f>data!F69</f>
        <v>8000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1180</v>
      </c>
      <c r="C21" s="11">
        <f>data!C71</f>
        <v>7908644</v>
      </c>
      <c r="D21" s="11">
        <f>data!D71</f>
        <v>0</v>
      </c>
      <c r="E21" s="11">
        <f>data!E71</f>
        <v>8858390</v>
      </c>
      <c r="F21" s="11">
        <f>data!F71</f>
        <v>6633626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1181</v>
      </c>
      <c r="C23" s="37">
        <f>+data!M668</f>
        <v>2081282</v>
      </c>
      <c r="D23" s="37">
        <f>+data!M669</f>
        <v>0</v>
      </c>
      <c r="E23" s="37">
        <f>+data!M670</f>
        <v>4463308</v>
      </c>
      <c r="F23" s="37">
        <f>+data!M671</f>
        <v>2398672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49999999999999" customHeight="1" x14ac:dyDescent="0.35">
      <c r="A24" s="10">
        <v>19</v>
      </c>
      <c r="B24" s="37" t="s">
        <v>1182</v>
      </c>
      <c r="C24" s="11">
        <f>data!C73</f>
        <v>16578943</v>
      </c>
      <c r="D24" s="11">
        <f>data!D73</f>
        <v>0</v>
      </c>
      <c r="E24" s="11">
        <f>data!E73</f>
        <v>23969273</v>
      </c>
      <c r="F24" s="11">
        <f>data!F73</f>
        <v>22318546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1183</v>
      </c>
      <c r="C25" s="11">
        <f>data!C74</f>
        <v>503127</v>
      </c>
      <c r="D25" s="11">
        <f>data!D74</f>
        <v>0</v>
      </c>
      <c r="E25" s="11">
        <f>data!E74</f>
        <v>5048684</v>
      </c>
      <c r="F25" s="11">
        <f>data!F74</f>
        <v>1815358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1184</v>
      </c>
      <c r="C26" s="11">
        <f>data!C75</f>
        <v>17082070</v>
      </c>
      <c r="D26" s="11">
        <f>data!D75</f>
        <v>0</v>
      </c>
      <c r="E26" s="11">
        <f>data!E75</f>
        <v>29017957</v>
      </c>
      <c r="F26" s="11">
        <f>data!F75</f>
        <v>24133904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1186</v>
      </c>
      <c r="C28" s="11">
        <f>data!C76</f>
        <v>8232</v>
      </c>
      <c r="D28" s="11">
        <f>data!D76</f>
        <v>0</v>
      </c>
      <c r="E28" s="11">
        <f>data!E76</f>
        <v>27832</v>
      </c>
      <c r="F28" s="11">
        <f>data!F76</f>
        <v>13202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1187</v>
      </c>
      <c r="C29" s="11">
        <f>data!C77</f>
        <v>8060</v>
      </c>
      <c r="D29" s="11">
        <f>data!D77</f>
        <v>0</v>
      </c>
      <c r="E29" s="11">
        <f>data!E77</f>
        <v>36042</v>
      </c>
      <c r="F29" s="11">
        <f>data!F77</f>
        <v>8455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1188</v>
      </c>
      <c r="C30" s="11">
        <f>data!C78</f>
        <v>1143.5584276695165</v>
      </c>
      <c r="D30" s="11">
        <f>data!D78</f>
        <v>0</v>
      </c>
      <c r="E30" s="11">
        <f>data!E78</f>
        <v>3866.3165887874129</v>
      </c>
      <c r="F30" s="11">
        <f>data!F78</f>
        <v>1833.9721042386975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1189</v>
      </c>
      <c r="C31" s="11">
        <f>data!C79</f>
        <v>60313</v>
      </c>
      <c r="D31" s="11">
        <f>data!D79</f>
        <v>0</v>
      </c>
      <c r="E31" s="11">
        <f>data!E79</f>
        <v>118369</v>
      </c>
      <c r="F31" s="11">
        <f>data!F79</f>
        <v>66084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29.25</v>
      </c>
      <c r="D32" s="56">
        <f>data!D80</f>
        <v>0</v>
      </c>
      <c r="E32" s="56">
        <f>data!E80</f>
        <v>52.5</v>
      </c>
      <c r="F32" s="56">
        <f>data!F80</f>
        <v>35.25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1190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RCCH Trios Health LLC</v>
      </c>
      <c r="G36" s="8"/>
      <c r="H36" s="55" t="str">
        <f>"FYE: "&amp;data!C82</f>
        <v>FYE: 12/31/2021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2032</v>
      </c>
      <c r="D41" s="11">
        <f>data!K59</f>
        <v>0</v>
      </c>
      <c r="E41" s="11">
        <f>data!L59</f>
        <v>0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269125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10.01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19.29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1065079</v>
      </c>
      <c r="D43" s="11">
        <f>data!K61</f>
        <v>0</v>
      </c>
      <c r="E43" s="11">
        <f>data!L61</f>
        <v>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1603799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202854</v>
      </c>
      <c r="D44" s="11">
        <f>data!K62</f>
        <v>0</v>
      </c>
      <c r="E44" s="11">
        <f>data!L62</f>
        <v>0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305459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449473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221837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253043</v>
      </c>
      <c r="D46" s="11">
        <f>data!K64</f>
        <v>0</v>
      </c>
      <c r="E46" s="11">
        <f>data!L64</f>
        <v>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6324497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-1600</v>
      </c>
      <c r="D48" s="11">
        <f>data!K66</f>
        <v>0</v>
      </c>
      <c r="E48" s="11">
        <f>data!L66</f>
        <v>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308413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39478</v>
      </c>
      <c r="D49" s="11">
        <f>data!K67</f>
        <v>0</v>
      </c>
      <c r="E49" s="11">
        <f>data!L67</f>
        <v>0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253844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8333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4410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1180</v>
      </c>
      <c r="C53" s="11">
        <f>data!J71</f>
        <v>2008327</v>
      </c>
      <c r="D53" s="11">
        <f>data!K71</f>
        <v>0</v>
      </c>
      <c r="E53" s="11">
        <f>data!L71</f>
        <v>0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9030592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1181</v>
      </c>
      <c r="C55" s="37">
        <f>+data!M675</f>
        <v>562022</v>
      </c>
      <c r="D55" s="37">
        <f>+data!M676</f>
        <v>0</v>
      </c>
      <c r="E55" s="37">
        <f>+data!M677</f>
        <v>0</v>
      </c>
      <c r="F55" s="37">
        <f>+data!M678</f>
        <v>0</v>
      </c>
      <c r="G55" s="37">
        <f>+data!M679</f>
        <v>0</v>
      </c>
      <c r="H55" s="37">
        <f>+data!M680</f>
        <v>0</v>
      </c>
      <c r="I55" s="37">
        <f>+data!M681</f>
        <v>3442643</v>
      </c>
    </row>
    <row r="56" spans="1:9" ht="20.149999999999999" customHeight="1" x14ac:dyDescent="0.35">
      <c r="A56" s="10">
        <v>19</v>
      </c>
      <c r="B56" s="37" t="s">
        <v>1182</v>
      </c>
      <c r="C56" s="11">
        <f>data!J73</f>
        <v>4577435</v>
      </c>
      <c r="D56" s="11">
        <f>data!K73</f>
        <v>0</v>
      </c>
      <c r="E56" s="11">
        <f>data!L73</f>
        <v>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24328375</v>
      </c>
    </row>
    <row r="57" spans="1:9" ht="20.149999999999999" customHeight="1" x14ac:dyDescent="0.35">
      <c r="A57" s="10">
        <v>20</v>
      </c>
      <c r="B57" s="37" t="s">
        <v>1183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34889911</v>
      </c>
    </row>
    <row r="58" spans="1:9" ht="20.149999999999999" customHeight="1" x14ac:dyDescent="0.35">
      <c r="A58" s="10">
        <v>21</v>
      </c>
      <c r="B58" s="37" t="s">
        <v>1184</v>
      </c>
      <c r="C58" s="11">
        <f>data!J75</f>
        <v>4577435</v>
      </c>
      <c r="D58" s="11">
        <f>data!K75</f>
        <v>0</v>
      </c>
      <c r="E58" s="11">
        <f>data!L75</f>
        <v>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59218286</v>
      </c>
    </row>
    <row r="59" spans="1:9" ht="20.149999999999999" customHeight="1" x14ac:dyDescent="0.35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1186</v>
      </c>
      <c r="C60" s="11">
        <f>data!J76</f>
        <v>3386</v>
      </c>
      <c r="D60" s="11">
        <f>data!K76</f>
        <v>0</v>
      </c>
      <c r="E60" s="11">
        <f>data!L76</f>
        <v>0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21772</v>
      </c>
    </row>
    <row r="61" spans="1:9" ht="20.149999999999999" customHeight="1" x14ac:dyDescent="0.35">
      <c r="A61" s="10">
        <v>23</v>
      </c>
      <c r="B61" s="11" t="s">
        <v>1187</v>
      </c>
      <c r="C61" s="11">
        <f>data!J77</f>
        <v>251</v>
      </c>
      <c r="D61" s="11">
        <f>data!K77</f>
        <v>0</v>
      </c>
      <c r="E61" s="11">
        <f>data!L77</f>
        <v>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1188</v>
      </c>
      <c r="C62" s="11">
        <f>data!J78</f>
        <v>470.37036395638762</v>
      </c>
      <c r="D62" s="11">
        <f>data!K78</f>
        <v>0</v>
      </c>
      <c r="E62" s="11">
        <f>data!L78</f>
        <v>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3024.4842185642269</v>
      </c>
    </row>
    <row r="63" spans="1:9" ht="20.149999999999999" customHeight="1" x14ac:dyDescent="0.35">
      <c r="A63" s="10">
        <v>25</v>
      </c>
      <c r="B63" s="11" t="s">
        <v>1189</v>
      </c>
      <c r="C63" s="11">
        <f>data!J79</f>
        <v>13947</v>
      </c>
      <c r="D63" s="11">
        <f>data!K79</f>
        <v>0</v>
      </c>
      <c r="E63" s="11">
        <f>data!L79</f>
        <v>0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44345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11.4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6.0000024999999999</v>
      </c>
    </row>
    <row r="65" spans="1:9" ht="20.149999999999999" customHeight="1" x14ac:dyDescent="0.35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1193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RCCH Trios Health LLC</v>
      </c>
      <c r="G68" s="8"/>
      <c r="H68" s="55" t="str">
        <f>"FYE: "&amp;data!C82</f>
        <v>FYE: 12/31/2021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116970</v>
      </c>
      <c r="D73" s="37">
        <f>data!R59</f>
        <v>0</v>
      </c>
      <c r="E73" s="163"/>
      <c r="F73" s="163"/>
      <c r="G73" s="11">
        <f>data!U59</f>
        <v>365576</v>
      </c>
      <c r="H73" s="11">
        <f>data!V59</f>
        <v>326</v>
      </c>
      <c r="I73" s="11">
        <f>data!W59</f>
        <v>2535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4.8600000000000003</v>
      </c>
      <c r="D74" s="17">
        <f>data!R60</f>
        <v>2.4500000000000002</v>
      </c>
      <c r="E74" s="17">
        <f>data!S60</f>
        <v>9.74</v>
      </c>
      <c r="F74" s="17">
        <f>data!T60</f>
        <v>0</v>
      </c>
      <c r="G74" s="17">
        <f>data!U60</f>
        <v>27.62</v>
      </c>
      <c r="H74" s="17">
        <f>data!V60</f>
        <v>0.67</v>
      </c>
      <c r="I74" s="17">
        <f>data!W60</f>
        <v>3.04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724556</v>
      </c>
      <c r="D75" s="11">
        <f>data!R61</f>
        <v>171510</v>
      </c>
      <c r="E75" s="11">
        <f>data!S61</f>
        <v>427946</v>
      </c>
      <c r="F75" s="11">
        <f>data!T61</f>
        <v>0</v>
      </c>
      <c r="G75" s="11">
        <f>data!U61</f>
        <v>1629453</v>
      </c>
      <c r="H75" s="11">
        <f>data!V61</f>
        <v>44246</v>
      </c>
      <c r="I75" s="11">
        <f>data!W61</f>
        <v>224918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137998</v>
      </c>
      <c r="D76" s="11">
        <f>data!R62</f>
        <v>32666</v>
      </c>
      <c r="E76" s="11">
        <f>data!S62</f>
        <v>81506</v>
      </c>
      <c r="F76" s="11">
        <f>data!T62</f>
        <v>0</v>
      </c>
      <c r="G76" s="11">
        <f>data!U62</f>
        <v>310345</v>
      </c>
      <c r="H76" s="11">
        <f>data!V62</f>
        <v>8427</v>
      </c>
      <c r="I76" s="11">
        <f>data!W62</f>
        <v>42838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337583</v>
      </c>
      <c r="E77" s="11">
        <f>data!S63</f>
        <v>0</v>
      </c>
      <c r="F77" s="11">
        <f>data!T63</f>
        <v>0</v>
      </c>
      <c r="G77" s="11">
        <f>data!U63</f>
        <v>236229</v>
      </c>
      <c r="H77" s="11">
        <f>data!V63</f>
        <v>21722</v>
      </c>
      <c r="I77" s="11">
        <f>data!W63</f>
        <v>0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23615</v>
      </c>
      <c r="D78" s="11">
        <f>data!R64</f>
        <v>239741</v>
      </c>
      <c r="E78" s="11">
        <f>data!S64</f>
        <v>332453</v>
      </c>
      <c r="F78" s="11">
        <f>data!T64</f>
        <v>117040</v>
      </c>
      <c r="G78" s="11">
        <f>data!U64</f>
        <v>2158347</v>
      </c>
      <c r="H78" s="11">
        <f>data!V64</f>
        <v>0</v>
      </c>
      <c r="I78" s="11">
        <f>data!W64</f>
        <v>8125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0</v>
      </c>
      <c r="G79" s="11">
        <f>data!U65</f>
        <v>0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284</v>
      </c>
      <c r="D80" s="11">
        <f>data!R66</f>
        <v>128</v>
      </c>
      <c r="E80" s="11">
        <f>data!S66</f>
        <v>37809</v>
      </c>
      <c r="F80" s="11">
        <f>data!T66</f>
        <v>0</v>
      </c>
      <c r="G80" s="11">
        <f>data!U66</f>
        <v>1782340</v>
      </c>
      <c r="H80" s="11">
        <f>data!V66</f>
        <v>0</v>
      </c>
      <c r="I80" s="11">
        <f>data!W66</f>
        <v>97643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39175</v>
      </c>
      <c r="D81" s="11">
        <f>data!R67</f>
        <v>6436</v>
      </c>
      <c r="E81" s="11">
        <f>data!S67</f>
        <v>56722</v>
      </c>
      <c r="F81" s="11">
        <f>data!T67</f>
        <v>0</v>
      </c>
      <c r="G81" s="11">
        <f>data!U67</f>
        <v>153540</v>
      </c>
      <c r="H81" s="11">
        <f>data!V67</f>
        <v>1749</v>
      </c>
      <c r="I81" s="11">
        <f>data!W67</f>
        <v>64825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0</v>
      </c>
      <c r="G82" s="11">
        <f>data!U68</f>
        <v>127145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0</v>
      </c>
      <c r="D83" s="11">
        <f>data!R69</f>
        <v>32</v>
      </c>
      <c r="E83" s="11">
        <f>data!S69</f>
        <v>87463</v>
      </c>
      <c r="F83" s="11">
        <f>data!T69</f>
        <v>0</v>
      </c>
      <c r="G83" s="11">
        <f>data!U69</f>
        <v>12909</v>
      </c>
      <c r="H83" s="11">
        <f>data!V69</f>
        <v>0</v>
      </c>
      <c r="I83" s="11">
        <f>data!W69</f>
        <v>0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1180</v>
      </c>
      <c r="C85" s="11">
        <f>data!Q71</f>
        <v>925628</v>
      </c>
      <c r="D85" s="11">
        <f>data!R71</f>
        <v>788096</v>
      </c>
      <c r="E85" s="11">
        <f>data!S71</f>
        <v>1023899</v>
      </c>
      <c r="F85" s="11">
        <f>data!T71</f>
        <v>117040</v>
      </c>
      <c r="G85" s="11">
        <f>data!U71</f>
        <v>6410308</v>
      </c>
      <c r="H85" s="11">
        <f>data!V71</f>
        <v>76144</v>
      </c>
      <c r="I85" s="11">
        <f>data!W71</f>
        <v>438349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1181</v>
      </c>
      <c r="C87" s="37">
        <f>+data!M682</f>
        <v>347792</v>
      </c>
      <c r="D87" s="37">
        <f>+data!M683</f>
        <v>290062</v>
      </c>
      <c r="E87" s="37">
        <f>+data!M684</f>
        <v>503966</v>
      </c>
      <c r="F87" s="37">
        <f>+data!M685</f>
        <v>246537</v>
      </c>
      <c r="G87" s="37">
        <f>+data!M686</f>
        <v>2586552</v>
      </c>
      <c r="H87" s="37">
        <f>+data!M687</f>
        <v>22044</v>
      </c>
      <c r="I87" s="37">
        <f>+data!M688</f>
        <v>488573</v>
      </c>
    </row>
    <row r="88" spans="1:9" ht="20.149999999999999" customHeight="1" x14ac:dyDescent="0.35">
      <c r="A88" s="10">
        <v>19</v>
      </c>
      <c r="B88" s="37" t="s">
        <v>1182</v>
      </c>
      <c r="C88" s="11">
        <f>data!Q73</f>
        <v>925993</v>
      </c>
      <c r="D88" s="11">
        <f>data!R73</f>
        <v>2506750</v>
      </c>
      <c r="E88" s="11">
        <f>data!S73</f>
        <v>3511959</v>
      </c>
      <c r="F88" s="11">
        <f>data!T73</f>
        <v>4422329</v>
      </c>
      <c r="G88" s="11">
        <f>data!U73</f>
        <v>27287912</v>
      </c>
      <c r="H88" s="11">
        <f>data!V73</f>
        <v>185070</v>
      </c>
      <c r="I88" s="11">
        <f>data!W73</f>
        <v>1431555</v>
      </c>
    </row>
    <row r="89" spans="1:9" ht="20.149999999999999" customHeight="1" x14ac:dyDescent="0.35">
      <c r="A89" s="10">
        <v>20</v>
      </c>
      <c r="B89" s="37" t="s">
        <v>1183</v>
      </c>
      <c r="C89" s="11">
        <f>data!Q74</f>
        <v>2464473</v>
      </c>
      <c r="D89" s="11">
        <f>data!R74</f>
        <v>5536025</v>
      </c>
      <c r="E89" s="11">
        <f>data!S74</f>
        <v>4824357</v>
      </c>
      <c r="F89" s="11">
        <f>data!T74</f>
        <v>6264010</v>
      </c>
      <c r="G89" s="11">
        <f>data!U74</f>
        <v>34124408</v>
      </c>
      <c r="H89" s="11">
        <f>data!V74</f>
        <v>195007</v>
      </c>
      <c r="I89" s="11">
        <f>data!W74</f>
        <v>8632398</v>
      </c>
    </row>
    <row r="90" spans="1:9" ht="20.149999999999999" customHeight="1" x14ac:dyDescent="0.35">
      <c r="A90" s="10">
        <v>21</v>
      </c>
      <c r="B90" s="37" t="s">
        <v>1184</v>
      </c>
      <c r="C90" s="11">
        <f>data!Q75</f>
        <v>3390466</v>
      </c>
      <c r="D90" s="11">
        <f>data!R75</f>
        <v>8042775</v>
      </c>
      <c r="E90" s="11">
        <f>data!S75</f>
        <v>8336316</v>
      </c>
      <c r="F90" s="11">
        <f>data!T75</f>
        <v>10686339</v>
      </c>
      <c r="G90" s="11">
        <f>data!U75</f>
        <v>61412320</v>
      </c>
      <c r="H90" s="11">
        <f>data!V75</f>
        <v>380077</v>
      </c>
      <c r="I90" s="11">
        <f>data!W75</f>
        <v>10063953</v>
      </c>
    </row>
    <row r="91" spans="1:9" ht="20.149999999999999" customHeight="1" x14ac:dyDescent="0.35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1186</v>
      </c>
      <c r="C92" s="11">
        <f>data!Q76</f>
        <v>3360</v>
      </c>
      <c r="D92" s="11">
        <f>data!R76</f>
        <v>552</v>
      </c>
      <c r="E92" s="11">
        <f>data!S76</f>
        <v>4865</v>
      </c>
      <c r="F92" s="11">
        <f>data!T76</f>
        <v>0</v>
      </c>
      <c r="G92" s="11">
        <f>data!U76</f>
        <v>13169</v>
      </c>
      <c r="H92" s="11">
        <f>data!V76</f>
        <v>150</v>
      </c>
      <c r="I92" s="11">
        <f>data!W76</f>
        <v>5560</v>
      </c>
    </row>
    <row r="93" spans="1:9" ht="20.149999999999999" customHeight="1" x14ac:dyDescent="0.35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1188</v>
      </c>
      <c r="C94" s="11">
        <f>data!Q78</f>
        <v>466.75854190592509</v>
      </c>
      <c r="D94" s="11">
        <f>data!R78</f>
        <v>76.681760455973404</v>
      </c>
      <c r="E94" s="11">
        <f>data!S78</f>
        <v>675.82747213462073</v>
      </c>
      <c r="F94" s="11">
        <f>data!T78</f>
        <v>0</v>
      </c>
      <c r="G94" s="11">
        <f>data!U78</f>
        <v>1829.3878685592642</v>
      </c>
      <c r="H94" s="11">
        <f>data!V78</f>
        <v>20.837434906514513</v>
      </c>
      <c r="I94" s="11">
        <f>data!W78</f>
        <v>772.374253868138</v>
      </c>
    </row>
    <row r="95" spans="1:9" ht="20.149999999999999" customHeight="1" x14ac:dyDescent="0.35">
      <c r="A95" s="10">
        <v>25</v>
      </c>
      <c r="B95" s="11" t="s">
        <v>1189</v>
      </c>
      <c r="C95" s="11">
        <f>data!Q79</f>
        <v>0</v>
      </c>
      <c r="D95" s="11">
        <f>data!R79</f>
        <v>0</v>
      </c>
      <c r="E95" s="11">
        <f>data!S79</f>
        <v>0</v>
      </c>
      <c r="F95" s="11">
        <f>data!T79</f>
        <v>0</v>
      </c>
      <c r="G95" s="11">
        <f>data!U79</f>
        <v>0</v>
      </c>
      <c r="H95" s="11">
        <f>data!V79</f>
        <v>0</v>
      </c>
      <c r="I95" s="11">
        <f>data!W79</f>
        <v>0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5.5</v>
      </c>
      <c r="D96" s="56">
        <f>data!R80</f>
        <v>1</v>
      </c>
      <c r="E96" s="56">
        <f>data!S80</f>
        <v>0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1199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RCCH Trios Health LLC</v>
      </c>
      <c r="G100" s="8"/>
      <c r="H100" s="55" t="str">
        <f>"FYE: "&amp;data!C82</f>
        <v>FYE: 12/31/2021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12433</v>
      </c>
      <c r="D105" s="11">
        <f>data!Y59</f>
        <v>48421</v>
      </c>
      <c r="E105" s="11">
        <f>data!Z59</f>
        <v>840779</v>
      </c>
      <c r="F105" s="11">
        <f>data!AA59</f>
        <v>909</v>
      </c>
      <c r="G105" s="163"/>
      <c r="H105" s="11">
        <f>data!AC59</f>
        <v>47701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5.66</v>
      </c>
      <c r="D106" s="17">
        <f>data!Y60</f>
        <v>32.380000000000003</v>
      </c>
      <c r="E106" s="17">
        <f>data!Z60</f>
        <v>0</v>
      </c>
      <c r="F106" s="17">
        <f>data!AA60</f>
        <v>1.81</v>
      </c>
      <c r="G106" s="17">
        <f>data!AB60</f>
        <v>14.13</v>
      </c>
      <c r="H106" s="17">
        <f>data!AC60</f>
        <v>16.559999999999999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432343</v>
      </c>
      <c r="D107" s="11">
        <f>data!Y61</f>
        <v>3005066</v>
      </c>
      <c r="E107" s="11">
        <f>data!Z61</f>
        <v>0</v>
      </c>
      <c r="F107" s="11">
        <f>data!AA61</f>
        <v>211593</v>
      </c>
      <c r="G107" s="11">
        <f>data!AB61</f>
        <v>1611814</v>
      </c>
      <c r="H107" s="11">
        <f>data!AC61</f>
        <v>1395413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82344</v>
      </c>
      <c r="D108" s="11">
        <f>data!Y62</f>
        <v>572343</v>
      </c>
      <c r="E108" s="11">
        <f>data!Z62</f>
        <v>0</v>
      </c>
      <c r="F108" s="11">
        <f>data!AA62</f>
        <v>40300</v>
      </c>
      <c r="G108" s="11">
        <f>data!AB62</f>
        <v>306985</v>
      </c>
      <c r="H108" s="11">
        <f>data!AC62</f>
        <v>265769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0</v>
      </c>
      <c r="D109" s="11">
        <f>data!Y63</f>
        <v>988203</v>
      </c>
      <c r="E109" s="11">
        <f>data!Z63</f>
        <v>0</v>
      </c>
      <c r="F109" s="11">
        <f>data!AA63</f>
        <v>-365</v>
      </c>
      <c r="G109" s="11">
        <f>data!AB63</f>
        <v>1612</v>
      </c>
      <c r="H109" s="11">
        <f>data!AC63</f>
        <v>418111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141335</v>
      </c>
      <c r="D110" s="11">
        <f>data!Y64</f>
        <v>5732132</v>
      </c>
      <c r="E110" s="11">
        <f>data!Z64</f>
        <v>0</v>
      </c>
      <c r="F110" s="11">
        <f>data!AA64</f>
        <v>73118</v>
      </c>
      <c r="G110" s="11">
        <f>data!AB64</f>
        <v>10052652</v>
      </c>
      <c r="H110" s="11">
        <f>data!AC64</f>
        <v>256860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0</v>
      </c>
      <c r="D111" s="11">
        <f>data!Y65</f>
        <v>1200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897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248936</v>
      </c>
      <c r="D112" s="11">
        <f>data!Y66</f>
        <v>1146653</v>
      </c>
      <c r="E112" s="11">
        <f>data!Z66</f>
        <v>0</v>
      </c>
      <c r="F112" s="11">
        <f>data!AA66</f>
        <v>207437</v>
      </c>
      <c r="G112" s="11">
        <f>data!AB66</f>
        <v>278656</v>
      </c>
      <c r="H112" s="11">
        <f>data!AC66</f>
        <v>7150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36960</v>
      </c>
      <c r="D113" s="11">
        <f>data!Y67</f>
        <v>221525</v>
      </c>
      <c r="E113" s="11">
        <f>data!Z67</f>
        <v>0</v>
      </c>
      <c r="F113" s="11">
        <f>data!AA67</f>
        <v>49517</v>
      </c>
      <c r="G113" s="11">
        <f>data!AB67</f>
        <v>65210</v>
      </c>
      <c r="H113" s="11">
        <f>data!AC67</f>
        <v>47301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0</v>
      </c>
      <c r="D114" s="11">
        <f>data!Y68</f>
        <v>-155</v>
      </c>
      <c r="E114" s="11">
        <f>data!Z68</f>
        <v>0</v>
      </c>
      <c r="F114" s="11">
        <f>data!AA68</f>
        <v>0</v>
      </c>
      <c r="G114" s="11">
        <f>data!AB68</f>
        <v>47</v>
      </c>
      <c r="H114" s="11">
        <f>data!AC68</f>
        <v>-528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0</v>
      </c>
      <c r="D115" s="11">
        <f>data!Y69</f>
        <v>7418</v>
      </c>
      <c r="E115" s="11">
        <f>data!Z69</f>
        <v>0</v>
      </c>
      <c r="F115" s="11">
        <f>data!AA69</f>
        <v>0</v>
      </c>
      <c r="G115" s="11">
        <f>data!AB69</f>
        <v>1875</v>
      </c>
      <c r="H115" s="11">
        <f>data!AC69</f>
        <v>0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-2312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1180</v>
      </c>
      <c r="C117" s="11">
        <f>data!X71</f>
        <v>941918</v>
      </c>
      <c r="D117" s="11">
        <f>data!Y71</f>
        <v>11674385</v>
      </c>
      <c r="E117" s="11">
        <f>data!Z71</f>
        <v>0</v>
      </c>
      <c r="F117" s="11">
        <f>data!AA71</f>
        <v>581600</v>
      </c>
      <c r="G117" s="11">
        <f>data!AB71</f>
        <v>12316539</v>
      </c>
      <c r="H117" s="11">
        <f>data!AC71</f>
        <v>2390973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1181</v>
      </c>
      <c r="C119" s="37">
        <f>+data!M689</f>
        <v>1269925</v>
      </c>
      <c r="D119" s="37">
        <f>+data!M690</f>
        <v>3212741</v>
      </c>
      <c r="E119" s="37">
        <f>+data!M691</f>
        <v>1131981</v>
      </c>
      <c r="F119" s="37">
        <f>+data!M692</f>
        <v>314547</v>
      </c>
      <c r="G119" s="37">
        <f>+data!M693</f>
        <v>2723787</v>
      </c>
      <c r="H119" s="37">
        <f>+data!M694</f>
        <v>876452</v>
      </c>
      <c r="I119" s="37">
        <f>+data!M695</f>
        <v>0</v>
      </c>
    </row>
    <row r="120" spans="1:9" ht="20.149999999999999" customHeight="1" x14ac:dyDescent="0.35">
      <c r="A120" s="10">
        <v>19</v>
      </c>
      <c r="B120" s="37" t="s">
        <v>1182</v>
      </c>
      <c r="C120" s="11">
        <f>data!X73</f>
        <v>11327428</v>
      </c>
      <c r="D120" s="11">
        <f>data!Y73</f>
        <v>13210249</v>
      </c>
      <c r="E120" s="11">
        <f>data!Z73</f>
        <v>1256158</v>
      </c>
      <c r="F120" s="11">
        <f>data!AA73</f>
        <v>456875</v>
      </c>
      <c r="G120" s="11">
        <f>data!AB73</f>
        <v>24184405</v>
      </c>
      <c r="H120" s="11">
        <f>data!AC73</f>
        <v>17327660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1183</v>
      </c>
      <c r="C121" s="11">
        <f>data!X74</f>
        <v>36790515</v>
      </c>
      <c r="D121" s="11">
        <f>data!Y74</f>
        <v>31065052</v>
      </c>
      <c r="E121" s="11">
        <f>data!Z74</f>
        <v>51427014</v>
      </c>
      <c r="F121" s="11">
        <f>data!AA74</f>
        <v>2976193</v>
      </c>
      <c r="G121" s="11">
        <f>data!AB74</f>
        <v>14033784</v>
      </c>
      <c r="H121" s="11">
        <f>data!AC74</f>
        <v>4097890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1184</v>
      </c>
      <c r="C122" s="11">
        <f>data!X75</f>
        <v>48117943</v>
      </c>
      <c r="D122" s="11">
        <f>data!Y75</f>
        <v>44275301</v>
      </c>
      <c r="E122" s="11">
        <f>data!Z75</f>
        <v>52683172</v>
      </c>
      <c r="F122" s="11">
        <f>data!AA75</f>
        <v>3433068</v>
      </c>
      <c r="G122" s="11">
        <f>data!AB75</f>
        <v>38218189</v>
      </c>
      <c r="H122" s="11">
        <f>data!AC75</f>
        <v>21425550</v>
      </c>
      <c r="I122" s="11">
        <f>data!AD75</f>
        <v>0</v>
      </c>
    </row>
    <row r="123" spans="1:9" ht="20.149999999999999" customHeight="1" x14ac:dyDescent="0.35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1186</v>
      </c>
      <c r="C124" s="11">
        <f>data!X76</f>
        <v>3170</v>
      </c>
      <c r="D124" s="11">
        <f>data!Y76</f>
        <v>19000</v>
      </c>
      <c r="E124" s="11">
        <f>data!Z76</f>
        <v>0</v>
      </c>
      <c r="F124" s="11">
        <f>data!AA76</f>
        <v>4247</v>
      </c>
      <c r="G124" s="11">
        <f>data!AB76</f>
        <v>5593</v>
      </c>
      <c r="H124" s="11">
        <f>data!AC76</f>
        <v>4057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1187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1188</v>
      </c>
      <c r="C126" s="11">
        <f>data!X78</f>
        <v>440.36445769100669</v>
      </c>
      <c r="D126" s="11">
        <f>data!Y78</f>
        <v>2639.408421491838</v>
      </c>
      <c r="E126" s="11">
        <f>data!Z78</f>
        <v>0</v>
      </c>
      <c r="F126" s="11">
        <f>data!AA78</f>
        <v>589.977240319781</v>
      </c>
      <c r="G126" s="11">
        <f>data!AB78</f>
        <v>776.95848954757116</v>
      </c>
      <c r="H126" s="11">
        <f>data!AC78</f>
        <v>563.5831561048625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1189</v>
      </c>
      <c r="C127" s="11">
        <f>data!X79</f>
        <v>6957</v>
      </c>
      <c r="D127" s="11">
        <f>data!Y79</f>
        <v>63246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</v>
      </c>
      <c r="D128" s="17">
        <f>data!Y80</f>
        <v>2.9</v>
      </c>
      <c r="E128" s="17">
        <f>data!Z80</f>
        <v>0</v>
      </c>
      <c r="F128" s="17">
        <f>data!AA80</f>
        <v>1</v>
      </c>
      <c r="G128" s="17">
        <f>data!AB80</f>
        <v>0</v>
      </c>
      <c r="H128" s="17">
        <f>data!AC80</f>
        <v>0</v>
      </c>
      <c r="I128" s="17">
        <f>data!AD80</f>
        <v>0</v>
      </c>
    </row>
    <row r="129" spans="1:9" ht="20.149999999999999" customHeight="1" x14ac:dyDescent="0.35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1203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RCCH Trios Health LLC</v>
      </c>
      <c r="G132" s="8"/>
      <c r="H132" s="55" t="str">
        <f>"FYE: "&amp;data!C82</f>
        <v>FYE: 12/31/2021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31187</v>
      </c>
      <c r="D137" s="11">
        <f>data!AF59</f>
        <v>0</v>
      </c>
      <c r="E137" s="11">
        <f>data!AG59</f>
        <v>22406</v>
      </c>
      <c r="F137" s="11">
        <f>data!AH59</f>
        <v>0</v>
      </c>
      <c r="G137" s="11">
        <f>data!AI59</f>
        <v>157356</v>
      </c>
      <c r="H137" s="11">
        <f>data!AJ59</f>
        <v>7719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10.58</v>
      </c>
      <c r="D138" s="17">
        <f>data!AF60</f>
        <v>0</v>
      </c>
      <c r="E138" s="17">
        <f>data!AG60</f>
        <v>26.68</v>
      </c>
      <c r="F138" s="17">
        <f>data!AH60</f>
        <v>0</v>
      </c>
      <c r="G138" s="17">
        <f>data!AI60</f>
        <v>26.15</v>
      </c>
      <c r="H138" s="17">
        <f>data!AJ60</f>
        <v>10.64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1016459</v>
      </c>
      <c r="D139" s="11">
        <f>data!AF61</f>
        <v>0</v>
      </c>
      <c r="E139" s="11">
        <f>data!AG61</f>
        <v>2355530</v>
      </c>
      <c r="F139" s="11">
        <f>data!AH61</f>
        <v>0</v>
      </c>
      <c r="G139" s="11">
        <f>data!AI61</f>
        <v>2349490</v>
      </c>
      <c r="H139" s="11">
        <f>data!AJ61</f>
        <v>995503</v>
      </c>
      <c r="I139" s="11">
        <f>data!AK61</f>
        <v>0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193594</v>
      </c>
      <c r="D140" s="11">
        <f>data!AF62</f>
        <v>0</v>
      </c>
      <c r="E140" s="11">
        <f>data!AG62</f>
        <v>448633</v>
      </c>
      <c r="F140" s="11">
        <f>data!AH62</f>
        <v>0</v>
      </c>
      <c r="G140" s="11">
        <f>data!AI62</f>
        <v>447482</v>
      </c>
      <c r="H140" s="11">
        <f>data!AJ62</f>
        <v>189603</v>
      </c>
      <c r="I140" s="11">
        <f>data!AK62</f>
        <v>0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43618</v>
      </c>
      <c r="D141" s="11">
        <f>data!AF63</f>
        <v>0</v>
      </c>
      <c r="E141" s="11">
        <f>data!AG63</f>
        <v>4914187</v>
      </c>
      <c r="F141" s="11">
        <f>data!AH63</f>
        <v>0</v>
      </c>
      <c r="G141" s="11">
        <f>data!AI63</f>
        <v>0</v>
      </c>
      <c r="H141" s="11">
        <f>data!AJ63</f>
        <v>13737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7676</v>
      </c>
      <c r="D142" s="11">
        <f>data!AF64</f>
        <v>0</v>
      </c>
      <c r="E142" s="11">
        <f>data!AG64</f>
        <v>1010443</v>
      </c>
      <c r="F142" s="11">
        <f>data!AH64</f>
        <v>0</v>
      </c>
      <c r="G142" s="11">
        <f>data!AI64</f>
        <v>482703</v>
      </c>
      <c r="H142" s="11">
        <f>data!AJ64</f>
        <v>551332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897</v>
      </c>
      <c r="D143" s="11">
        <f>data!AF65</f>
        <v>0</v>
      </c>
      <c r="E143" s="11">
        <f>data!AG65</f>
        <v>897</v>
      </c>
      <c r="F143" s="11">
        <f>data!AH65</f>
        <v>0</v>
      </c>
      <c r="G143" s="11">
        <f>data!AI65</f>
        <v>0</v>
      </c>
      <c r="H143" s="11">
        <f>data!AJ65</f>
        <v>0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28590</v>
      </c>
      <c r="D144" s="11">
        <f>data!AF66</f>
        <v>0</v>
      </c>
      <c r="E144" s="11">
        <f>data!AG66</f>
        <v>99921</v>
      </c>
      <c r="F144" s="11">
        <f>data!AH66</f>
        <v>0</v>
      </c>
      <c r="G144" s="11">
        <f>data!AI66</f>
        <v>10507</v>
      </c>
      <c r="H144" s="11">
        <f>data!AJ66</f>
        <v>77799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95057</v>
      </c>
      <c r="D145" s="11">
        <f>data!AF67</f>
        <v>0</v>
      </c>
      <c r="E145" s="11">
        <f>data!AG67</f>
        <v>145880</v>
      </c>
      <c r="F145" s="11">
        <f>data!AH67</f>
        <v>0</v>
      </c>
      <c r="G145" s="11">
        <f>data!AI67</f>
        <v>295071</v>
      </c>
      <c r="H145" s="11">
        <f>data!AJ67</f>
        <v>95489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103</v>
      </c>
      <c r="D146" s="11">
        <f>data!AF68</f>
        <v>0</v>
      </c>
      <c r="E146" s="11">
        <f>data!AG68</f>
        <v>-130</v>
      </c>
      <c r="F146" s="11">
        <f>data!AH68</f>
        <v>0</v>
      </c>
      <c r="G146" s="11">
        <f>data!AI68</f>
        <v>-19</v>
      </c>
      <c r="H146" s="11">
        <f>data!AJ68</f>
        <v>-163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1406</v>
      </c>
      <c r="D147" s="11">
        <f>data!AF69</f>
        <v>0</v>
      </c>
      <c r="E147" s="11">
        <f>data!AG69</f>
        <v>134</v>
      </c>
      <c r="F147" s="11">
        <f>data!AH69</f>
        <v>0</v>
      </c>
      <c r="G147" s="11">
        <f>data!AI69</f>
        <v>295</v>
      </c>
      <c r="H147" s="11">
        <f>data!AJ69</f>
        <v>57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0</v>
      </c>
      <c r="D148" s="11">
        <f>-data!AF70</f>
        <v>0</v>
      </c>
      <c r="E148" s="11">
        <f>-data!AG70</f>
        <v>-592634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1180</v>
      </c>
      <c r="C149" s="11">
        <f>data!AE71</f>
        <v>1387400</v>
      </c>
      <c r="D149" s="11">
        <f>data!AF71</f>
        <v>0</v>
      </c>
      <c r="E149" s="11">
        <f>data!AG71</f>
        <v>8382861</v>
      </c>
      <c r="F149" s="11">
        <f>data!AH71</f>
        <v>0</v>
      </c>
      <c r="G149" s="11">
        <f>data!AI71</f>
        <v>3585529</v>
      </c>
      <c r="H149" s="11">
        <f>data!AJ71</f>
        <v>1923357</v>
      </c>
      <c r="I149" s="11">
        <f>data!AK71</f>
        <v>0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1181</v>
      </c>
      <c r="C151" s="37">
        <f>+data!M696</f>
        <v>591464</v>
      </c>
      <c r="D151" s="37">
        <f>+data!M697</f>
        <v>0</v>
      </c>
      <c r="E151" s="37">
        <f>+data!M698</f>
        <v>2521313</v>
      </c>
      <c r="F151" s="37">
        <f>+data!M699</f>
        <v>0</v>
      </c>
      <c r="G151" s="37">
        <f>+data!M700</f>
        <v>1972899</v>
      </c>
      <c r="H151" s="37">
        <f>+data!M701</f>
        <v>1003348</v>
      </c>
      <c r="I151" s="37">
        <f>+data!M702</f>
        <v>0</v>
      </c>
    </row>
    <row r="152" spans="1:9" ht="20.149999999999999" customHeight="1" x14ac:dyDescent="0.35">
      <c r="A152" s="10">
        <v>19</v>
      </c>
      <c r="B152" s="37" t="s">
        <v>1182</v>
      </c>
      <c r="C152" s="11">
        <f>data!AE73</f>
        <v>1817032</v>
      </c>
      <c r="D152" s="11">
        <f>data!AF73</f>
        <v>0</v>
      </c>
      <c r="E152" s="11">
        <f>data!AG73</f>
        <v>11912496</v>
      </c>
      <c r="F152" s="11">
        <f>data!AH73</f>
        <v>0</v>
      </c>
      <c r="G152" s="11">
        <f>data!AI73</f>
        <v>75131</v>
      </c>
      <c r="H152" s="11">
        <f>data!AJ73</f>
        <v>1104515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1183</v>
      </c>
      <c r="C153" s="11">
        <f>data!AE74</f>
        <v>2720406</v>
      </c>
      <c r="D153" s="11">
        <f>data!AF74</f>
        <v>0</v>
      </c>
      <c r="E153" s="11">
        <f>data!AG74</f>
        <v>32701712</v>
      </c>
      <c r="F153" s="11">
        <f>data!AH74</f>
        <v>0</v>
      </c>
      <c r="G153" s="11">
        <f>data!AI74</f>
        <v>11984197</v>
      </c>
      <c r="H153" s="11">
        <f>data!AJ74</f>
        <v>17799383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1184</v>
      </c>
      <c r="C154" s="11">
        <f>data!AE75</f>
        <v>4537438</v>
      </c>
      <c r="D154" s="11">
        <f>data!AF75</f>
        <v>0</v>
      </c>
      <c r="E154" s="11">
        <f>data!AG75</f>
        <v>44614208</v>
      </c>
      <c r="F154" s="11">
        <f>data!AH75</f>
        <v>0</v>
      </c>
      <c r="G154" s="11">
        <f>data!AI75</f>
        <v>12059328</v>
      </c>
      <c r="H154" s="11">
        <f>data!AJ75</f>
        <v>18903898</v>
      </c>
      <c r="I154" s="11">
        <f>data!AK75</f>
        <v>0</v>
      </c>
    </row>
    <row r="155" spans="1:9" ht="20.149999999999999" customHeight="1" x14ac:dyDescent="0.35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1186</v>
      </c>
      <c r="C156" s="11">
        <f>data!AE76</f>
        <v>8153</v>
      </c>
      <c r="D156" s="11">
        <f>data!AF76</f>
        <v>0</v>
      </c>
      <c r="E156" s="11">
        <f>data!AG76</f>
        <v>12512</v>
      </c>
      <c r="F156" s="11">
        <f>data!AH76</f>
        <v>0</v>
      </c>
      <c r="G156" s="11">
        <f>data!AI76</f>
        <v>25308</v>
      </c>
      <c r="H156" s="11">
        <f>data!AJ76</f>
        <v>8190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972</v>
      </c>
      <c r="F157" s="11">
        <f>data!AH77</f>
        <v>0</v>
      </c>
      <c r="G157" s="11">
        <f>data!AI77</f>
        <v>2561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1188</v>
      </c>
      <c r="C158" s="11">
        <f>data!AE78</f>
        <v>1132.5840452854188</v>
      </c>
      <c r="D158" s="11">
        <f>data!AF78</f>
        <v>0</v>
      </c>
      <c r="E158" s="11">
        <f>data!AG78</f>
        <v>1738.1199036687308</v>
      </c>
      <c r="F158" s="11">
        <f>data!AH78</f>
        <v>0</v>
      </c>
      <c r="G158" s="11">
        <f>data!AI78</f>
        <v>3515.6920174271286</v>
      </c>
      <c r="H158" s="11">
        <f>data!AJ78</f>
        <v>1137.7239458956924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1189</v>
      </c>
      <c r="C159" s="11">
        <f>data!AE79</f>
        <v>12456</v>
      </c>
      <c r="D159" s="11">
        <f>data!AF79</f>
        <v>0</v>
      </c>
      <c r="E159" s="11">
        <f>data!AG79</f>
        <v>67506</v>
      </c>
      <c r="F159" s="11">
        <f>data!AH79</f>
        <v>0</v>
      </c>
      <c r="G159" s="11">
        <f>data!AI79</f>
        <v>51276</v>
      </c>
      <c r="H159" s="11">
        <f>data!AJ79</f>
        <v>0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1</v>
      </c>
      <c r="D160" s="17">
        <f>data!AF80</f>
        <v>0</v>
      </c>
      <c r="E160" s="17">
        <f>data!AG80</f>
        <v>14.8</v>
      </c>
      <c r="F160" s="17">
        <f>data!AH80</f>
        <v>0</v>
      </c>
      <c r="G160" s="17">
        <f>data!AI80</f>
        <v>18.100000000000001</v>
      </c>
      <c r="H160" s="17">
        <f>data!AJ80</f>
        <v>5.0999999999999996</v>
      </c>
      <c r="I160" s="17">
        <f>data!AK80</f>
        <v>0</v>
      </c>
    </row>
    <row r="161" spans="1:9" ht="20.149999999999999" customHeight="1" x14ac:dyDescent="0.35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1206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RCCH Trios Health LLC</v>
      </c>
      <c r="G164" s="8"/>
      <c r="H164" s="55" t="str">
        <f>"FYE: "&amp;data!C82</f>
        <v>FYE: 12/31/2021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4420</v>
      </c>
      <c r="D169" s="11">
        <f>data!AM59</f>
        <v>0</v>
      </c>
      <c r="E169" s="11">
        <f>data!AN59</f>
        <v>0</v>
      </c>
      <c r="F169" s="11">
        <f>data!AO59</f>
        <v>0</v>
      </c>
      <c r="G169" s="11">
        <f>data!AP59</f>
        <v>6666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1.82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189.82000000000002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162574</v>
      </c>
      <c r="D171" s="11">
        <f>data!AM61</f>
        <v>0</v>
      </c>
      <c r="E171" s="11">
        <f>data!AN61</f>
        <v>0</v>
      </c>
      <c r="F171" s="11">
        <f>data!AO61</f>
        <v>0</v>
      </c>
      <c r="G171" s="11">
        <f>data!AP61</f>
        <v>28082998.25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30964</v>
      </c>
      <c r="D172" s="11">
        <f>data!AM62</f>
        <v>0</v>
      </c>
      <c r="E172" s="11">
        <f>data!AN62</f>
        <v>0</v>
      </c>
      <c r="F172" s="11">
        <f>data!AO62</f>
        <v>0</v>
      </c>
      <c r="G172" s="11">
        <f>data!AP62</f>
        <v>5348670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81605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234765.31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578</v>
      </c>
      <c r="D174" s="11">
        <f>data!AM64</f>
        <v>0</v>
      </c>
      <c r="E174" s="11">
        <f>data!AN64</f>
        <v>0</v>
      </c>
      <c r="F174" s="11">
        <f>data!AO64</f>
        <v>0</v>
      </c>
      <c r="G174" s="11">
        <f>data!AP64</f>
        <v>1475236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444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508849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2521848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2332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1197771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294269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0</v>
      </c>
      <c r="G179" s="11">
        <f>data!AP69</f>
        <v>244151.64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-198745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1180</v>
      </c>
      <c r="C181" s="11">
        <f>data!AL71</f>
        <v>278053</v>
      </c>
      <c r="D181" s="11">
        <f>data!AM71</f>
        <v>0</v>
      </c>
      <c r="E181" s="11">
        <f>data!AN71</f>
        <v>0</v>
      </c>
      <c r="F181" s="11">
        <f>data!AO71</f>
        <v>0</v>
      </c>
      <c r="G181" s="11">
        <f>data!AP71</f>
        <v>39709813.200000003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1181</v>
      </c>
      <c r="C183" s="37">
        <f>+data!M703</f>
        <v>65413</v>
      </c>
      <c r="D183" s="37">
        <f>+data!M704</f>
        <v>0</v>
      </c>
      <c r="E183" s="37">
        <f>+data!M705</f>
        <v>0</v>
      </c>
      <c r="F183" s="37">
        <f>+data!M706</f>
        <v>0</v>
      </c>
      <c r="G183" s="37">
        <f>+data!M707</f>
        <v>9691263</v>
      </c>
      <c r="H183" s="37">
        <f>+data!M708</f>
        <v>0</v>
      </c>
      <c r="I183" s="37">
        <f>+data!M709</f>
        <v>0</v>
      </c>
    </row>
    <row r="184" spans="1:9" ht="20.149999999999999" customHeight="1" x14ac:dyDescent="0.35">
      <c r="A184" s="10">
        <v>19</v>
      </c>
      <c r="B184" s="37" t="s">
        <v>1182</v>
      </c>
      <c r="C184" s="11">
        <f>data!AL73</f>
        <v>518636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1183</v>
      </c>
      <c r="C185" s="11">
        <f>data!AL74</f>
        <v>883993</v>
      </c>
      <c r="D185" s="11">
        <f>data!AM74</f>
        <v>0</v>
      </c>
      <c r="E185" s="11">
        <f>data!AN74</f>
        <v>0</v>
      </c>
      <c r="F185" s="11">
        <f>data!AO74</f>
        <v>0</v>
      </c>
      <c r="G185" s="11">
        <f>data!AP74</f>
        <v>75220264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1184</v>
      </c>
      <c r="C186" s="11">
        <f>data!AL75</f>
        <v>1402629</v>
      </c>
      <c r="D186" s="11">
        <f>data!AM75</f>
        <v>0</v>
      </c>
      <c r="E186" s="11">
        <f>data!AN75</f>
        <v>0</v>
      </c>
      <c r="F186" s="11">
        <f>data!AO75</f>
        <v>0</v>
      </c>
      <c r="G186" s="11">
        <f>data!AP75</f>
        <v>75220264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1186</v>
      </c>
      <c r="C188" s="11">
        <f>data!AL76</f>
        <v>200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102732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1188</v>
      </c>
      <c r="C190" s="11">
        <f>data!AL78</f>
        <v>27.783246542019349</v>
      </c>
      <c r="D190" s="11">
        <f>data!AM78</f>
        <v>0</v>
      </c>
      <c r="E190" s="11">
        <f>data!AN78</f>
        <v>0</v>
      </c>
      <c r="F190" s="11">
        <f>data!AO78</f>
        <v>0</v>
      </c>
      <c r="G190" s="11">
        <f>data!AP78</f>
        <v>14271.142418773659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2.9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1210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RCCH Trios Health LLC</v>
      </c>
      <c r="G196" s="8"/>
      <c r="H196" s="55" t="str">
        <f>"FYE: "&amp;data!C82</f>
        <v>FYE: 12/31/2021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278733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0</v>
      </c>
      <c r="G202" s="17">
        <f>data!AW60</f>
        <v>30.14</v>
      </c>
      <c r="H202" s="17">
        <f>data!AX60</f>
        <v>0</v>
      </c>
      <c r="I202" s="17">
        <f>data!AY60</f>
        <v>23.31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0</v>
      </c>
      <c r="G203" s="11">
        <f>data!AW61</f>
        <v>2206760</v>
      </c>
      <c r="H203" s="11">
        <f>data!AX61</f>
        <v>0</v>
      </c>
      <c r="I203" s="11">
        <f>data!AY61</f>
        <v>927738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0</v>
      </c>
      <c r="G204" s="11">
        <f>data!AW62</f>
        <v>420298</v>
      </c>
      <c r="H204" s="11">
        <f>data!AX62</f>
        <v>0</v>
      </c>
      <c r="I204" s="11">
        <f>data!AY62</f>
        <v>176696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82745</v>
      </c>
      <c r="H205" s="11">
        <f>data!AX63</f>
        <v>0</v>
      </c>
      <c r="I205" s="11">
        <f>data!AY63</f>
        <v>57300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0</v>
      </c>
      <c r="G206" s="11">
        <f>data!AW64</f>
        <v>39316</v>
      </c>
      <c r="H206" s="11">
        <f>data!AX64</f>
        <v>0</v>
      </c>
      <c r="I206" s="11">
        <f>data!AY64</f>
        <v>391210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0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0</v>
      </c>
      <c r="G208" s="11">
        <f>data!AW66</f>
        <v>1541</v>
      </c>
      <c r="H208" s="11">
        <f>data!AX66</f>
        <v>0</v>
      </c>
      <c r="I208" s="11">
        <f>data!AY66</f>
        <v>52147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0</v>
      </c>
      <c r="G209" s="11">
        <f>data!AW67</f>
        <v>16265</v>
      </c>
      <c r="H209" s="11">
        <f>data!AX67</f>
        <v>0</v>
      </c>
      <c r="I209" s="11">
        <f>data!AY67</f>
        <v>121244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5</v>
      </c>
      <c r="H210" s="11">
        <f>data!AX68</f>
        <v>0</v>
      </c>
      <c r="I210" s="11">
        <f>data!AY68</f>
        <v>-37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0</v>
      </c>
      <c r="G211" s="11">
        <f>data!AW69</f>
        <v>57853</v>
      </c>
      <c r="H211" s="11">
        <f>data!AX69</f>
        <v>0</v>
      </c>
      <c r="I211" s="11">
        <f>data!AY69</f>
        <v>842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-12250</v>
      </c>
      <c r="H212" s="11">
        <f>-data!AX70</f>
        <v>0</v>
      </c>
      <c r="I212" s="11">
        <f>-data!AY70</f>
        <v>-330723</v>
      </c>
    </row>
    <row r="213" spans="1:9" ht="20.149999999999999" customHeight="1" x14ac:dyDescent="0.35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0</v>
      </c>
      <c r="G213" s="11">
        <f>data!AW71</f>
        <v>2812533</v>
      </c>
      <c r="H213" s="11">
        <f>data!AX71</f>
        <v>0</v>
      </c>
      <c r="I213" s="11">
        <f>data!AY71</f>
        <v>1396417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1181</v>
      </c>
      <c r="C215" s="37">
        <f>+data!M710</f>
        <v>0</v>
      </c>
      <c r="D215" s="37">
        <f>+data!M711</f>
        <v>0</v>
      </c>
      <c r="E215" s="37">
        <f>+data!M712</f>
        <v>0</v>
      </c>
      <c r="F215" s="37">
        <f>+data!M713</f>
        <v>0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0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0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0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0</v>
      </c>
      <c r="G220" s="11">
        <f>data!AW76</f>
        <v>1395</v>
      </c>
      <c r="H220" s="11">
        <f>data!AX76</f>
        <v>0</v>
      </c>
      <c r="I220" s="57">
        <f>data!AY76</f>
        <v>10399</v>
      </c>
    </row>
    <row r="221" spans="1:9" ht="20.149999999999999" customHeight="1" x14ac:dyDescent="0.35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0</v>
      </c>
      <c r="G222" s="11">
        <f>data!AW78</f>
        <v>193.78814463058498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1214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RCCH Trios Health LLC</v>
      </c>
      <c r="G228" s="8"/>
      <c r="H228" s="55" t="str">
        <f>"FYE: "&amp;data!C82</f>
        <v>FYE: 12/31/2021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493713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0</v>
      </c>
      <c r="E234" s="17">
        <f>data!BB60</f>
        <v>0</v>
      </c>
      <c r="F234" s="17">
        <f>data!BC60</f>
        <v>0</v>
      </c>
      <c r="G234" s="17">
        <f>data!BD60</f>
        <v>7.99</v>
      </c>
      <c r="H234" s="17">
        <f>data!BE60</f>
        <v>8.17</v>
      </c>
      <c r="I234" s="17">
        <f>data!BF60</f>
        <v>37.67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0</v>
      </c>
      <c r="E235" s="11">
        <f>data!BB61</f>
        <v>0</v>
      </c>
      <c r="F235" s="11">
        <f>data!BC61</f>
        <v>0</v>
      </c>
      <c r="G235" s="11">
        <f>data!BD61</f>
        <v>390952</v>
      </c>
      <c r="H235" s="11">
        <f>data!BE61</f>
        <v>547715</v>
      </c>
      <c r="I235" s="11">
        <f>data!BF61</f>
        <v>1491506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0</v>
      </c>
      <c r="E236" s="11">
        <f>data!BB62</f>
        <v>0</v>
      </c>
      <c r="F236" s="11">
        <f>data!BC62</f>
        <v>0</v>
      </c>
      <c r="G236" s="11">
        <f>data!BD62</f>
        <v>74460</v>
      </c>
      <c r="H236" s="11">
        <f>data!BE62</f>
        <v>104317</v>
      </c>
      <c r="I236" s="11">
        <f>data!BF62</f>
        <v>284071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91077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0</v>
      </c>
      <c r="D238" s="11">
        <f>data!BA64</f>
        <v>74331</v>
      </c>
      <c r="E238" s="11">
        <f>data!BB64</f>
        <v>0</v>
      </c>
      <c r="F238" s="11">
        <f>data!BC64</f>
        <v>0</v>
      </c>
      <c r="G238" s="11">
        <f>data!BD64</f>
        <v>786851</v>
      </c>
      <c r="H238" s="11">
        <f>data!BE64</f>
        <v>76615</v>
      </c>
      <c r="I238" s="11">
        <f>data!BF64</f>
        <v>136670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39340</v>
      </c>
      <c r="H239" s="11">
        <f>data!BE65</f>
        <v>7166</v>
      </c>
      <c r="I239" s="11">
        <f>data!BF65</f>
        <v>103592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0</v>
      </c>
      <c r="D240" s="11">
        <f>data!BA66</f>
        <v>274333</v>
      </c>
      <c r="E240" s="11">
        <f>data!BB66</f>
        <v>0</v>
      </c>
      <c r="F240" s="11">
        <f>data!BC66</f>
        <v>0</v>
      </c>
      <c r="G240" s="11">
        <f>data!BD66</f>
        <v>137998</v>
      </c>
      <c r="H240" s="11">
        <f>data!BE66</f>
        <v>1093801</v>
      </c>
      <c r="I240" s="11">
        <f>data!BF66</f>
        <v>43626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0</v>
      </c>
      <c r="D241" s="11">
        <f>data!BA67</f>
        <v>19937</v>
      </c>
      <c r="E241" s="11">
        <f>data!BB67</f>
        <v>0</v>
      </c>
      <c r="F241" s="11">
        <f>data!BC67</f>
        <v>0</v>
      </c>
      <c r="G241" s="11">
        <f>data!BD67</f>
        <v>119891</v>
      </c>
      <c r="H241" s="11">
        <f>data!BE67</f>
        <v>338035</v>
      </c>
      <c r="I241" s="11">
        <f>data!BF67</f>
        <v>34441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-26</v>
      </c>
      <c r="H242" s="11">
        <f>data!BE68</f>
        <v>-86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147247</v>
      </c>
      <c r="H243" s="11">
        <f>data!BE69</f>
        <v>3837</v>
      </c>
      <c r="I243" s="11">
        <f>data!BF69</f>
        <v>1018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-242046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1180</v>
      </c>
      <c r="C245" s="11">
        <f>data!AZ71</f>
        <v>0</v>
      </c>
      <c r="D245" s="11">
        <f>data!BA71</f>
        <v>368601</v>
      </c>
      <c r="E245" s="11">
        <f>data!BB71</f>
        <v>0</v>
      </c>
      <c r="F245" s="11">
        <f>data!BC71</f>
        <v>0</v>
      </c>
      <c r="G245" s="11">
        <f>data!BD71</f>
        <v>1454667</v>
      </c>
      <c r="H245" s="11">
        <f>data!BE71</f>
        <v>2171400</v>
      </c>
      <c r="I245" s="11">
        <f>data!BF71</f>
        <v>2186001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1186</v>
      </c>
      <c r="C252" s="57">
        <f>data!AZ76</f>
        <v>0</v>
      </c>
      <c r="D252" s="57">
        <f>data!BA76</f>
        <v>1710</v>
      </c>
      <c r="E252" s="57">
        <f>data!BB76</f>
        <v>0</v>
      </c>
      <c r="F252" s="57">
        <f>data!BC76</f>
        <v>0</v>
      </c>
      <c r="G252" s="57">
        <f>data!BD76</f>
        <v>10283</v>
      </c>
      <c r="H252" s="57">
        <f>data!BE76</f>
        <v>28993</v>
      </c>
      <c r="I252" s="57">
        <f>data!BF76</f>
        <v>2954</v>
      </c>
    </row>
    <row r="253" spans="1:9" ht="20.149999999999999" customHeight="1" x14ac:dyDescent="0.35">
      <c r="A253" s="10">
        <v>23</v>
      </c>
      <c r="B253" s="11" t="s">
        <v>1187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237.54675793426546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1219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RCCH Trios Health LLC</v>
      </c>
      <c r="G260" s="8"/>
      <c r="H260" s="55" t="str">
        <f>"FYE: "&amp;data!C82</f>
        <v>FYE: 12/31/2021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49999999999999" customHeight="1" x14ac:dyDescent="0.35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0</v>
      </c>
      <c r="D266" s="17">
        <f>data!BH60</f>
        <v>15.3</v>
      </c>
      <c r="E266" s="17">
        <f>data!BI60</f>
        <v>0</v>
      </c>
      <c r="F266" s="17">
        <f>data!BJ60</f>
        <v>6.61</v>
      </c>
      <c r="G266" s="17">
        <f>data!BK60</f>
        <v>5.0200000000000005</v>
      </c>
      <c r="H266" s="17">
        <f>data!BL60</f>
        <v>19.62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0</v>
      </c>
      <c r="D267" s="11">
        <f>data!BH61</f>
        <v>1283718</v>
      </c>
      <c r="E267" s="11">
        <f>data!BI61</f>
        <v>0</v>
      </c>
      <c r="F267" s="11">
        <f>data!BJ61</f>
        <v>538733</v>
      </c>
      <c r="G267" s="11">
        <f>data!BK61</f>
        <v>234223</v>
      </c>
      <c r="H267" s="11">
        <f>data!BL61</f>
        <v>218620</v>
      </c>
      <c r="I267" s="11">
        <f>data!BM61</f>
        <v>0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0</v>
      </c>
      <c r="D268" s="11">
        <f>data!BH62</f>
        <v>244496</v>
      </c>
      <c r="E268" s="11">
        <f>data!BI62</f>
        <v>0</v>
      </c>
      <c r="F268" s="11">
        <f>data!BJ62</f>
        <v>102607</v>
      </c>
      <c r="G268" s="11">
        <f>data!BK62</f>
        <v>44610</v>
      </c>
      <c r="H268" s="11">
        <f>data!BL62</f>
        <v>41638</v>
      </c>
      <c r="I268" s="11">
        <f>data!BM62</f>
        <v>0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29608</v>
      </c>
      <c r="E269" s="11">
        <f>data!BI63</f>
        <v>0</v>
      </c>
      <c r="F269" s="11">
        <f>data!BJ63</f>
        <v>24648</v>
      </c>
      <c r="G269" s="11">
        <f>data!BK63</f>
        <v>0</v>
      </c>
      <c r="H269" s="11">
        <f>data!BL63</f>
        <v>97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0</v>
      </c>
      <c r="D270" s="11">
        <f>data!BH64</f>
        <v>47558</v>
      </c>
      <c r="E270" s="11">
        <f>data!BI64</f>
        <v>0</v>
      </c>
      <c r="F270" s="11">
        <f>data!BJ64</f>
        <v>5926</v>
      </c>
      <c r="G270" s="11">
        <f>data!BK64</f>
        <v>7388</v>
      </c>
      <c r="H270" s="11">
        <f>data!BL64</f>
        <v>31055</v>
      </c>
      <c r="I270" s="11">
        <f>data!BM64</f>
        <v>0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0</v>
      </c>
      <c r="D271" s="11">
        <f>data!BH65</f>
        <v>346414</v>
      </c>
      <c r="E271" s="11">
        <f>data!BI65</f>
        <v>0</v>
      </c>
      <c r="F271" s="11">
        <f>data!BJ65</f>
        <v>1363</v>
      </c>
      <c r="G271" s="11">
        <f>data!BK65</f>
        <v>0</v>
      </c>
      <c r="H271" s="11">
        <f>data!BL65</f>
        <v>4637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548327</v>
      </c>
      <c r="D272" s="11">
        <f>data!BH66</f>
        <v>1321639</v>
      </c>
      <c r="E272" s="11">
        <f>data!BI66</f>
        <v>0</v>
      </c>
      <c r="F272" s="11">
        <f>data!BJ66</f>
        <v>51237</v>
      </c>
      <c r="G272" s="11">
        <f>data!BK66</f>
        <v>371568</v>
      </c>
      <c r="H272" s="11">
        <f>data!BL66</f>
        <v>52509</v>
      </c>
      <c r="I272" s="11">
        <f>data!BM66</f>
        <v>0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16719</v>
      </c>
      <c r="D273" s="11">
        <f>data!BH67</f>
        <v>66994</v>
      </c>
      <c r="E273" s="11">
        <f>data!BI67</f>
        <v>0</v>
      </c>
      <c r="F273" s="11">
        <f>data!BJ67</f>
        <v>7485</v>
      </c>
      <c r="G273" s="11">
        <f>data!BK67</f>
        <v>47943</v>
      </c>
      <c r="H273" s="11">
        <f>data!BL67</f>
        <v>68276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16</v>
      </c>
      <c r="E274" s="11">
        <f>data!BI68</f>
        <v>0</v>
      </c>
      <c r="F274" s="11">
        <f>data!BJ68</f>
        <v>0</v>
      </c>
      <c r="G274" s="11">
        <f>data!BK68</f>
        <v>-1349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0</v>
      </c>
      <c r="D275" s="11">
        <f>data!BH69</f>
        <v>1323</v>
      </c>
      <c r="E275" s="11">
        <f>data!BI69</f>
        <v>0</v>
      </c>
      <c r="F275" s="11">
        <f>data!BJ69</f>
        <v>695</v>
      </c>
      <c r="G275" s="11">
        <f>data!BK69</f>
        <v>9537</v>
      </c>
      <c r="H275" s="11">
        <f>data!BL69</f>
        <v>151155</v>
      </c>
      <c r="I275" s="11">
        <f>data!BM69</f>
        <v>0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1180</v>
      </c>
      <c r="C277" s="11">
        <f>data!BG71</f>
        <v>565046</v>
      </c>
      <c r="D277" s="11">
        <f>data!BH71</f>
        <v>3341766</v>
      </c>
      <c r="E277" s="11">
        <f>data!BI71</f>
        <v>0</v>
      </c>
      <c r="F277" s="11">
        <f>data!BJ71</f>
        <v>732694</v>
      </c>
      <c r="G277" s="11">
        <f>data!BK71</f>
        <v>713920</v>
      </c>
      <c r="H277" s="11">
        <f>data!BL71</f>
        <v>567987</v>
      </c>
      <c r="I277" s="11">
        <f>data!BM71</f>
        <v>0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1186</v>
      </c>
      <c r="C284" s="57">
        <f>data!BG76</f>
        <v>1434</v>
      </c>
      <c r="D284" s="57">
        <f>data!BH76</f>
        <v>5746</v>
      </c>
      <c r="E284" s="57">
        <f>data!BI76</f>
        <v>0</v>
      </c>
      <c r="F284" s="57">
        <f>data!BJ76</f>
        <v>642</v>
      </c>
      <c r="G284" s="57">
        <f>data!BK76</f>
        <v>4112</v>
      </c>
      <c r="H284" s="57">
        <f>data!BL76</f>
        <v>5856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798.21267315221598</v>
      </c>
      <c r="E286" s="57">
        <f>data!BI78</f>
        <v>0</v>
      </c>
      <c r="F286" s="164" t="str">
        <f>IF(data!BJ78&gt;0,data!BJ78,"")</f>
        <v>x</v>
      </c>
      <c r="G286" s="57">
        <f>data!BK78</f>
        <v>571.22354890391784</v>
      </c>
      <c r="H286" s="57">
        <f>data!BL78</f>
        <v>813.49345875032668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1223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RCCH Trios Health LLC</v>
      </c>
      <c r="G292" s="8"/>
      <c r="H292" s="55" t="str">
        <f>"FYE: "&amp;data!C82</f>
        <v>FYE: 12/31/2021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5.99</v>
      </c>
      <c r="D298" s="17">
        <f>data!BO60</f>
        <v>1.07</v>
      </c>
      <c r="E298" s="17">
        <f>data!BP60</f>
        <v>1.5</v>
      </c>
      <c r="F298" s="17">
        <f>data!BQ60</f>
        <v>0</v>
      </c>
      <c r="G298" s="17">
        <f>data!BR60</f>
        <v>6.0100000000000007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895831</v>
      </c>
      <c r="D299" s="11">
        <f>data!BO61</f>
        <v>106742</v>
      </c>
      <c r="E299" s="11">
        <f>data!BP61</f>
        <v>108562</v>
      </c>
      <c r="F299" s="11">
        <f>data!BQ61</f>
        <v>0</v>
      </c>
      <c r="G299" s="11">
        <f>data!BR61</f>
        <v>364241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170619</v>
      </c>
      <c r="D300" s="11">
        <f>data!BO62</f>
        <v>20330</v>
      </c>
      <c r="E300" s="11">
        <f>data!BP62</f>
        <v>20677</v>
      </c>
      <c r="F300" s="11">
        <f>data!BQ62</f>
        <v>0</v>
      </c>
      <c r="G300" s="11">
        <f>data!BR62</f>
        <v>69373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2910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13204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136404</v>
      </c>
      <c r="D302" s="11">
        <f>data!BO64</f>
        <v>5925</v>
      </c>
      <c r="E302" s="11">
        <f>data!BP64</f>
        <v>5548</v>
      </c>
      <c r="F302" s="11">
        <f>data!BQ64</f>
        <v>0</v>
      </c>
      <c r="G302" s="11">
        <f>data!BR64</f>
        <v>24374</v>
      </c>
      <c r="H302" s="11">
        <f>data!BS64</f>
        <v>17230</v>
      </c>
      <c r="I302" s="11">
        <f>data!BT64</f>
        <v>1194</v>
      </c>
    </row>
    <row r="303" spans="1:9" ht="20.149999999999999" customHeight="1" x14ac:dyDescent="0.35">
      <c r="A303" s="10">
        <v>10</v>
      </c>
      <c r="B303" s="11" t="s">
        <v>444</v>
      </c>
      <c r="C303" s="11">
        <f>data!BN65</f>
        <v>0</v>
      </c>
      <c r="D303" s="11">
        <f>data!BO65</f>
        <v>0</v>
      </c>
      <c r="E303" s="11">
        <f>data!BP65</f>
        <v>1282642</v>
      </c>
      <c r="F303" s="11">
        <f>data!BQ65</f>
        <v>0</v>
      </c>
      <c r="G303" s="11">
        <f>data!BR65</f>
        <v>10009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data!BN66</f>
        <v>648700</v>
      </c>
      <c r="D304" s="11">
        <f>data!BO66</f>
        <v>314327</v>
      </c>
      <c r="E304" s="11">
        <f>data!BP66</f>
        <v>-49224</v>
      </c>
      <c r="F304" s="11">
        <f>data!BQ66</f>
        <v>0</v>
      </c>
      <c r="G304" s="11">
        <f>data!BR66</f>
        <v>127512</v>
      </c>
      <c r="H304" s="11">
        <f>data!BS66</f>
        <v>0</v>
      </c>
      <c r="I304" s="11">
        <f>data!BT66</f>
        <v>64240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19949</v>
      </c>
      <c r="D305" s="11">
        <f>data!BO67</f>
        <v>2880</v>
      </c>
      <c r="E305" s="11">
        <f>data!BP67</f>
        <v>3031</v>
      </c>
      <c r="F305" s="11">
        <f>data!BQ67</f>
        <v>0</v>
      </c>
      <c r="G305" s="11">
        <f>data!BR67</f>
        <v>21919</v>
      </c>
      <c r="H305" s="11">
        <f>data!BS67</f>
        <v>6762</v>
      </c>
      <c r="I305" s="11">
        <f>data!BT67</f>
        <v>10062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-865144</v>
      </c>
      <c r="D306" s="11">
        <f>data!BO68</f>
        <v>-2</v>
      </c>
      <c r="E306" s="11">
        <f>data!BP68</f>
        <v>-149</v>
      </c>
      <c r="F306" s="11">
        <f>data!BQ68</f>
        <v>0</v>
      </c>
      <c r="G306" s="11">
        <f>data!BR68</f>
        <v>-93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848679</v>
      </c>
      <c r="D307" s="11">
        <f>data!BO69</f>
        <v>200</v>
      </c>
      <c r="E307" s="11">
        <f>data!BP69</f>
        <v>187297</v>
      </c>
      <c r="F307" s="11">
        <f>data!BQ69</f>
        <v>0</v>
      </c>
      <c r="G307" s="11">
        <f>data!BR69</f>
        <v>0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0</v>
      </c>
      <c r="D308" s="11">
        <f>-data!BO70</f>
        <v>0</v>
      </c>
      <c r="E308" s="11">
        <f>-data!BP70</f>
        <v>-5289</v>
      </c>
      <c r="F308" s="11">
        <f>-data!BQ70</f>
        <v>-660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1180</v>
      </c>
      <c r="C309" s="11">
        <f>data!BN71</f>
        <v>1857948</v>
      </c>
      <c r="D309" s="11">
        <f>data!BO71</f>
        <v>450402</v>
      </c>
      <c r="E309" s="11">
        <f>data!BP71</f>
        <v>1553095</v>
      </c>
      <c r="F309" s="11">
        <f>data!BQ71</f>
        <v>-660</v>
      </c>
      <c r="G309" s="11">
        <f>data!BR71</f>
        <v>630539</v>
      </c>
      <c r="H309" s="11">
        <f>data!BS71</f>
        <v>23992</v>
      </c>
      <c r="I309" s="11">
        <f>data!BT71</f>
        <v>75496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1186</v>
      </c>
      <c r="C316" s="57">
        <f>data!BN76</f>
        <v>1711</v>
      </c>
      <c r="D316" s="57">
        <f>data!BO76</f>
        <v>247</v>
      </c>
      <c r="E316" s="57">
        <f>data!BP76</f>
        <v>260</v>
      </c>
      <c r="F316" s="57">
        <f>data!BQ76</f>
        <v>0</v>
      </c>
      <c r="G316" s="57">
        <f>data!BR76</f>
        <v>1880</v>
      </c>
      <c r="H316" s="57">
        <f>data!BS76</f>
        <v>580</v>
      </c>
      <c r="I316" s="57">
        <f>data!BT76</f>
        <v>863</v>
      </c>
    </row>
    <row r="317" spans="1:9" ht="20.149999999999999" customHeight="1" x14ac:dyDescent="0.35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80.571414971856115</v>
      </c>
      <c r="I318" s="57">
        <f>data!BT78</f>
        <v>119.8847088288135</v>
      </c>
    </row>
    <row r="319" spans="1:9" ht="20.149999999999999" customHeight="1" x14ac:dyDescent="0.35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1225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RCCH Trios Health LLC</v>
      </c>
      <c r="G324" s="8"/>
      <c r="H324" s="55" t="str">
        <f>"FYE: "&amp;data!C82</f>
        <v>FYE: 12/31/2021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0</v>
      </c>
      <c r="D330" s="17">
        <f>data!BV60</f>
        <v>5.21</v>
      </c>
      <c r="E330" s="17">
        <f>data!BW60</f>
        <v>2.12</v>
      </c>
      <c r="F330" s="17">
        <f>data!BX60</f>
        <v>12.360000000000001</v>
      </c>
      <c r="G330" s="17">
        <f>data!BY60</f>
        <v>6.75</v>
      </c>
      <c r="H330" s="17">
        <f>data!BZ60</f>
        <v>0</v>
      </c>
      <c r="I330" s="17">
        <f>data!CA60</f>
        <v>2.44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0</v>
      </c>
      <c r="D331" s="58">
        <f>data!BV61</f>
        <v>366726</v>
      </c>
      <c r="E331" s="58">
        <f>data!BW61</f>
        <v>120352</v>
      </c>
      <c r="F331" s="58">
        <f>data!BX61</f>
        <v>1062044</v>
      </c>
      <c r="G331" s="58">
        <f>data!BY61</f>
        <v>820861</v>
      </c>
      <c r="H331" s="58">
        <f>data!BZ61</f>
        <v>0</v>
      </c>
      <c r="I331" s="58">
        <f>data!CA61</f>
        <v>206038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0</v>
      </c>
      <c r="D332" s="58">
        <f>data!BV62</f>
        <v>69846</v>
      </c>
      <c r="E332" s="58">
        <f>data!BW62</f>
        <v>22922</v>
      </c>
      <c r="F332" s="58">
        <f>data!BX62</f>
        <v>202276</v>
      </c>
      <c r="G332" s="58">
        <f>data!BY62</f>
        <v>156341</v>
      </c>
      <c r="H332" s="58">
        <f>data!BZ62</f>
        <v>0</v>
      </c>
      <c r="I332" s="58">
        <f>data!CA62</f>
        <v>39242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-640</v>
      </c>
      <c r="E333" s="58">
        <f>data!BW63</f>
        <v>0</v>
      </c>
      <c r="F333" s="58">
        <f>data!BX63</f>
        <v>0</v>
      </c>
      <c r="G333" s="58">
        <f>data!BY63</f>
        <v>18312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0</v>
      </c>
      <c r="D334" s="58">
        <f>data!BV64</f>
        <v>0</v>
      </c>
      <c r="E334" s="58">
        <f>data!BW64</f>
        <v>68443</v>
      </c>
      <c r="F334" s="58">
        <f>data!BX64</f>
        <v>25022</v>
      </c>
      <c r="G334" s="58">
        <f>data!BY64</f>
        <v>55707</v>
      </c>
      <c r="H334" s="58">
        <f>data!BZ64</f>
        <v>0</v>
      </c>
      <c r="I334" s="58">
        <f>data!CA64</f>
        <v>3222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966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631897</v>
      </c>
      <c r="E336" s="58">
        <f>data!BW66</f>
        <v>125447</v>
      </c>
      <c r="F336" s="58">
        <f>data!BX66</f>
        <v>354037</v>
      </c>
      <c r="G336" s="58">
        <f>data!BY66</f>
        <v>10802</v>
      </c>
      <c r="H336" s="58">
        <f>data!BZ66</f>
        <v>0</v>
      </c>
      <c r="I336" s="58">
        <f>data!CA66</f>
        <v>59021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0</v>
      </c>
      <c r="D337" s="58">
        <f>data!BV67</f>
        <v>8255</v>
      </c>
      <c r="E337" s="58">
        <f>data!BW67</f>
        <v>95804</v>
      </c>
      <c r="F337" s="58">
        <f>data!BX67</f>
        <v>6203</v>
      </c>
      <c r="G337" s="58">
        <f>data!BY67</f>
        <v>10295</v>
      </c>
      <c r="H337" s="58">
        <f>data!BZ67</f>
        <v>0</v>
      </c>
      <c r="I337" s="58">
        <f>data!CA67</f>
        <v>2938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-111</v>
      </c>
      <c r="E338" s="58">
        <f>data!BW68</f>
        <v>0</v>
      </c>
      <c r="F338" s="58">
        <f>data!BX68</f>
        <v>-230</v>
      </c>
      <c r="G338" s="58">
        <f>data!BY68</f>
        <v>157</v>
      </c>
      <c r="H338" s="58">
        <f>data!BZ68</f>
        <v>0</v>
      </c>
      <c r="I338" s="58">
        <f>data!CA68</f>
        <v>-19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0</v>
      </c>
      <c r="D339" s="58">
        <f>data!BV69</f>
        <v>0</v>
      </c>
      <c r="E339" s="58">
        <f>data!BW69</f>
        <v>0</v>
      </c>
      <c r="F339" s="58">
        <f>data!BX69</f>
        <v>1905</v>
      </c>
      <c r="G339" s="58">
        <f>data!BY69</f>
        <v>0</v>
      </c>
      <c r="H339" s="58">
        <f>data!BZ69</f>
        <v>0</v>
      </c>
      <c r="I339" s="58">
        <f>data!CA69</f>
        <v>40703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-17375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-3450</v>
      </c>
    </row>
    <row r="341" spans="1:9" ht="20.149999999999999" customHeight="1" x14ac:dyDescent="0.35">
      <c r="A341" s="10">
        <v>16</v>
      </c>
      <c r="B341" s="37" t="s">
        <v>1180</v>
      </c>
      <c r="C341" s="11">
        <f>data!BU71</f>
        <v>0</v>
      </c>
      <c r="D341" s="11">
        <f>data!BV71</f>
        <v>1075973</v>
      </c>
      <c r="E341" s="11">
        <f>data!BW71</f>
        <v>415593</v>
      </c>
      <c r="F341" s="11">
        <f>data!BX71</f>
        <v>1651257</v>
      </c>
      <c r="G341" s="11">
        <f>data!BY71</f>
        <v>1073441</v>
      </c>
      <c r="H341" s="11">
        <f>data!BZ71</f>
        <v>0</v>
      </c>
      <c r="I341" s="11">
        <f>data!CA71</f>
        <v>347695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1186</v>
      </c>
      <c r="C348" s="57">
        <f>data!BU76</f>
        <v>0</v>
      </c>
      <c r="D348" s="57">
        <f>data!BV76</f>
        <v>708</v>
      </c>
      <c r="E348" s="57">
        <f>data!BW76</f>
        <v>8217</v>
      </c>
      <c r="F348" s="57">
        <f>data!BX76</f>
        <v>532</v>
      </c>
      <c r="G348" s="57">
        <f>data!BY76</f>
        <v>883</v>
      </c>
      <c r="H348" s="57">
        <f>data!BZ76</f>
        <v>0</v>
      </c>
      <c r="I348" s="57">
        <f>data!CA76</f>
        <v>252</v>
      </c>
    </row>
    <row r="349" spans="1:9" ht="20.149999999999999" customHeight="1" x14ac:dyDescent="0.35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1188</v>
      </c>
      <c r="C350" s="57">
        <f>data!BU78</f>
        <v>0</v>
      </c>
      <c r="D350" s="57">
        <f>data!BV78</f>
        <v>98.352692758748503</v>
      </c>
      <c r="E350" s="57">
        <f>data!BW78</f>
        <v>1141.4746841788651</v>
      </c>
      <c r="F350" s="57">
        <f>data!BX78</f>
        <v>73.903435801771479</v>
      </c>
      <c r="G350" s="57">
        <f>data!BY78</f>
        <v>122.66303348301544</v>
      </c>
      <c r="H350" s="57">
        <f>data!BZ78</f>
        <v>0</v>
      </c>
      <c r="I350" s="57">
        <f>data!CA78</f>
        <v>35.006890642944384</v>
      </c>
    </row>
    <row r="351" spans="1:9" ht="20.149999999999999" customHeight="1" x14ac:dyDescent="0.35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1226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RCCH Trios Health LLC</v>
      </c>
      <c r="G356" s="8"/>
      <c r="H356" s="55" t="str">
        <f>"FYE: "&amp;data!C82</f>
        <v>FYE: 12/31/2021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4.16</v>
      </c>
      <c r="E362" s="167"/>
      <c r="F362" s="162"/>
      <c r="G362" s="162"/>
      <c r="H362" s="162"/>
      <c r="I362" s="59">
        <f>data!CE60</f>
        <v>766.06999999999994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575412</v>
      </c>
      <c r="E363" s="168"/>
      <c r="F363" s="168"/>
      <c r="G363" s="168"/>
      <c r="H363" s="168"/>
      <c r="I363" s="58">
        <f>data!CE61</f>
        <v>73357192.25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109593</v>
      </c>
      <c r="E364" s="168"/>
      <c r="F364" s="168"/>
      <c r="G364" s="168"/>
      <c r="H364" s="168"/>
      <c r="I364" s="58">
        <f>data!CE62</f>
        <v>13971563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126657</v>
      </c>
      <c r="E365" s="168"/>
      <c r="F365" s="168"/>
      <c r="G365" s="168"/>
      <c r="H365" s="168"/>
      <c r="I365" s="58">
        <f>data!CE63</f>
        <v>12377772.310000001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671436</v>
      </c>
      <c r="E366" s="168"/>
      <c r="F366" s="168"/>
      <c r="G366" s="168"/>
      <c r="H366" s="168"/>
      <c r="I366" s="58">
        <f>data!CE64</f>
        <v>34200152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>
        <f>data!CC65</f>
        <v>828</v>
      </c>
      <c r="E367" s="168"/>
      <c r="F367" s="168"/>
      <c r="G367" s="168"/>
      <c r="H367" s="168"/>
      <c r="I367" s="58">
        <f>data!CE65</f>
        <v>2309697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146562</v>
      </c>
      <c r="D368" s="58">
        <f>data!CC66</f>
        <v>2466179</v>
      </c>
      <c r="E368" s="168"/>
      <c r="F368" s="168"/>
      <c r="G368" s="168"/>
      <c r="H368" s="168"/>
      <c r="I368" s="58">
        <f>data!CE66</f>
        <v>16251996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3603</v>
      </c>
      <c r="D369" s="58">
        <f>data!CC67</f>
        <v>1265080</v>
      </c>
      <c r="E369" s="168"/>
      <c r="F369" s="168"/>
      <c r="G369" s="168"/>
      <c r="H369" s="168"/>
      <c r="I369" s="58">
        <f>data!CE67</f>
        <v>5756294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-417432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662</v>
      </c>
      <c r="D371" s="58">
        <f>data!CC69</f>
        <v>-139925</v>
      </c>
      <c r="E371" s="58">
        <f>data!CD69</f>
        <v>12400690</v>
      </c>
      <c r="F371" s="168"/>
      <c r="G371" s="168"/>
      <c r="H371" s="168"/>
      <c r="I371" s="58">
        <f>data!CE69</f>
        <v>14082300.640000001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6">
        <f>data!CD70</f>
        <v>283996</v>
      </c>
      <c r="F372" s="162"/>
      <c r="G372" s="162"/>
      <c r="H372" s="162"/>
      <c r="I372" s="11">
        <f>-data!CE70</f>
        <v>-1689480</v>
      </c>
    </row>
    <row r="373" spans="1:9" ht="20.149999999999999" customHeight="1" x14ac:dyDescent="0.35">
      <c r="A373" s="10">
        <v>16</v>
      </c>
      <c r="B373" s="37" t="s">
        <v>1180</v>
      </c>
      <c r="C373" s="58">
        <f>data!CB71</f>
        <v>150827</v>
      </c>
      <c r="D373" s="58">
        <f>data!CC71</f>
        <v>5075260</v>
      </c>
      <c r="E373" s="58">
        <f>data!CD71</f>
        <v>12116694</v>
      </c>
      <c r="F373" s="168"/>
      <c r="G373" s="168"/>
      <c r="H373" s="168"/>
      <c r="I373" s="11">
        <f>data!CE71</f>
        <v>170200055.19999999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0</v>
      </c>
    </row>
    <row r="375" spans="1:9" ht="20.149999999999999" customHeight="1" x14ac:dyDescent="0.35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215234725</v>
      </c>
    </row>
    <row r="377" spans="1:9" ht="20.149999999999999" customHeight="1" x14ac:dyDescent="0.35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385998161</v>
      </c>
    </row>
    <row r="378" spans="1:9" ht="20.149999999999999" customHeight="1" x14ac:dyDescent="0.35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601232886</v>
      </c>
    </row>
    <row r="379" spans="1:9" ht="20.149999999999999" customHeight="1" x14ac:dyDescent="0.35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1186</v>
      </c>
      <c r="C380" s="57">
        <f>data!CB76</f>
        <v>309</v>
      </c>
      <c r="D380" s="57">
        <f>data!CC76</f>
        <v>108505</v>
      </c>
      <c r="E380" s="162"/>
      <c r="F380" s="162"/>
      <c r="G380" s="162"/>
      <c r="H380" s="162"/>
      <c r="I380" s="11">
        <f>data!CE76</f>
        <v>493713</v>
      </c>
    </row>
    <row r="381" spans="1:9" ht="20.149999999999999" customHeight="1" x14ac:dyDescent="0.35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56341</v>
      </c>
    </row>
    <row r="382" spans="1:9" ht="20.149999999999999" customHeight="1" x14ac:dyDescent="0.35">
      <c r="A382" s="10">
        <v>24</v>
      </c>
      <c r="B382" s="11" t="s">
        <v>1188</v>
      </c>
      <c r="C382" s="11">
        <f>IF(data!CB78&gt;0,data!CB78,"")</f>
        <v>42.925115907419901</v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45342.95293773913</v>
      </c>
    </row>
    <row r="383" spans="1:9" ht="20.149999999999999" customHeight="1" x14ac:dyDescent="0.35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504499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186.70000250000001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Qaulity Assurance, Community Health Systems</dc:creator>
  <cp:keywords>Hospital Year End Report</cp:keywords>
  <cp:lastModifiedBy>Baranowski, Carrie (DOH)</cp:lastModifiedBy>
  <cp:lastPrinted>2022-09-02T22:12:55Z</cp:lastPrinted>
  <dcterms:created xsi:type="dcterms:W3CDTF">1999-06-02T22:01:56Z</dcterms:created>
  <dcterms:modified xsi:type="dcterms:W3CDTF">2022-09-27T16:21:08Z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2022-09-27T16:06:14Z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0e66ff64-2dee-4eef-8edf-c6ea652ae87c</vt:lpwstr>
  </property>
  <property fmtid="{D5CDD505-2E9C-101B-9397-08002B2CF9AE}" pid="8" name="MSIP_Label_1520fa42-cf58-4c22-8b93-58cf1d3bd1cb_ContentBits">
    <vt:lpwstr>0</vt:lpwstr>
  </property>
</Properties>
</file>