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CDCC4A16-2EA1-4F50-B280-CAE8F21BD65A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<sst xmlns="http://schemas.openxmlformats.org/spreadsheetml/2006/main" count="1376" uniqueCount="1376">
  <si>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</si>
  <si>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</si>
  <si>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</si>
  <si>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</si>
  <si>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</si>
  <si>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</si>
  <si>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</si>
  <si>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</si>
  <si>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</si>
  <si>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</si>
  <si>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</si>
  <si>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</si>
  <si>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</si>
  <si>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</si>
  <si>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</si>
  <si>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</si>
  <si>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</si>
  <si>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</si>
  <si>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</si>
  <si>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</si>
  <si>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</si>
  <si>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</si>
  <si>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</si>
  <si>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</si>
  <si>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</si>
  <si>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</si>
  <si>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</si>
  <si>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</si>
  <si>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</si>
  <si>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</si>
  <si>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</si>
  <si>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</si>
  <si>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</si>
  <si>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</si>
  <si>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</si>
  <si>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</si>
  <si>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</si>
  <si>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</si>
  <si>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</si>
  <si>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</si>
  <si>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</si>
  <si>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</si>
  <si>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</si>
  <si>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</si>
  <si>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</si>
  <si>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</si>
  <si>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</si>
  <si>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</si>
  <si>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</si>
  <si>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</si>
  <si>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</si>
  <si>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</si>
  <si>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</si>
  <si>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</si>
  <si>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</si>
  <si>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</si>
  <si>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</si>
  <si>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</si>
  <si>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</si>
  <si>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</si>
  <si>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</si>
  <si>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</si>
  <si>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</si>
  <si>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</si>
  <si>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</si>
  <si>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</si>
  <si>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</si>
  <si>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</si>
  <si>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</si>
  <si>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</si>
  <si>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</si>
  <si>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</si>
  <si>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</si>
  <si>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</si>
  <si>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</si>
  <si>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</si>
  <si>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</si>
  <si>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</si>
  <si>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</si>
  <si>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</si>
  <si>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</si>
  <si>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</si>
  <si>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</si>
  <si>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</si>
  <si>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</si>
  <si>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</si>
  <si>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</si>
  <si>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</si>
  <si>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</si>
  <si>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</si>
  <si>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</si>
  <si>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</si>
  <si>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</si>
  <si>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</si>
  <si>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</si>
  <si>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</si>
  <si>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</si>
  <si>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</si>
  <si>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</si>
  <si>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</si>
  <si>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</si>
  <si>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</si>
  <si>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</si>
  <si>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</si>
  <si>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</si>
  <si>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</si>
  <si>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</si>
  <si>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</si>
  <si>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</si>
  <si>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</si>
  <si>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</si>
  <si>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</si>
  <si>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</si>
  <si>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</si>
  <si>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</si>
  <si>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</si>
  <si>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</si>
  <si>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</si>
  <si>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</si>
  <si>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</si>
  <si>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</si>
  <si>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</si>
  <si>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</si>
  <si>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</si>
  <si>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</si>
  <si>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</si>
  <si>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</si>
  <si>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</si>
  <si>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</si>
  <si>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</si>
  <si>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</si>
  <si>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</si>
  <si>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</si>
  <si>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</si>
  <si>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</si>
  <si>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</si>
  <si>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</si>
  <si>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</si>
  <si>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</si>
  <si>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</si>
  <si>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</si>
  <si>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</si>
  <si>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</si>
  <si>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</si>
  <si>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</si>
  <si>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</si>
  <si>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</si>
  <si>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</si>
  <si>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</si>
  <si>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</si>
  <si>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</si>
  <si>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</si>
  <si>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</si>
  <si>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</si>
  <si>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</si>
  <si>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</si>
  <si>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</si>
  <si>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</si>
  <si>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</si>
  <si>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</si>
  <si>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</si>
  <si>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</si>
  <si>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</si>
  <si>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</si>
  <si>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</si>
  <si>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</si>
  <si>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</si>
  <si>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</si>
  <si>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</si>
  <si>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</si>
  <si>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</si>
  <si>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</si>
  <si>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</si>
  <si>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</si>
  <si>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</si>
  <si>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</si>
  <si>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</si>
  <si>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</si>
  <si>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</si>
  <si>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</si>
  <si>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</si>
  <si>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</si>
  <si>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</si>
  <si>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</si>
  <si>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</si>
  <si>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</si>
  <si>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</si>
  <si>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</si>
  <si>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</si>
  <si>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</si>
  <si>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</si>
  <si>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</si>
  <si>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</si>
  <si>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</si>
  <si>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</si>
  <si>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</si>
  <si>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</si>
  <si>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</si>
  <si>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</si>
  <si>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</si>
  <si>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</si>
  <si>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</si>
  <si>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</si>
  <si>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</si>
  <si>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</si>
  <si>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</si>
  <si>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</si>
  <si>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</si>
  <si>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</si>
  <si>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</si>
  <si>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</si>
  <si>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</si>
  <si>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</si>
  <si>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</si>
  <si>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</si>
  <si>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</si>
  <si>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</si>
  <si>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</si>
  <si>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</si>
  <si>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</si>
  <si>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</si>
  <si>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</si>
  <si>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</si>
  <si>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</si>
  <si>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</si>
  <si>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</si>
  <si>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</si>
  <si>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</si>
  <si>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</si>
  <si>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</si>
  <si>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</si>
  <si>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</si>
  <si>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</si>
  <si>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</si>
  <si>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</si>
  <si>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</si>
  <si>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</si>
  <si>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</si>
  <si>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</si>
  <si>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</si>
  <si>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</si>
  <si>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</si>
  <si>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</si>
  <si>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</si>
  <si>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</si>
  <si>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</si>
  <si>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</si>
  <si>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</si>
  <si>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</si>
  <si>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</si>
  <si>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</si>
  <si>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</si>
  <si>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</si>
  <si>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</si>
  <si>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</si>
  <si>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</si>
  <si>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</si>
  <si>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</si>
  <si>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</si>
  <si>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</si>
  <si>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</si>
  <si>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</si>
  <si>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</si>
  <si>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</si>
  <si>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</si>
  <si>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</si>
  <si>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</si>
  <si>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</si>
  <si>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</si>
  <si>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</si>
  <si>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</si>
  <si>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</si>
  <si>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</si>
  <si>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</si>
  <si>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</si>
  <si>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</si>
  <si>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</si>
  <si>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</si>
  <si>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</si>
  <si>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</si>
  <si>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</si>
  <si>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</si>
  <si>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</si>
  <si>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</si>
  <si>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</si>
  <si>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</si>
  <si>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</si>
  <si>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</si>
  <si>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</si>
  <si>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</si>
  <si>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</si>
  <si>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</si>
  <si>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</si>
  <si>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</si>
  <si>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</si>
  <si>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</si>
  <si>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</si>
  <si>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</si>
  <si>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</si>
  <si>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</si>
  <si>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206</t>
  </si>
  <si>
    <t>Hospital Name</t>
  </si>
  <si>
    <t>PeaceHealth United General Medical Center</t>
  </si>
  <si>
    <t>Mailing Address</t>
  </si>
  <si>
    <t>2000 Hospital Drive</t>
  </si>
  <si>
    <t>City</t>
  </si>
  <si>
    <t>Sedro-Woolley</t>
  </si>
  <si>
    <t>State</t>
  </si>
  <si>
    <t>WA</t>
  </si>
  <si>
    <t>Zip</t>
  </si>
  <si>
    <t>County</t>
  </si>
  <si>
    <t>Skagit</t>
  </si>
  <si>
    <t>Chief Executive Officer</t>
  </si>
  <si>
    <t>Charles Prosper</t>
  </si>
  <si>
    <t>Chief Financial Officer</t>
  </si>
  <si>
    <t>Krista Touros</t>
  </si>
  <si>
    <t>Chair of Governing Board</t>
  </si>
  <si>
    <t>N/A</t>
  </si>
  <si>
    <t>Telephone Number</t>
  </si>
  <si>
    <t>360-856-6021</t>
  </si>
  <si>
    <t>Facsimile Number</t>
  </si>
  <si>
    <t>360-856-7204</t>
  </si>
  <si>
    <t>Name of Submitter</t>
  </si>
  <si>
    <t>Nichole Reeves</t>
  </si>
  <si>
    <t>Email of Submitter</t>
  </si>
  <si>
    <t>NReeves@peacehealth.org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</si>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</sst>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NReeves@peacehealth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88" transitionEvaluation="1" transitionEntry="1" codeName="Sheet1">
    <tabColor rgb="FF92D050"/>
    <pageSetUpPr autoPageBreaks="0" fitToPage="1"/>
  </sheetPr>
  <dimension ref="A1:CF716"/>
  <sheetViews>
    <sheetView tabSelected="1" topLeftCell="A388" zoomScaleNormal="100" workbookViewId="0">
      <selection activeCell="G412" sqref="G412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7575571.75</v>
      </c>
      <c r="C47" s="24">
        <v>0</v>
      </c>
      <c r="D47" s="24">
        <v>0</v>
      </c>
      <c r="E47" s="24">
        <v>892670.85</v>
      </c>
      <c r="F47" s="24">
        <v>0</v>
      </c>
      <c r="G47" s="24">
        <v>360708.93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10389.57</v>
      </c>
      <c r="N47" s="24">
        <v>0</v>
      </c>
      <c r="O47" s="24">
        <v>0</v>
      </c>
      <c r="P47" s="24">
        <v>232910.38</v>
      </c>
      <c r="Q47" s="24">
        <v>88471.26</v>
      </c>
      <c r="R47" s="24">
        <v>0</v>
      </c>
      <c r="S47" s="24">
        <v>44624.39</v>
      </c>
      <c r="T47" s="24">
        <v>219900.63</v>
      </c>
      <c r="U47" s="24">
        <v>224419.68</v>
      </c>
      <c r="V47" s="24">
        <v>0</v>
      </c>
      <c r="W47" s="24">
        <v>0</v>
      </c>
      <c r="X47" s="24">
        <v>96457.63</v>
      </c>
      <c r="Y47" s="24">
        <v>274698.59</v>
      </c>
      <c r="Z47" s="24">
        <v>219383.9</v>
      </c>
      <c r="AA47" s="24">
        <v>36007.62</v>
      </c>
      <c r="AB47" s="24">
        <v>220433.8</v>
      </c>
      <c r="AC47" s="24">
        <v>228150.79</v>
      </c>
      <c r="AD47" s="24">
        <v>0</v>
      </c>
      <c r="AE47" s="24">
        <v>256775.56</v>
      </c>
      <c r="AF47" s="24">
        <v>0</v>
      </c>
      <c r="AG47" s="24">
        <v>656741.13</v>
      </c>
      <c r="AH47" s="24">
        <v>0</v>
      </c>
      <c r="AI47" s="24">
        <v>110779.1</v>
      </c>
      <c r="AJ47" s="24">
        <v>1765903.69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85.7</v>
      </c>
      <c r="AW47" s="24">
        <v>0</v>
      </c>
      <c r="AX47" s="24">
        <v>0</v>
      </c>
      <c r="AY47" s="24">
        <v>201701.23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155057.42</v>
      </c>
      <c r="BF47" s="24">
        <v>231688.71</v>
      </c>
      <c r="BG47" s="24">
        <v>-5.9E-14</v>
      </c>
      <c r="BH47" s="24">
        <v>0</v>
      </c>
      <c r="BI47" s="24">
        <v>0</v>
      </c>
      <c r="BJ47" s="24">
        <v>0</v>
      </c>
      <c r="BK47" s="24">
        <v>0</v>
      </c>
      <c r="BL47" s="24">
        <v>44628.45</v>
      </c>
      <c r="BM47" s="24">
        <v>0</v>
      </c>
      <c r="BN47" s="24">
        <v>469798.98</v>
      </c>
      <c r="BO47" s="24">
        <v>0</v>
      </c>
      <c r="BP47" s="24">
        <v>0</v>
      </c>
      <c r="BQ47" s="24">
        <v>0</v>
      </c>
      <c r="BR47" s="24">
        <v>2333.06</v>
      </c>
      <c r="BS47" s="24">
        <v>19810.78</v>
      </c>
      <c r="BT47" s="24">
        <v>21991.17</v>
      </c>
      <c r="BU47" s="24">
        <v>0</v>
      </c>
      <c r="BV47" s="24">
        <v>0</v>
      </c>
      <c r="BW47" s="24">
        <v>6913.5</v>
      </c>
      <c r="BX47" s="24">
        <v>124716.91</v>
      </c>
      <c r="BY47" s="24">
        <v>267138.47</v>
      </c>
      <c r="BZ47" s="24">
        <v>90279.87</v>
      </c>
      <c r="CA47" s="24">
        <v>0</v>
      </c>
      <c r="CB47" s="24">
        <v>0</v>
      </c>
      <c r="CC47" s="24">
        <v>0</v>
      </c>
      <c r="CD47" s="20"/>
      <c r="CE47" s="32">
        <f>SUM(C47:CC47)</f>
        <v>7575571.75</v>
      </c>
    </row>
    <row r="48">
      <c r="A48" s="32" t="s">
        <v>232</v>
      </c>
      <c r="B48" s="312">
        <v>186913.88</v>
      </c>
      <c r="C48" s="32">
        <f>IF($B$48,(ROUND((($B$48/$CE$61)*C61),0)))</f>
        <v>0</v>
      </c>
      <c r="D48" s="32">
        <f ref="D48:BO48" t="shared" si="0">IF($B$48,(ROUND((($B$48/$CE$61)*D61),0)))</f>
        <v>0</v>
      </c>
      <c r="E48" s="32">
        <f t="shared" si="0"/>
        <v>35034</v>
      </c>
      <c r="F48" s="32">
        <f t="shared" si="0"/>
        <v>0</v>
      </c>
      <c r="G48" s="32">
        <f t="shared" si="0"/>
        <v>9730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175</v>
      </c>
      <c r="N48" s="32">
        <f t="shared" si="0"/>
        <v>0</v>
      </c>
      <c r="O48" s="32">
        <f t="shared" si="0"/>
        <v>0</v>
      </c>
      <c r="P48" s="32">
        <f t="shared" si="0"/>
        <v>4336</v>
      </c>
      <c r="Q48" s="32">
        <f t="shared" si="0"/>
        <v>1976</v>
      </c>
      <c r="R48" s="32">
        <f t="shared" si="0"/>
        <v>0</v>
      </c>
      <c r="S48" s="32">
        <f t="shared" si="0"/>
        <v>579</v>
      </c>
      <c r="T48" s="32">
        <f t="shared" si="0"/>
        <v>4371</v>
      </c>
      <c r="U48" s="32">
        <f t="shared" si="0"/>
        <v>4799</v>
      </c>
      <c r="V48" s="32">
        <f t="shared" si="0"/>
        <v>0</v>
      </c>
      <c r="W48" s="32">
        <f t="shared" si="0"/>
        <v>0</v>
      </c>
      <c r="X48" s="32">
        <f t="shared" si="0"/>
        <v>1527</v>
      </c>
      <c r="Y48" s="32">
        <f t="shared" si="0"/>
        <v>7236</v>
      </c>
      <c r="Z48" s="32">
        <f t="shared" si="0"/>
        <v>4830</v>
      </c>
      <c r="AA48" s="32">
        <f t="shared" si="0"/>
        <v>678</v>
      </c>
      <c r="AB48" s="32">
        <f t="shared" si="0"/>
        <v>5207</v>
      </c>
      <c r="AC48" s="32">
        <f t="shared" si="0"/>
        <v>4824</v>
      </c>
      <c r="AD48" s="32">
        <f t="shared" si="0"/>
        <v>0</v>
      </c>
      <c r="AE48" s="32">
        <f t="shared" si="0"/>
        <v>5611</v>
      </c>
      <c r="AF48" s="32">
        <f t="shared" si="0"/>
        <v>0</v>
      </c>
      <c r="AG48" s="32">
        <f t="shared" si="0"/>
        <v>17384</v>
      </c>
      <c r="AH48" s="32">
        <f t="shared" si="0"/>
        <v>0</v>
      </c>
      <c r="AI48" s="32">
        <f t="shared" si="0"/>
        <v>2459</v>
      </c>
      <c r="AJ48" s="32">
        <f t="shared" si="0"/>
        <v>44476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</v>
      </c>
      <c r="AW48" s="32">
        <f t="shared" si="0"/>
        <v>0</v>
      </c>
      <c r="AX48" s="32">
        <f t="shared" si="0"/>
        <v>0</v>
      </c>
      <c r="AY48" s="32">
        <f t="shared" si="0"/>
        <v>2966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0</v>
      </c>
      <c r="BE48" s="32">
        <f t="shared" si="0"/>
        <v>3908</v>
      </c>
      <c r="BF48" s="32">
        <f t="shared" si="0"/>
        <v>3225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679</v>
      </c>
      <c r="BM48" s="32">
        <f t="shared" si="0"/>
        <v>0</v>
      </c>
      <c r="BN48" s="32">
        <f t="shared" si="0"/>
        <v>9835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60</v>
      </c>
      <c r="BS48" s="32">
        <f t="shared" si="1"/>
        <v>320</v>
      </c>
      <c r="BT48" s="32">
        <f t="shared" si="1"/>
        <v>265</v>
      </c>
      <c r="BU48" s="32">
        <f t="shared" si="1"/>
        <v>0</v>
      </c>
      <c r="BV48" s="32">
        <f t="shared" si="1"/>
        <v>0</v>
      </c>
      <c r="BW48" s="32">
        <f t="shared" si="1"/>
        <v>405</v>
      </c>
      <c r="BX48" s="32">
        <f t="shared" si="1"/>
        <v>2964</v>
      </c>
      <c r="BY48" s="32">
        <f t="shared" si="1"/>
        <v>5662</v>
      </c>
      <c r="BZ48" s="32">
        <f t="shared" si="1"/>
        <v>1391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186913</v>
      </c>
    </row>
    <row r="49">
      <c r="A49" s="20" t="s">
        <v>233</v>
      </c>
      <c r="B49" s="32">
        <f>B47+B48</f>
        <v>7762485.63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3767973.27</v>
      </c>
      <c r="C51" s="24">
        <v>0</v>
      </c>
      <c r="D51" s="24">
        <v>0</v>
      </c>
      <c r="E51" s="24">
        <v>35544.18</v>
      </c>
      <c r="F51" s="24">
        <v>0</v>
      </c>
      <c r="G51" s="24">
        <v>5596.41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298511.15</v>
      </c>
      <c r="Q51" s="24">
        <v>49656.57</v>
      </c>
      <c r="R51" s="24">
        <v>0</v>
      </c>
      <c r="S51" s="24">
        <v>26350.33</v>
      </c>
      <c r="T51" s="24">
        <v>0</v>
      </c>
      <c r="U51" s="24">
        <v>2040.89</v>
      </c>
      <c r="V51" s="24">
        <v>0</v>
      </c>
      <c r="W51" s="24">
        <v>484930.06</v>
      </c>
      <c r="X51" s="24">
        <v>570.44</v>
      </c>
      <c r="Y51" s="24">
        <v>265771.65</v>
      </c>
      <c r="Z51" s="24">
        <v>69758.5</v>
      </c>
      <c r="AA51" s="24">
        <v>52461.48</v>
      </c>
      <c r="AB51" s="24">
        <v>29178.96</v>
      </c>
      <c r="AC51" s="24">
        <v>21189.08</v>
      </c>
      <c r="AD51" s="24">
        <v>0</v>
      </c>
      <c r="AE51" s="24">
        <v>7406.74</v>
      </c>
      <c r="AF51" s="24">
        <v>0</v>
      </c>
      <c r="AG51" s="24">
        <v>33036.33</v>
      </c>
      <c r="AH51" s="24">
        <v>0</v>
      </c>
      <c r="AI51" s="24">
        <v>2813.54</v>
      </c>
      <c r="AJ51" s="24">
        <v>191990.8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15842.64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9261.49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1997058.39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27550</v>
      </c>
      <c r="BZ51" s="24">
        <v>0</v>
      </c>
      <c r="CA51" s="24">
        <v>0</v>
      </c>
      <c r="CB51" s="24">
        <v>0</v>
      </c>
      <c r="CC51" s="24">
        <v>141453.64</v>
      </c>
      <c r="CD51" s="20"/>
      <c r="CE51" s="32">
        <f>SUM(C51:CD51)</f>
        <v>3767973.27</v>
      </c>
    </row>
    <row r="52">
      <c r="A52" s="39" t="s">
        <v>235</v>
      </c>
      <c r="B52" s="313">
        <v>787323.65</v>
      </c>
      <c r="C52" s="32">
        <f>IF($B$52,ROUND(($B$52/($CE$90+$CF$90)*C90),0))</f>
        <v>0</v>
      </c>
      <c r="D52" s="32">
        <f ref="D52:BO52" t="shared" si="2">IF($B$52,ROUND(($B$52/($CE$90+$CF$90)*D90),0))</f>
        <v>0</v>
      </c>
      <c r="E52" s="32">
        <f t="shared" si="2"/>
        <v>64030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17158</v>
      </c>
      <c r="Q52" s="32">
        <f t="shared" si="2"/>
        <v>0</v>
      </c>
      <c r="R52" s="32">
        <f t="shared" si="2"/>
        <v>196</v>
      </c>
      <c r="S52" s="32">
        <f t="shared" si="2"/>
        <v>14568</v>
      </c>
      <c r="T52" s="32">
        <f t="shared" si="2"/>
        <v>0</v>
      </c>
      <c r="U52" s="32">
        <f t="shared" si="2"/>
        <v>5261</v>
      </c>
      <c r="V52" s="32">
        <f t="shared" si="2"/>
        <v>0</v>
      </c>
      <c r="W52" s="32">
        <f t="shared" si="2"/>
        <v>0</v>
      </c>
      <c r="X52" s="32">
        <f t="shared" si="2"/>
        <v>2953</v>
      </c>
      <c r="Y52" s="32">
        <f t="shared" si="2"/>
        <v>33151</v>
      </c>
      <c r="Z52" s="32">
        <f t="shared" si="2"/>
        <v>29522</v>
      </c>
      <c r="AA52" s="32">
        <f t="shared" si="2"/>
        <v>6192</v>
      </c>
      <c r="AB52" s="32">
        <f t="shared" si="2"/>
        <v>6756</v>
      </c>
      <c r="AC52" s="32">
        <f t="shared" si="2"/>
        <v>4958</v>
      </c>
      <c r="AD52" s="32">
        <f t="shared" si="2"/>
        <v>0</v>
      </c>
      <c r="AE52" s="32">
        <f t="shared" si="2"/>
        <v>22845</v>
      </c>
      <c r="AF52" s="32">
        <f t="shared" si="2"/>
        <v>0</v>
      </c>
      <c r="AG52" s="32">
        <f t="shared" si="2"/>
        <v>40578</v>
      </c>
      <c r="AH52" s="32">
        <f t="shared" si="2"/>
        <v>0</v>
      </c>
      <c r="AI52" s="32">
        <f t="shared" si="2"/>
        <v>0</v>
      </c>
      <c r="AJ52" s="32">
        <f t="shared" si="2"/>
        <v>67482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29623</v>
      </c>
      <c r="AZ52" s="32">
        <f t="shared" si="2"/>
        <v>0</v>
      </c>
      <c r="BA52" s="32">
        <f t="shared" si="2"/>
        <v>5214</v>
      </c>
      <c r="BB52" s="32">
        <f t="shared" si="2"/>
        <v>0</v>
      </c>
      <c r="BC52" s="32">
        <f t="shared" si="2"/>
        <v>0</v>
      </c>
      <c r="BD52" s="32">
        <f t="shared" si="2"/>
        <v>34841</v>
      </c>
      <c r="BE52" s="32">
        <f t="shared" si="2"/>
        <v>212572</v>
      </c>
      <c r="BF52" s="32">
        <f t="shared" si="2"/>
        <v>6434</v>
      </c>
      <c r="BG52" s="32">
        <f t="shared" si="2"/>
        <v>0</v>
      </c>
      <c r="BH52" s="32">
        <f t="shared" si="2"/>
        <v>0</v>
      </c>
      <c r="BI52" s="32">
        <f t="shared" si="2"/>
        <v>16336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114034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3457</v>
      </c>
      <c r="BS52" s="32">
        <f t="shared" si="3"/>
        <v>12291</v>
      </c>
      <c r="BT52" s="32">
        <f t="shared" si="3"/>
        <v>0</v>
      </c>
      <c r="BU52" s="32">
        <f t="shared" si="3"/>
        <v>0</v>
      </c>
      <c r="BV52" s="32">
        <f t="shared" si="3"/>
        <v>0</v>
      </c>
      <c r="BW52" s="32">
        <f t="shared" si="3"/>
        <v>15668</v>
      </c>
      <c r="BX52" s="32">
        <f t="shared" si="3"/>
        <v>0</v>
      </c>
      <c r="BY52" s="32">
        <f t="shared" si="3"/>
        <v>2756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18448</v>
      </c>
      <c r="CD52" s="32">
        <f t="shared" si="3"/>
        <v>0</v>
      </c>
      <c r="CE52" s="32">
        <f>SUM(C52:CD52)</f>
        <v>787324</v>
      </c>
    </row>
    <row r="53">
      <c r="A53" s="20" t="s">
        <v>233</v>
      </c>
      <c r="B53" s="32">
        <f>B51+B52</f>
        <v>4555296.92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0</v>
      </c>
      <c r="D59" s="24">
        <v>0</v>
      </c>
      <c r="E59" s="24">
        <v>2145</v>
      </c>
      <c r="F59" s="24">
        <v>0</v>
      </c>
      <c r="G59" s="24">
        <v>2665</v>
      </c>
      <c r="H59" s="24">
        <v>0</v>
      </c>
      <c r="I59" s="24">
        <v>0</v>
      </c>
      <c r="J59" s="24">
        <v>0</v>
      </c>
      <c r="K59" s="24">
        <v>0</v>
      </c>
      <c r="L59" s="24">
        <v>3713</v>
      </c>
      <c r="M59" s="24">
        <v>0</v>
      </c>
      <c r="N59" s="24">
        <v>0</v>
      </c>
      <c r="O59" s="24">
        <v>0</v>
      </c>
      <c r="P59" s="30">
        <v>62375</v>
      </c>
      <c r="Q59" s="30">
        <v>67362</v>
      </c>
      <c r="R59" s="30">
        <v>57498</v>
      </c>
      <c r="S59" s="314"/>
      <c r="T59" s="314"/>
      <c r="U59" s="31">
        <v>99970</v>
      </c>
      <c r="V59" s="30">
        <v>0</v>
      </c>
      <c r="W59" s="30">
        <v>1225</v>
      </c>
      <c r="X59" s="30">
        <v>7536</v>
      </c>
      <c r="Y59" s="30">
        <v>16594</v>
      </c>
      <c r="Z59" s="30">
        <v>5086</v>
      </c>
      <c r="AA59" s="30">
        <v>352</v>
      </c>
      <c r="AB59" s="314"/>
      <c r="AC59" s="30">
        <v>10896</v>
      </c>
      <c r="AD59" s="30">
        <v>0</v>
      </c>
      <c r="AE59" s="30">
        <v>26436</v>
      </c>
      <c r="AF59" s="30">
        <v>0</v>
      </c>
      <c r="AG59" s="30">
        <v>12940</v>
      </c>
      <c r="AH59" s="30">
        <v>0</v>
      </c>
      <c r="AI59" s="30">
        <v>1357</v>
      </c>
      <c r="AJ59" s="30">
        <v>58441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29576</v>
      </c>
      <c r="AZ59" s="30">
        <v>0</v>
      </c>
      <c r="BA59" s="314"/>
      <c r="BB59" s="314"/>
      <c r="BC59" s="314"/>
      <c r="BD59" s="314"/>
      <c r="BE59" s="30">
        <v>147934.19000000006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0</v>
      </c>
      <c r="D60" s="315">
        <v>0</v>
      </c>
      <c r="E60" s="315">
        <v>45.874982094986272</v>
      </c>
      <c r="F60" s="315">
        <v>0</v>
      </c>
      <c r="G60" s="315">
        <v>16.173584238667566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0.3010990109890111</v>
      </c>
      <c r="N60" s="315">
        <v>9.6153846153846157E-06</v>
      </c>
      <c r="O60" s="315">
        <v>0</v>
      </c>
      <c r="P60" s="316">
        <v>7.6827364795673274</v>
      </c>
      <c r="Q60" s="316">
        <v>2.8179923042582438</v>
      </c>
      <c r="R60" s="316">
        <v>4.8076923076923079E-06</v>
      </c>
      <c r="S60" s="317">
        <v>2.1309849017857116</v>
      </c>
      <c r="T60" s="317">
        <v>7.4034451126373506</v>
      </c>
      <c r="U60" s="318">
        <v>10.01729814861949</v>
      </c>
      <c r="V60" s="316">
        <v>0</v>
      </c>
      <c r="W60" s="316">
        <v>0</v>
      </c>
      <c r="X60" s="316">
        <v>2.3552293348214324</v>
      </c>
      <c r="Y60" s="316">
        <v>10.890332388049439</v>
      </c>
      <c r="Z60" s="316">
        <v>8.12504791037088</v>
      </c>
      <c r="AA60" s="316">
        <v>1.1141232184065948</v>
      </c>
      <c r="AB60" s="317">
        <v>7.78357566723901</v>
      </c>
      <c r="AC60" s="316">
        <v>8.3738540819024863</v>
      </c>
      <c r="AD60" s="316">
        <v>0</v>
      </c>
      <c r="AE60" s="316">
        <v>10.425679275412067</v>
      </c>
      <c r="AF60" s="316">
        <v>0</v>
      </c>
      <c r="AG60" s="316">
        <v>25.443669788804961</v>
      </c>
      <c r="AH60" s="316">
        <v>0</v>
      </c>
      <c r="AI60" s="316">
        <v>3.75610390985577</v>
      </c>
      <c r="AJ60" s="316">
        <v>55.790588849072869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0</v>
      </c>
      <c r="AW60" s="317">
        <v>0</v>
      </c>
      <c r="AX60" s="317">
        <v>0</v>
      </c>
      <c r="AY60" s="316">
        <v>10.382226042239003</v>
      </c>
      <c r="AZ60" s="316">
        <v>0</v>
      </c>
      <c r="BA60" s="317">
        <v>0</v>
      </c>
      <c r="BB60" s="317">
        <v>0</v>
      </c>
      <c r="BC60" s="317">
        <v>0</v>
      </c>
      <c r="BD60" s="317">
        <v>0</v>
      </c>
      <c r="BE60" s="316">
        <v>9.2096692426167337</v>
      </c>
      <c r="BF60" s="317">
        <v>13.392649758413482</v>
      </c>
      <c r="BG60" s="317">
        <v>-0.001888691277472452</v>
      </c>
      <c r="BH60" s="317">
        <v>0</v>
      </c>
      <c r="BI60" s="317">
        <v>0</v>
      </c>
      <c r="BJ60" s="317">
        <v>0</v>
      </c>
      <c r="BK60" s="317">
        <v>0</v>
      </c>
      <c r="BL60" s="317">
        <v>2.2423432577266493</v>
      </c>
      <c r="BM60" s="317">
        <v>0</v>
      </c>
      <c r="BN60" s="317">
        <v>16.865075411057713</v>
      </c>
      <c r="BO60" s="317">
        <v>0</v>
      </c>
      <c r="BP60" s="317">
        <v>0</v>
      </c>
      <c r="BQ60" s="317">
        <v>0</v>
      </c>
      <c r="BR60" s="317">
        <v>0.074871278159340873</v>
      </c>
      <c r="BS60" s="317">
        <v>0.7738928986950524</v>
      </c>
      <c r="BT60" s="317">
        <v>0.61912811349588048</v>
      </c>
      <c r="BU60" s="317">
        <v>0</v>
      </c>
      <c r="BV60" s="317">
        <v>0</v>
      </c>
      <c r="BW60" s="317">
        <v>0.48652971978022114</v>
      </c>
      <c r="BX60" s="317">
        <v>4.7934583817582439</v>
      </c>
      <c r="BY60" s="317">
        <v>7.0280343494162167</v>
      </c>
      <c r="BZ60" s="317">
        <v>1.5896112882898317</v>
      </c>
      <c r="CA60" s="317">
        <v>0</v>
      </c>
      <c r="CB60" s="317">
        <v>0</v>
      </c>
      <c r="CC60" s="317">
        <v>0</v>
      </c>
      <c r="CD60" s="247" t="s">
        <v>248</v>
      </c>
      <c r="CE60" s="268">
        <f ref="CE60:CE68" t="shared" si="4">SUM(C60:CD60)</f>
        <v>293.91594218889429</v>
      </c>
    </row>
    <row r="61">
      <c r="A61" s="39" t="s">
        <v>263</v>
      </c>
      <c r="B61" s="20"/>
      <c r="C61" s="24">
        <v>0</v>
      </c>
      <c r="D61" s="24">
        <v>0</v>
      </c>
      <c r="E61" s="24">
        <v>6321722.11</v>
      </c>
      <c r="F61" s="24">
        <v>0</v>
      </c>
      <c r="G61" s="24">
        <v>1755676.12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31546.74</v>
      </c>
      <c r="N61" s="24">
        <v>0</v>
      </c>
      <c r="O61" s="24">
        <v>0</v>
      </c>
      <c r="P61" s="30">
        <v>782445.66</v>
      </c>
      <c r="Q61" s="30">
        <v>356561.04</v>
      </c>
      <c r="R61" s="30">
        <v>0</v>
      </c>
      <c r="S61" s="319">
        <v>104549.35</v>
      </c>
      <c r="T61" s="319">
        <v>788696.74</v>
      </c>
      <c r="U61" s="31">
        <v>865881.11</v>
      </c>
      <c r="V61" s="30">
        <v>0</v>
      </c>
      <c r="W61" s="30">
        <v>0</v>
      </c>
      <c r="X61" s="30">
        <v>275580.4</v>
      </c>
      <c r="Y61" s="30">
        <v>1305686.29</v>
      </c>
      <c r="Z61" s="30">
        <v>871586.14</v>
      </c>
      <c r="AA61" s="30">
        <v>122407.23</v>
      </c>
      <c r="AB61" s="320">
        <v>939517.56</v>
      </c>
      <c r="AC61" s="30">
        <v>870512.3</v>
      </c>
      <c r="AD61" s="30">
        <v>0</v>
      </c>
      <c r="AE61" s="30">
        <v>1012417.38</v>
      </c>
      <c r="AF61" s="30">
        <v>0</v>
      </c>
      <c r="AG61" s="30">
        <v>3136911.02</v>
      </c>
      <c r="AH61" s="30">
        <v>0</v>
      </c>
      <c r="AI61" s="30">
        <v>443700.95</v>
      </c>
      <c r="AJ61" s="30">
        <v>8025448.43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94.49</v>
      </c>
      <c r="AW61" s="319">
        <v>0</v>
      </c>
      <c r="AX61" s="319">
        <v>0</v>
      </c>
      <c r="AY61" s="30">
        <v>535222.07</v>
      </c>
      <c r="AZ61" s="30">
        <v>0</v>
      </c>
      <c r="BA61" s="319">
        <v>0</v>
      </c>
      <c r="BB61" s="319">
        <v>0</v>
      </c>
      <c r="BC61" s="319">
        <v>0</v>
      </c>
      <c r="BD61" s="319">
        <v>0</v>
      </c>
      <c r="BE61" s="30">
        <v>705086.99</v>
      </c>
      <c r="BF61" s="319">
        <v>581989.32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122555.12</v>
      </c>
      <c r="BM61" s="319">
        <v>0</v>
      </c>
      <c r="BN61" s="319">
        <v>1774733.17</v>
      </c>
      <c r="BO61" s="319">
        <v>0</v>
      </c>
      <c r="BP61" s="319">
        <v>0</v>
      </c>
      <c r="BQ61" s="319">
        <v>0</v>
      </c>
      <c r="BR61" s="319">
        <v>10811.83</v>
      </c>
      <c r="BS61" s="319">
        <v>57660.44</v>
      </c>
      <c r="BT61" s="319">
        <v>47755.85</v>
      </c>
      <c r="BU61" s="319">
        <v>0</v>
      </c>
      <c r="BV61" s="319">
        <v>0</v>
      </c>
      <c r="BW61" s="319">
        <v>73064.29</v>
      </c>
      <c r="BX61" s="319">
        <v>534895.52</v>
      </c>
      <c r="BY61" s="319">
        <v>1021699.44</v>
      </c>
      <c r="BZ61" s="319">
        <v>251027.3</v>
      </c>
      <c r="CA61" s="319">
        <v>0</v>
      </c>
      <c r="CB61" s="319">
        <v>0</v>
      </c>
      <c r="CC61" s="319">
        <v>0</v>
      </c>
      <c r="CD61" s="29" t="s">
        <v>248</v>
      </c>
      <c r="CE61" s="32">
        <f t="shared" si="4"/>
        <v>33727442.4</v>
      </c>
    </row>
    <row r="62">
      <c r="A62" s="39" t="s">
        <v>11</v>
      </c>
      <c r="B62" s="20"/>
      <c r="C62" s="32">
        <f>ROUND(C47+C48,0)</f>
        <v>0</v>
      </c>
      <c r="D62" s="32">
        <f ref="D62:BO62" t="shared" si="5">ROUND(D47+D48,0)</f>
        <v>0</v>
      </c>
      <c r="E62" s="32">
        <f t="shared" si="5"/>
        <v>927705</v>
      </c>
      <c r="F62" s="32">
        <f t="shared" si="5"/>
        <v>0</v>
      </c>
      <c r="G62" s="32">
        <f t="shared" si="5"/>
        <v>370439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10565</v>
      </c>
      <c r="N62" s="32">
        <f t="shared" si="5"/>
        <v>0</v>
      </c>
      <c r="O62" s="32">
        <f t="shared" si="5"/>
        <v>0</v>
      </c>
      <c r="P62" s="32">
        <f t="shared" si="5"/>
        <v>237246</v>
      </c>
      <c r="Q62" s="32">
        <f t="shared" si="5"/>
        <v>90447</v>
      </c>
      <c r="R62" s="32">
        <f t="shared" si="5"/>
        <v>0</v>
      </c>
      <c r="S62" s="32">
        <f t="shared" si="5"/>
        <v>45203</v>
      </c>
      <c r="T62" s="32">
        <f t="shared" si="5"/>
        <v>224272</v>
      </c>
      <c r="U62" s="32">
        <f t="shared" si="5"/>
        <v>229219</v>
      </c>
      <c r="V62" s="32">
        <f t="shared" si="5"/>
        <v>0</v>
      </c>
      <c r="W62" s="32">
        <f t="shared" si="5"/>
        <v>0</v>
      </c>
      <c r="X62" s="32">
        <f t="shared" si="5"/>
        <v>97985</v>
      </c>
      <c r="Y62" s="32">
        <f t="shared" si="5"/>
        <v>281935</v>
      </c>
      <c r="Z62" s="32">
        <f t="shared" si="5"/>
        <v>224214</v>
      </c>
      <c r="AA62" s="32">
        <f t="shared" si="5"/>
        <v>36686</v>
      </c>
      <c r="AB62" s="32">
        <f t="shared" si="5"/>
        <v>225641</v>
      </c>
      <c r="AC62" s="32">
        <f t="shared" si="5"/>
        <v>232975</v>
      </c>
      <c r="AD62" s="32">
        <f t="shared" si="5"/>
        <v>0</v>
      </c>
      <c r="AE62" s="32">
        <f t="shared" si="5"/>
        <v>262387</v>
      </c>
      <c r="AF62" s="32">
        <f t="shared" si="5"/>
        <v>0</v>
      </c>
      <c r="AG62" s="32">
        <f t="shared" si="5"/>
        <v>674125</v>
      </c>
      <c r="AH62" s="32">
        <f t="shared" si="5"/>
        <v>0</v>
      </c>
      <c r="AI62" s="32">
        <f t="shared" si="5"/>
        <v>113238</v>
      </c>
      <c r="AJ62" s="32">
        <f t="shared" si="5"/>
        <v>1810380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87</v>
      </c>
      <c r="AW62" s="32">
        <f t="shared" si="5"/>
        <v>0</v>
      </c>
      <c r="AX62" s="32">
        <f t="shared" si="5"/>
        <v>0</v>
      </c>
      <c r="AY62" s="32">
        <f t="shared" si="5"/>
        <v>204667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158965</v>
      </c>
      <c r="BF62" s="32">
        <f t="shared" si="5"/>
        <v>234914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45307</v>
      </c>
      <c r="BM62" s="32">
        <f t="shared" si="5"/>
        <v>0</v>
      </c>
      <c r="BN62" s="32">
        <f t="shared" si="5"/>
        <v>479634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2393</v>
      </c>
      <c r="BS62" s="32">
        <f t="shared" si="6"/>
        <v>20131</v>
      </c>
      <c r="BT62" s="32">
        <f t="shared" si="6"/>
        <v>22256</v>
      </c>
      <c r="BU62" s="32">
        <f t="shared" si="6"/>
        <v>0</v>
      </c>
      <c r="BV62" s="32">
        <f t="shared" si="6"/>
        <v>0</v>
      </c>
      <c r="BW62" s="32">
        <f t="shared" si="6"/>
        <v>7319</v>
      </c>
      <c r="BX62" s="32">
        <f t="shared" si="6"/>
        <v>127681</v>
      </c>
      <c r="BY62" s="32">
        <f t="shared" si="6"/>
        <v>272800</v>
      </c>
      <c r="BZ62" s="32">
        <f t="shared" si="6"/>
        <v>91671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248</v>
      </c>
      <c r="CE62" s="32">
        <f t="shared" si="4"/>
        <v>7762487</v>
      </c>
    </row>
    <row r="63">
      <c r="A63" s="39" t="s">
        <v>264</v>
      </c>
      <c r="B63" s="20"/>
      <c r="C63" s="24">
        <v>0</v>
      </c>
      <c r="D63" s="24">
        <v>0</v>
      </c>
      <c r="E63" s="24">
        <v>0.080000000001746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570198.88</v>
      </c>
      <c r="O63" s="24">
        <v>0</v>
      </c>
      <c r="P63" s="30">
        <v>0</v>
      </c>
      <c r="Q63" s="30">
        <v>0</v>
      </c>
      <c r="R63" s="30">
        <v>402430.42</v>
      </c>
      <c r="S63" s="319">
        <v>0</v>
      </c>
      <c r="T63" s="319">
        <v>0</v>
      </c>
      <c r="U63" s="31">
        <v>0</v>
      </c>
      <c r="V63" s="30">
        <v>0</v>
      </c>
      <c r="W63" s="30">
        <v>0</v>
      </c>
      <c r="X63" s="30">
        <v>0</v>
      </c>
      <c r="Y63" s="30">
        <v>5655</v>
      </c>
      <c r="Z63" s="30">
        <v>442515</v>
      </c>
      <c r="AA63" s="30">
        <v>0</v>
      </c>
      <c r="AB63" s="32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1155269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100000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56710</v>
      </c>
      <c r="BY63" s="319">
        <v>0</v>
      </c>
      <c r="BZ63" s="319">
        <v>0</v>
      </c>
      <c r="CA63" s="319">
        <v>0</v>
      </c>
      <c r="CB63" s="319">
        <v>0</v>
      </c>
      <c r="CC63" s="319">
        <v>0</v>
      </c>
      <c r="CD63" s="29" t="s">
        <v>248</v>
      </c>
      <c r="CE63" s="32">
        <f t="shared" si="4"/>
        <v>2732778.38</v>
      </c>
    </row>
    <row r="64">
      <c r="A64" s="39" t="s">
        <v>265</v>
      </c>
      <c r="B64" s="20"/>
      <c r="C64" s="24">
        <v>0</v>
      </c>
      <c r="D64" s="24">
        <v>0</v>
      </c>
      <c r="E64" s="24">
        <v>262600.41</v>
      </c>
      <c r="F64" s="24">
        <v>0</v>
      </c>
      <c r="G64" s="24">
        <v>82394.44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618094.37</v>
      </c>
      <c r="Q64" s="30">
        <v>4714.43</v>
      </c>
      <c r="R64" s="30">
        <v>13318.88</v>
      </c>
      <c r="S64" s="319">
        <v>54642.92</v>
      </c>
      <c r="T64" s="319">
        <v>52071.82</v>
      </c>
      <c r="U64" s="31">
        <v>61960.72</v>
      </c>
      <c r="V64" s="30">
        <v>0</v>
      </c>
      <c r="W64" s="30">
        <v>18528.03</v>
      </c>
      <c r="X64" s="30">
        <v>80892.44</v>
      </c>
      <c r="Y64" s="30">
        <v>94343.04</v>
      </c>
      <c r="Z64" s="30">
        <v>31090.48</v>
      </c>
      <c r="AA64" s="30">
        <v>37476.54</v>
      </c>
      <c r="AB64" s="320">
        <v>4170629.56</v>
      </c>
      <c r="AC64" s="30">
        <v>63297.28</v>
      </c>
      <c r="AD64" s="30">
        <v>0</v>
      </c>
      <c r="AE64" s="30">
        <v>9822.05</v>
      </c>
      <c r="AF64" s="30">
        <v>0</v>
      </c>
      <c r="AG64" s="30">
        <v>475503.67</v>
      </c>
      <c r="AH64" s="30">
        <v>0</v>
      </c>
      <c r="AI64" s="30">
        <v>61237.6</v>
      </c>
      <c r="AJ64" s="30">
        <v>662464.44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21.96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0</v>
      </c>
      <c r="AW64" s="319">
        <v>0</v>
      </c>
      <c r="AX64" s="319">
        <v>0</v>
      </c>
      <c r="AY64" s="30">
        <v>24820.62</v>
      </c>
      <c r="AZ64" s="30">
        <v>0</v>
      </c>
      <c r="BA64" s="319">
        <v>0</v>
      </c>
      <c r="BB64" s="319">
        <v>0</v>
      </c>
      <c r="BC64" s="319">
        <v>0</v>
      </c>
      <c r="BD64" s="319">
        <v>0</v>
      </c>
      <c r="BE64" s="30">
        <v>125927.15</v>
      </c>
      <c r="BF64" s="319">
        <v>130875.7</v>
      </c>
      <c r="BG64" s="319">
        <v>0</v>
      </c>
      <c r="BH64" s="319">
        <v>0</v>
      </c>
      <c r="BI64" s="319">
        <v>0</v>
      </c>
      <c r="BJ64" s="319">
        <v>0</v>
      </c>
      <c r="BK64" s="319">
        <v>0</v>
      </c>
      <c r="BL64" s="319">
        <v>0</v>
      </c>
      <c r="BM64" s="319">
        <v>0</v>
      </c>
      <c r="BN64" s="319">
        <v>11369.07</v>
      </c>
      <c r="BO64" s="319">
        <v>0</v>
      </c>
      <c r="BP64" s="319">
        <v>0</v>
      </c>
      <c r="BQ64" s="319">
        <v>0</v>
      </c>
      <c r="BR64" s="319">
        <v>0</v>
      </c>
      <c r="BS64" s="319">
        <v>241.65</v>
      </c>
      <c r="BT64" s="319">
        <v>0</v>
      </c>
      <c r="BU64" s="319">
        <v>0</v>
      </c>
      <c r="BV64" s="319">
        <v>0</v>
      </c>
      <c r="BW64" s="319">
        <v>0</v>
      </c>
      <c r="BX64" s="319">
        <v>181461.47</v>
      </c>
      <c r="BY64" s="319">
        <v>3282.38</v>
      </c>
      <c r="BZ64" s="319">
        <v>0</v>
      </c>
      <c r="CA64" s="319">
        <v>0</v>
      </c>
      <c r="CB64" s="319">
        <v>0</v>
      </c>
      <c r="CC64" s="319">
        <v>-22930.83</v>
      </c>
      <c r="CD64" s="29" t="s">
        <v>248</v>
      </c>
      <c r="CE64" s="32">
        <f t="shared" si="4"/>
        <v>7310152.29</v>
      </c>
    </row>
    <row r="65">
      <c r="A65" s="39" t="s">
        <v>266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500</v>
      </c>
      <c r="R65" s="30">
        <v>0</v>
      </c>
      <c r="S65" s="319">
        <v>0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20">
        <v>0</v>
      </c>
      <c r="AC65" s="30">
        <v>0</v>
      </c>
      <c r="AD65" s="30">
        <v>0</v>
      </c>
      <c r="AE65" s="30">
        <v>13065.6</v>
      </c>
      <c r="AF65" s="30">
        <v>0</v>
      </c>
      <c r="AG65" s="30">
        <v>0</v>
      </c>
      <c r="AH65" s="30">
        <v>0</v>
      </c>
      <c r="AI65" s="30">
        <v>0</v>
      </c>
      <c r="AJ65" s="30">
        <v>16382.51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803075.18</v>
      </c>
      <c r="BF65" s="319">
        <v>82769.25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0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0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915792.54</v>
      </c>
    </row>
    <row r="66">
      <c r="A66" s="39" t="s">
        <v>267</v>
      </c>
      <c r="B66" s="20"/>
      <c r="C66" s="24">
        <v>0</v>
      </c>
      <c r="D66" s="24">
        <v>0</v>
      </c>
      <c r="E66" s="24">
        <v>15795.940000000002</v>
      </c>
      <c r="F66" s="24">
        <v>0</v>
      </c>
      <c r="G66" s="24">
        <v>1647651.05</v>
      </c>
      <c r="H66" s="24">
        <v>0</v>
      </c>
      <c r="I66" s="24">
        <v>0</v>
      </c>
      <c r="J66" s="24">
        <v>0</v>
      </c>
      <c r="K66" s="24">
        <v>0</v>
      </c>
      <c r="L66" s="24">
        <v>1675.5</v>
      </c>
      <c r="M66" s="24">
        <v>0</v>
      </c>
      <c r="N66" s="24">
        <v>0</v>
      </c>
      <c r="O66" s="24">
        <v>0</v>
      </c>
      <c r="P66" s="30">
        <v>13268.53</v>
      </c>
      <c r="Q66" s="30">
        <v>3.32</v>
      </c>
      <c r="R66" s="30">
        <v>11.7</v>
      </c>
      <c r="S66" s="319">
        <v>8529.8</v>
      </c>
      <c r="T66" s="319">
        <v>18563.69</v>
      </c>
      <c r="U66" s="31">
        <v>1020034.15</v>
      </c>
      <c r="V66" s="30">
        <v>0</v>
      </c>
      <c r="W66" s="30">
        <v>210359.33</v>
      </c>
      <c r="X66" s="30">
        <v>3757.5</v>
      </c>
      <c r="Y66" s="30">
        <v>22147.57</v>
      </c>
      <c r="Z66" s="30">
        <v>322890.41</v>
      </c>
      <c r="AA66" s="30">
        <v>7288.74</v>
      </c>
      <c r="AB66" s="320">
        <v>45811.239999999991</v>
      </c>
      <c r="AC66" s="30">
        <v>711.65</v>
      </c>
      <c r="AD66" s="30">
        <v>0</v>
      </c>
      <c r="AE66" s="30">
        <v>23602.81</v>
      </c>
      <c r="AF66" s="30">
        <v>0</v>
      </c>
      <c r="AG66" s="30">
        <v>45896.53</v>
      </c>
      <c r="AH66" s="30">
        <v>0</v>
      </c>
      <c r="AI66" s="30">
        <v>3.55</v>
      </c>
      <c r="AJ66" s="30">
        <v>68525.87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0</v>
      </c>
      <c r="AW66" s="319">
        <v>0</v>
      </c>
      <c r="AX66" s="319">
        <v>0</v>
      </c>
      <c r="AY66" s="30">
        <v>397524.64</v>
      </c>
      <c r="AZ66" s="30">
        <v>0</v>
      </c>
      <c r="BA66" s="319">
        <v>0</v>
      </c>
      <c r="BB66" s="319">
        <v>0</v>
      </c>
      <c r="BC66" s="319">
        <v>0</v>
      </c>
      <c r="BD66" s="319">
        <v>0</v>
      </c>
      <c r="BE66" s="30">
        <v>2320025.98</v>
      </c>
      <c r="BF66" s="319">
        <v>45775.83</v>
      </c>
      <c r="BG66" s="319">
        <v>0</v>
      </c>
      <c r="BH66" s="319">
        <v>0</v>
      </c>
      <c r="BI66" s="319">
        <v>0</v>
      </c>
      <c r="BJ66" s="319">
        <v>0</v>
      </c>
      <c r="BK66" s="319">
        <v>0</v>
      </c>
      <c r="BL66" s="319">
        <v>0</v>
      </c>
      <c r="BM66" s="319">
        <v>0</v>
      </c>
      <c r="BN66" s="319">
        <v>8410377.86</v>
      </c>
      <c r="BO66" s="319">
        <v>0</v>
      </c>
      <c r="BP66" s="319">
        <v>0</v>
      </c>
      <c r="BQ66" s="319">
        <v>0</v>
      </c>
      <c r="BR66" s="319">
        <v>0</v>
      </c>
      <c r="BS66" s="319">
        <v>106.5</v>
      </c>
      <c r="BT66" s="319">
        <v>0</v>
      </c>
      <c r="BU66" s="319">
        <v>0</v>
      </c>
      <c r="BV66" s="319">
        <v>0</v>
      </c>
      <c r="BW66" s="319">
        <v>0</v>
      </c>
      <c r="BX66" s="319">
        <v>3474.2400000000052</v>
      </c>
      <c r="BY66" s="319">
        <v>0</v>
      </c>
      <c r="BZ66" s="319">
        <v>0</v>
      </c>
      <c r="CA66" s="319">
        <v>0</v>
      </c>
      <c r="CB66" s="319">
        <v>0</v>
      </c>
      <c r="CC66" s="319">
        <v>-65149.52</v>
      </c>
      <c r="CD66" s="29" t="s">
        <v>248</v>
      </c>
      <c r="CE66" s="32">
        <f t="shared" si="4"/>
        <v>14588664.41</v>
      </c>
    </row>
    <row r="67">
      <c r="A67" s="39" t="s">
        <v>16</v>
      </c>
      <c r="B67" s="20"/>
      <c r="C67" s="32">
        <f ref="C67:BN67" t="shared" si="7">ROUND(C51+C52,0)</f>
        <v>0</v>
      </c>
      <c r="D67" s="32">
        <f t="shared" si="7"/>
        <v>0</v>
      </c>
      <c r="E67" s="32">
        <f t="shared" si="7"/>
        <v>99574</v>
      </c>
      <c r="F67" s="32">
        <f t="shared" si="7"/>
        <v>0</v>
      </c>
      <c r="G67" s="32">
        <f t="shared" si="7"/>
        <v>5596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315669</v>
      </c>
      <c r="Q67" s="32">
        <f t="shared" si="7"/>
        <v>49657</v>
      </c>
      <c r="R67" s="32">
        <f t="shared" si="7"/>
        <v>196</v>
      </c>
      <c r="S67" s="32">
        <f t="shared" si="7"/>
        <v>40918</v>
      </c>
      <c r="T67" s="32">
        <f t="shared" si="7"/>
        <v>0</v>
      </c>
      <c r="U67" s="32">
        <f t="shared" si="7"/>
        <v>7302</v>
      </c>
      <c r="V67" s="32">
        <f t="shared" si="7"/>
        <v>0</v>
      </c>
      <c r="W67" s="32">
        <f t="shared" si="7"/>
        <v>484930</v>
      </c>
      <c r="X67" s="32">
        <f t="shared" si="7"/>
        <v>3523</v>
      </c>
      <c r="Y67" s="32">
        <f t="shared" si="7"/>
        <v>298923</v>
      </c>
      <c r="Z67" s="32">
        <f t="shared" si="7"/>
        <v>99281</v>
      </c>
      <c r="AA67" s="32">
        <f t="shared" si="7"/>
        <v>58653</v>
      </c>
      <c r="AB67" s="32">
        <f t="shared" si="7"/>
        <v>35935</v>
      </c>
      <c r="AC67" s="32">
        <f t="shared" si="7"/>
        <v>26147</v>
      </c>
      <c r="AD67" s="32">
        <f t="shared" si="7"/>
        <v>0</v>
      </c>
      <c r="AE67" s="32">
        <f t="shared" si="7"/>
        <v>30252</v>
      </c>
      <c r="AF67" s="32">
        <f t="shared" si="7"/>
        <v>0</v>
      </c>
      <c r="AG67" s="32">
        <f t="shared" si="7"/>
        <v>73614</v>
      </c>
      <c r="AH67" s="32">
        <f t="shared" si="7"/>
        <v>0</v>
      </c>
      <c r="AI67" s="32">
        <f t="shared" si="7"/>
        <v>2814</v>
      </c>
      <c r="AJ67" s="32">
        <f t="shared" si="7"/>
        <v>259473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45466</v>
      </c>
      <c r="AZ67" s="32">
        <f t="shared" si="7"/>
        <v>0</v>
      </c>
      <c r="BA67" s="32">
        <f t="shared" si="7"/>
        <v>5214</v>
      </c>
      <c r="BB67" s="32">
        <f t="shared" si="7"/>
        <v>0</v>
      </c>
      <c r="BC67" s="32">
        <f t="shared" si="7"/>
        <v>0</v>
      </c>
      <c r="BD67" s="32">
        <f t="shared" si="7"/>
        <v>34841</v>
      </c>
      <c r="BE67" s="32">
        <f t="shared" si="7"/>
        <v>221833</v>
      </c>
      <c r="BF67" s="32">
        <f t="shared" si="7"/>
        <v>6434</v>
      </c>
      <c r="BG67" s="32">
        <f t="shared" si="7"/>
        <v>0</v>
      </c>
      <c r="BH67" s="32">
        <f t="shared" si="7"/>
        <v>0</v>
      </c>
      <c r="BI67" s="32">
        <f t="shared" si="7"/>
        <v>16336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2111092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3457</v>
      </c>
      <c r="BS67" s="32">
        <f t="shared" si="8"/>
        <v>12291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15668</v>
      </c>
      <c r="BX67" s="32">
        <f t="shared" si="8"/>
        <v>0</v>
      </c>
      <c r="BY67" s="32">
        <f t="shared" si="8"/>
        <v>30306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159902</v>
      </c>
      <c r="CD67" s="29" t="s">
        <v>248</v>
      </c>
      <c r="CE67" s="32">
        <f t="shared" si="4"/>
        <v>4555297</v>
      </c>
    </row>
    <row r="68">
      <c r="A68" s="39" t="s">
        <v>268</v>
      </c>
      <c r="B68" s="32"/>
      <c r="C68" s="24">
        <v>0</v>
      </c>
      <c r="D68" s="24">
        <v>0</v>
      </c>
      <c r="E68" s="24">
        <v>131055.4</v>
      </c>
      <c r="F68" s="24">
        <v>0</v>
      </c>
      <c r="G68" s="24">
        <v>8403.57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0</v>
      </c>
      <c r="Q68" s="30">
        <v>0</v>
      </c>
      <c r="R68" s="30">
        <v>0</v>
      </c>
      <c r="S68" s="319">
        <v>0</v>
      </c>
      <c r="T68" s="319">
        <v>500</v>
      </c>
      <c r="U68" s="31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20">
        <v>98638.07</v>
      </c>
      <c r="AC68" s="30">
        <v>0</v>
      </c>
      <c r="AD68" s="30">
        <v>0</v>
      </c>
      <c r="AE68" s="30">
        <v>13277.8</v>
      </c>
      <c r="AF68" s="30">
        <v>0</v>
      </c>
      <c r="AG68" s="30">
        <v>144.08</v>
      </c>
      <c r="AH68" s="30">
        <v>0</v>
      </c>
      <c r="AI68" s="30">
        <v>0</v>
      </c>
      <c r="AJ68" s="30">
        <v>145562.35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1021108.75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411066.63999999996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99317.25</v>
      </c>
      <c r="BY68" s="319">
        <v>0</v>
      </c>
      <c r="BZ68" s="319">
        <v>0</v>
      </c>
      <c r="CA68" s="319">
        <v>0</v>
      </c>
      <c r="CB68" s="319">
        <v>0</v>
      </c>
      <c r="CC68" s="319">
        <v>0</v>
      </c>
      <c r="CD68" s="29" t="s">
        <v>248</v>
      </c>
      <c r="CE68" s="32">
        <f t="shared" si="4"/>
        <v>1929073.91</v>
      </c>
    </row>
    <row r="69">
      <c r="A69" s="39" t="s">
        <v>269</v>
      </c>
      <c r="B69" s="20"/>
      <c r="C69" s="32">
        <f ref="C69:BN69" t="shared" si="9">SUM(C70:C83)</f>
        <v>0</v>
      </c>
      <c r="D69" s="32">
        <f t="shared" si="9"/>
        <v>0</v>
      </c>
      <c r="E69" s="32">
        <f t="shared" si="9"/>
        <v>15632.79</v>
      </c>
      <c r="F69" s="32">
        <f t="shared" si="9"/>
        <v>0</v>
      </c>
      <c r="G69" s="32">
        <f t="shared" si="9"/>
        <v>8575.09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14597.98</v>
      </c>
      <c r="Q69" s="32">
        <f t="shared" si="9"/>
        <v>59.14</v>
      </c>
      <c r="R69" s="32">
        <f t="shared" si="9"/>
        <v>129.39</v>
      </c>
      <c r="S69" s="32">
        <f t="shared" si="9"/>
        <v>1302.35</v>
      </c>
      <c r="T69" s="32">
        <f t="shared" si="9"/>
        <v>431.12</v>
      </c>
      <c r="U69" s="32">
        <f t="shared" si="9"/>
        <v>6883.43</v>
      </c>
      <c r="V69" s="32">
        <f t="shared" si="9"/>
        <v>0</v>
      </c>
      <c r="W69" s="32">
        <f t="shared" si="9"/>
        <v>101.63</v>
      </c>
      <c r="X69" s="32">
        <f t="shared" si="9"/>
        <v>626.11999999999989</v>
      </c>
      <c r="Y69" s="32">
        <f t="shared" si="9"/>
        <v>5772</v>
      </c>
      <c r="Z69" s="32">
        <f t="shared" si="9"/>
        <v>11664.029999999999</v>
      </c>
      <c r="AA69" s="32">
        <f t="shared" si="9"/>
        <v>41.700000000000728</v>
      </c>
      <c r="AB69" s="32">
        <f t="shared" si="9"/>
        <v>67582.48</v>
      </c>
      <c r="AC69" s="32">
        <f t="shared" si="9"/>
        <v>2940.14</v>
      </c>
      <c r="AD69" s="32">
        <f t="shared" si="9"/>
        <v>0</v>
      </c>
      <c r="AE69" s="32">
        <f t="shared" si="9"/>
        <v>3314.26</v>
      </c>
      <c r="AF69" s="32">
        <f t="shared" si="9"/>
        <v>0</v>
      </c>
      <c r="AG69" s="32">
        <f t="shared" si="9"/>
        <v>2660.82</v>
      </c>
      <c r="AH69" s="32">
        <f t="shared" si="9"/>
        <v>0</v>
      </c>
      <c r="AI69" s="32">
        <f t="shared" si="9"/>
        <v>615</v>
      </c>
      <c r="AJ69" s="32">
        <f t="shared" si="9"/>
        <v>71254.71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98.190000000000026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2568.179999999993</v>
      </c>
      <c r="BF69" s="32">
        <f t="shared" si="9"/>
        <v>73.37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37444.879999999976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264.19</v>
      </c>
      <c r="BT69" s="32">
        <f t="shared" si="10"/>
        <v>2593.9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592.96</v>
      </c>
      <c r="BY69" s="32">
        <f t="shared" si="10"/>
        <v>3672.18</v>
      </c>
      <c r="BZ69" s="32">
        <f t="shared" si="10"/>
        <v>78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1199074.44</v>
      </c>
      <c r="CE69" s="32">
        <f>SUM(CE70:CE84)</f>
        <v>1725332.84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0</v>
      </c>
      <c r="D83" s="24">
        <v>0</v>
      </c>
      <c r="E83" s="30">
        <v>15632.79</v>
      </c>
      <c r="F83" s="30">
        <v>0</v>
      </c>
      <c r="G83" s="24">
        <v>8575.09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14597.98</v>
      </c>
      <c r="Q83" s="30">
        <v>59.14</v>
      </c>
      <c r="R83" s="31">
        <v>129.39</v>
      </c>
      <c r="S83" s="30">
        <v>1302.35</v>
      </c>
      <c r="T83" s="24">
        <v>431.12</v>
      </c>
      <c r="U83" s="30">
        <v>6883.43</v>
      </c>
      <c r="V83" s="30">
        <v>0</v>
      </c>
      <c r="W83" s="24">
        <v>101.63</v>
      </c>
      <c r="X83" s="30">
        <v>626.11999999999989</v>
      </c>
      <c r="Y83" s="30">
        <v>5772</v>
      </c>
      <c r="Z83" s="30">
        <v>11664.029999999999</v>
      </c>
      <c r="AA83" s="30">
        <v>41.700000000000728</v>
      </c>
      <c r="AB83" s="30">
        <v>67582.48</v>
      </c>
      <c r="AC83" s="30">
        <v>2940.14</v>
      </c>
      <c r="AD83" s="30">
        <v>0</v>
      </c>
      <c r="AE83" s="30">
        <v>3314.26</v>
      </c>
      <c r="AF83" s="30">
        <v>0</v>
      </c>
      <c r="AG83" s="30">
        <v>2660.82</v>
      </c>
      <c r="AH83" s="30">
        <v>0</v>
      </c>
      <c r="AI83" s="30">
        <v>615</v>
      </c>
      <c r="AJ83" s="30">
        <v>71254.71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98.190000000000026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2568.179999999993</v>
      </c>
      <c r="BF83" s="30">
        <v>73.37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37444.879999999976</v>
      </c>
      <c r="BO83" s="30">
        <v>0</v>
      </c>
      <c r="BP83" s="30">
        <v>0</v>
      </c>
      <c r="BQ83" s="30">
        <v>0</v>
      </c>
      <c r="BR83" s="30">
        <v>0</v>
      </c>
      <c r="BS83" s="30">
        <v>264.19</v>
      </c>
      <c r="BT83" s="30">
        <v>2593.9</v>
      </c>
      <c r="BU83" s="30">
        <v>0</v>
      </c>
      <c r="BV83" s="30">
        <v>0</v>
      </c>
      <c r="BW83" s="30">
        <v>0</v>
      </c>
      <c r="BX83" s="30">
        <v>592.96</v>
      </c>
      <c r="BY83" s="30">
        <v>3672.18</v>
      </c>
      <c r="BZ83" s="30">
        <v>78</v>
      </c>
      <c r="CA83" s="30">
        <v>0</v>
      </c>
      <c r="CB83" s="30">
        <v>0</v>
      </c>
      <c r="CC83" s="30">
        <v>0</v>
      </c>
      <c r="CD83" s="35">
        <v>1199074.44</v>
      </c>
      <c r="CE83" s="32">
        <f t="shared" si="11"/>
        <v>1460644.47</v>
      </c>
    </row>
    <row r="84">
      <c r="A84" s="39" t="s">
        <v>284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435.41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-2513.7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1041.36</v>
      </c>
      <c r="Y84" s="24">
        <v>0</v>
      </c>
      <c r="Z84" s="24">
        <v>0</v>
      </c>
      <c r="AA84" s="24">
        <v>0</v>
      </c>
      <c r="AB84" s="24">
        <v>10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35347.18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1115.84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207361.7</v>
      </c>
      <c r="BF84" s="24">
        <v>1004.48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44796.78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9986.99999999997</v>
      </c>
      <c r="CD84" s="35">
        <v>-33897.68</v>
      </c>
      <c r="CE84" s="32">
        <f t="shared" si="11"/>
        <v>264688.37000000005</v>
      </c>
    </row>
    <row r="85">
      <c r="A85" s="39" t="s">
        <v>285</v>
      </c>
      <c r="B85" s="32"/>
      <c r="C85" s="32">
        <f>SUM(C61:C69)-C84</f>
        <v>0</v>
      </c>
      <c r="D85" s="32">
        <f ref="D85:BO85" t="shared" si="12">SUM(D61:D69)-D84</f>
        <v>0</v>
      </c>
      <c r="E85" s="32">
        <f t="shared" si="12"/>
        <v>7774085.7300000014</v>
      </c>
      <c r="F85" s="32">
        <f t="shared" si="12"/>
        <v>0</v>
      </c>
      <c r="G85" s="32">
        <f t="shared" si="12"/>
        <v>3878299.86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1675.5</v>
      </c>
      <c r="M85" s="32">
        <f t="shared" si="12"/>
        <v>42111.740000000005</v>
      </c>
      <c r="N85" s="32">
        <f t="shared" si="12"/>
        <v>570198.88</v>
      </c>
      <c r="O85" s="32">
        <f t="shared" si="12"/>
        <v>0</v>
      </c>
      <c r="P85" s="32">
        <f t="shared" si="12"/>
        <v>1983835.24</v>
      </c>
      <c r="Q85" s="32">
        <f t="shared" si="12"/>
        <v>501941.93</v>
      </c>
      <c r="R85" s="32">
        <f t="shared" si="12"/>
        <v>416086.39</v>
      </c>
      <c r="S85" s="32">
        <f t="shared" si="12"/>
        <v>255145.42</v>
      </c>
      <c r="T85" s="32">
        <f t="shared" si="12"/>
        <v>1084535.37</v>
      </c>
      <c r="U85" s="32">
        <f t="shared" si="12"/>
        <v>2191280.41</v>
      </c>
      <c r="V85" s="32">
        <f t="shared" si="12"/>
        <v>0</v>
      </c>
      <c r="W85" s="32">
        <f t="shared" si="12"/>
        <v>713918.99</v>
      </c>
      <c r="X85" s="32">
        <f t="shared" si="12"/>
        <v>461323.10000000003</v>
      </c>
      <c r="Y85" s="32">
        <f t="shared" si="12"/>
        <v>2014461.9000000001</v>
      </c>
      <c r="Z85" s="32">
        <f t="shared" si="12"/>
        <v>2003241.06</v>
      </c>
      <c r="AA85" s="32">
        <f t="shared" si="12"/>
        <v>262553.21</v>
      </c>
      <c r="AB85" s="32">
        <f t="shared" si="12"/>
        <v>5583744.9100000011</v>
      </c>
      <c r="AC85" s="32">
        <f t="shared" si="12"/>
        <v>1196583.3699999999</v>
      </c>
      <c r="AD85" s="32">
        <f t="shared" si="12"/>
        <v>0</v>
      </c>
      <c r="AE85" s="32">
        <f t="shared" si="12"/>
        <v>1368138.9000000001</v>
      </c>
      <c r="AF85" s="32">
        <f t="shared" si="12"/>
        <v>0</v>
      </c>
      <c r="AG85" s="32">
        <f t="shared" si="12"/>
        <v>5564124.12</v>
      </c>
      <c r="AH85" s="32">
        <f t="shared" si="12"/>
        <v>0</v>
      </c>
      <c r="AI85" s="32">
        <f t="shared" si="12"/>
        <v>621609.1</v>
      </c>
      <c r="AJ85" s="32">
        <f t="shared" si="12"/>
        <v>11024144.129999999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21.96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181.49</v>
      </c>
      <c r="AW85" s="32">
        <f t="shared" si="12"/>
        <v>0</v>
      </c>
      <c r="AX85" s="32">
        <f t="shared" si="12"/>
        <v>0</v>
      </c>
      <c r="AY85" s="32">
        <f t="shared" si="12"/>
        <v>1206682.68</v>
      </c>
      <c r="AZ85" s="32">
        <f t="shared" si="12"/>
        <v>0</v>
      </c>
      <c r="BA85" s="32">
        <f t="shared" si="12"/>
        <v>5214</v>
      </c>
      <c r="BB85" s="32">
        <f t="shared" si="12"/>
        <v>0</v>
      </c>
      <c r="BC85" s="32">
        <f t="shared" si="12"/>
        <v>0</v>
      </c>
      <c r="BD85" s="32">
        <f t="shared" si="12"/>
        <v>34841</v>
      </c>
      <c r="BE85" s="32">
        <f t="shared" si="12"/>
        <v>5151228.5299999993</v>
      </c>
      <c r="BF85" s="32">
        <f t="shared" si="12"/>
        <v>1081826.99</v>
      </c>
      <c r="BG85" s="32">
        <f t="shared" si="12"/>
        <v>0</v>
      </c>
      <c r="BH85" s="32">
        <f t="shared" si="12"/>
        <v>0</v>
      </c>
      <c r="BI85" s="32">
        <f t="shared" si="12"/>
        <v>16336</v>
      </c>
      <c r="BJ85" s="32">
        <f t="shared" si="12"/>
        <v>0</v>
      </c>
      <c r="BK85" s="32">
        <f t="shared" si="12"/>
        <v>0</v>
      </c>
      <c r="BL85" s="32">
        <f t="shared" si="12"/>
        <v>167862.12</v>
      </c>
      <c r="BM85" s="32">
        <f t="shared" si="12"/>
        <v>0</v>
      </c>
      <c r="BN85" s="32">
        <f t="shared" si="12"/>
        <v>13290920.840000002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16661.83</v>
      </c>
      <c r="BS85" s="32">
        <f t="shared" si="13"/>
        <v>90694.78</v>
      </c>
      <c r="BT85" s="32">
        <f t="shared" si="13"/>
        <v>72605.75</v>
      </c>
      <c r="BU85" s="32">
        <f t="shared" si="13"/>
        <v>0</v>
      </c>
      <c r="BV85" s="32">
        <f t="shared" si="13"/>
        <v>0</v>
      </c>
      <c r="BW85" s="32">
        <f t="shared" si="13"/>
        <v>96051.29</v>
      </c>
      <c r="BX85" s="32">
        <f t="shared" si="13"/>
        <v>1004132.44</v>
      </c>
      <c r="BY85" s="32">
        <f t="shared" si="13"/>
        <v>1331759.9999999998</v>
      </c>
      <c r="BZ85" s="32">
        <f t="shared" si="13"/>
        <v>342776.3</v>
      </c>
      <c r="CA85" s="32">
        <f t="shared" si="13"/>
        <v>0</v>
      </c>
      <c r="CB85" s="32">
        <f t="shared" si="13"/>
        <v>0</v>
      </c>
      <c r="CC85" s="32">
        <f t="shared" si="13"/>
        <v>61834.650000000023</v>
      </c>
      <c r="CD85" s="32">
        <f t="shared" si="13"/>
        <v>1232972.1199999999</v>
      </c>
      <c r="CE85" s="32">
        <f t="shared" si="11"/>
        <v>74717644.030000016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0</v>
      </c>
      <c r="D87" s="24">
        <v>0</v>
      </c>
      <c r="E87" s="24">
        <v>10172206</v>
      </c>
      <c r="F87" s="24">
        <v>0</v>
      </c>
      <c r="G87" s="24">
        <v>9681677</v>
      </c>
      <c r="H87" s="24">
        <v>0</v>
      </c>
      <c r="I87" s="24">
        <v>0</v>
      </c>
      <c r="J87" s="24">
        <v>0</v>
      </c>
      <c r="K87" s="24">
        <v>0</v>
      </c>
      <c r="L87" s="24">
        <v>4529638</v>
      </c>
      <c r="M87" s="24">
        <v>0</v>
      </c>
      <c r="N87" s="24">
        <v>0</v>
      </c>
      <c r="O87" s="24">
        <v>0</v>
      </c>
      <c r="P87" s="24">
        <v>365146.52</v>
      </c>
      <c r="Q87" s="24">
        <v>27792</v>
      </c>
      <c r="R87" s="24">
        <v>90860</v>
      </c>
      <c r="S87" s="24">
        <v>0</v>
      </c>
      <c r="T87" s="24">
        <v>3899</v>
      </c>
      <c r="U87" s="24">
        <v>1660727</v>
      </c>
      <c r="V87" s="24">
        <v>0</v>
      </c>
      <c r="W87" s="24">
        <v>287003.05</v>
      </c>
      <c r="X87" s="24">
        <v>1209012.85</v>
      </c>
      <c r="Y87" s="24">
        <v>571263</v>
      </c>
      <c r="Z87" s="24">
        <v>104461</v>
      </c>
      <c r="AA87" s="24">
        <v>59620.1</v>
      </c>
      <c r="AB87" s="24">
        <v>2239969.65</v>
      </c>
      <c r="AC87" s="24">
        <v>819952</v>
      </c>
      <c r="AD87" s="24">
        <v>0</v>
      </c>
      <c r="AE87" s="24">
        <v>1503854</v>
      </c>
      <c r="AF87" s="24">
        <v>0</v>
      </c>
      <c r="AG87" s="24">
        <v>1372008</v>
      </c>
      <c r="AH87" s="24">
        <v>0</v>
      </c>
      <c r="AI87" s="24">
        <v>0</v>
      </c>
      <c r="AJ87" s="24">
        <v>966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34700055.17</v>
      </c>
    </row>
    <row r="88">
      <c r="A88" s="26" t="s">
        <v>288</v>
      </c>
      <c r="B88" s="20"/>
      <c r="C88" s="24">
        <v>0</v>
      </c>
      <c r="D88" s="24">
        <v>0</v>
      </c>
      <c r="E88" s="24">
        <v>2631991</v>
      </c>
      <c r="F88" s="24">
        <v>0</v>
      </c>
      <c r="G88" s="24">
        <v>286</v>
      </c>
      <c r="H88" s="24">
        <v>0</v>
      </c>
      <c r="I88" s="24">
        <v>0</v>
      </c>
      <c r="J88" s="24">
        <v>0</v>
      </c>
      <c r="K88" s="24">
        <v>0</v>
      </c>
      <c r="L88" s="24">
        <v>-1220</v>
      </c>
      <c r="M88" s="24">
        <v>0</v>
      </c>
      <c r="N88" s="24">
        <v>0</v>
      </c>
      <c r="O88" s="24">
        <v>0</v>
      </c>
      <c r="P88" s="24">
        <v>8738107.78</v>
      </c>
      <c r="Q88" s="24">
        <v>515691</v>
      </c>
      <c r="R88" s="24">
        <v>2083444</v>
      </c>
      <c r="S88" s="24">
        <v>0</v>
      </c>
      <c r="T88" s="24">
        <v>1911810</v>
      </c>
      <c r="U88" s="24">
        <v>12538212</v>
      </c>
      <c r="V88" s="24">
        <v>0</v>
      </c>
      <c r="W88" s="24">
        <v>4320409.45</v>
      </c>
      <c r="X88" s="24">
        <v>23849518.4</v>
      </c>
      <c r="Y88" s="24">
        <v>9428151.25</v>
      </c>
      <c r="Z88" s="24">
        <v>11512172</v>
      </c>
      <c r="AA88" s="24">
        <v>1344007.85</v>
      </c>
      <c r="AB88" s="24">
        <v>14131221.36</v>
      </c>
      <c r="AC88" s="24">
        <v>2300976</v>
      </c>
      <c r="AD88" s="24">
        <v>0</v>
      </c>
      <c r="AE88" s="24">
        <v>2492251</v>
      </c>
      <c r="AF88" s="24">
        <v>0</v>
      </c>
      <c r="AG88" s="24">
        <v>34256442</v>
      </c>
      <c r="AH88" s="24">
        <v>0</v>
      </c>
      <c r="AI88" s="24">
        <v>0</v>
      </c>
      <c r="AJ88" s="24">
        <v>19447786.41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151501257.5</v>
      </c>
    </row>
    <row r="89">
      <c r="A89" s="26" t="s">
        <v>289</v>
      </c>
      <c r="B89" s="20"/>
      <c r="C89" s="32">
        <f>C87+C88</f>
        <v>0</v>
      </c>
      <c r="D89" s="32">
        <f ref="D89:AV89" t="shared" si="15">D87+D88</f>
        <v>0</v>
      </c>
      <c r="E89" s="32">
        <f t="shared" si="15"/>
        <v>12804197</v>
      </c>
      <c r="F89" s="32">
        <f t="shared" si="15"/>
        <v>0</v>
      </c>
      <c r="G89" s="32">
        <f t="shared" si="15"/>
        <v>9681963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4528418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9103254.2999999989</v>
      </c>
      <c r="Q89" s="32">
        <f t="shared" si="15"/>
        <v>543483</v>
      </c>
      <c r="R89" s="32">
        <f t="shared" si="15"/>
        <v>2174304</v>
      </c>
      <c r="S89" s="32">
        <f t="shared" si="15"/>
        <v>0</v>
      </c>
      <c r="T89" s="32">
        <f t="shared" si="15"/>
        <v>1915709</v>
      </c>
      <c r="U89" s="32">
        <f t="shared" si="15"/>
        <v>14198939</v>
      </c>
      <c r="V89" s="32">
        <f t="shared" si="15"/>
        <v>0</v>
      </c>
      <c r="W89" s="32">
        <f t="shared" si="15"/>
        <v>4607412.5</v>
      </c>
      <c r="X89" s="32">
        <f t="shared" si="15"/>
        <v>25058531.25</v>
      </c>
      <c r="Y89" s="32">
        <f t="shared" si="15"/>
        <v>9999414.25</v>
      </c>
      <c r="Z89" s="32">
        <f t="shared" si="15"/>
        <v>11616633</v>
      </c>
      <c r="AA89" s="32">
        <f t="shared" si="15"/>
        <v>1403627.9500000002</v>
      </c>
      <c r="AB89" s="32">
        <f t="shared" si="15"/>
        <v>16371191.01</v>
      </c>
      <c r="AC89" s="32">
        <f t="shared" si="15"/>
        <v>3120928</v>
      </c>
      <c r="AD89" s="32">
        <f t="shared" si="15"/>
        <v>0</v>
      </c>
      <c r="AE89" s="32">
        <f t="shared" si="15"/>
        <v>3996105</v>
      </c>
      <c r="AF89" s="32">
        <f t="shared" si="15"/>
        <v>0</v>
      </c>
      <c r="AG89" s="32">
        <f t="shared" si="15"/>
        <v>35628450</v>
      </c>
      <c r="AH89" s="32">
        <f t="shared" si="15"/>
        <v>0</v>
      </c>
      <c r="AI89" s="32">
        <f t="shared" si="15"/>
        <v>0</v>
      </c>
      <c r="AJ89" s="32">
        <f t="shared" si="15"/>
        <v>19448752.41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186201312.67</v>
      </c>
    </row>
    <row r="90">
      <c r="A90" s="39" t="s">
        <v>290</v>
      </c>
      <c r="B90" s="32"/>
      <c r="C90" s="24">
        <v>0</v>
      </c>
      <c r="D90" s="24">
        <v>0</v>
      </c>
      <c r="E90" s="24">
        <v>12030.980000000001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3223.93</v>
      </c>
      <c r="Q90" s="24">
        <v>0</v>
      </c>
      <c r="R90" s="24">
        <v>36.81</v>
      </c>
      <c r="S90" s="24">
        <v>2737.26</v>
      </c>
      <c r="T90" s="24">
        <v>0</v>
      </c>
      <c r="U90" s="24">
        <v>988.54000000000008</v>
      </c>
      <c r="V90" s="24">
        <v>0</v>
      </c>
      <c r="W90" s="24">
        <v>0</v>
      </c>
      <c r="X90" s="24">
        <v>554.77</v>
      </c>
      <c r="Y90" s="24">
        <v>6228.9500000000007</v>
      </c>
      <c r="Z90" s="24">
        <v>5546.9800000000005</v>
      </c>
      <c r="AA90" s="24">
        <v>1163.41</v>
      </c>
      <c r="AB90" s="24">
        <v>1269.49</v>
      </c>
      <c r="AC90" s="24">
        <v>931.62</v>
      </c>
      <c r="AD90" s="24">
        <v>0</v>
      </c>
      <c r="AE90" s="24">
        <v>4292.4100000000008</v>
      </c>
      <c r="AF90" s="24">
        <v>0</v>
      </c>
      <c r="AG90" s="24">
        <v>7624.4800000000005</v>
      </c>
      <c r="AH90" s="24">
        <v>0</v>
      </c>
      <c r="AI90" s="24">
        <v>0</v>
      </c>
      <c r="AJ90" s="24">
        <v>12679.500000000002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5566.04</v>
      </c>
      <c r="AZ90" s="24">
        <v>0</v>
      </c>
      <c r="BA90" s="24">
        <v>979.69</v>
      </c>
      <c r="BB90" s="24">
        <v>0</v>
      </c>
      <c r="BC90" s="24">
        <v>0</v>
      </c>
      <c r="BD90" s="24">
        <v>6546.4400000000005</v>
      </c>
      <c r="BE90" s="24">
        <v>39941.149999999987</v>
      </c>
      <c r="BF90" s="24">
        <v>1208.85</v>
      </c>
      <c r="BG90" s="24">
        <v>0</v>
      </c>
      <c r="BH90" s="24">
        <v>0</v>
      </c>
      <c r="BI90" s="24">
        <v>3069.49</v>
      </c>
      <c r="BJ90" s="24">
        <v>0</v>
      </c>
      <c r="BK90" s="24">
        <v>0</v>
      </c>
      <c r="BL90" s="24">
        <v>0</v>
      </c>
      <c r="BM90" s="24">
        <v>0</v>
      </c>
      <c r="BN90" s="24">
        <v>21426.480000000007</v>
      </c>
      <c r="BO90" s="24">
        <v>0</v>
      </c>
      <c r="BP90" s="24">
        <v>0</v>
      </c>
      <c r="BQ90" s="24">
        <v>0</v>
      </c>
      <c r="BR90" s="24">
        <v>649.63</v>
      </c>
      <c r="BS90" s="24">
        <v>2309.34</v>
      </c>
      <c r="BT90" s="24">
        <v>0</v>
      </c>
      <c r="BU90" s="24">
        <v>0</v>
      </c>
      <c r="BV90" s="24">
        <v>0</v>
      </c>
      <c r="BW90" s="24">
        <v>2943.92</v>
      </c>
      <c r="BX90" s="24">
        <v>0</v>
      </c>
      <c r="BY90" s="24">
        <v>517.79</v>
      </c>
      <c r="BZ90" s="24">
        <v>0</v>
      </c>
      <c r="CA90" s="24">
        <v>0</v>
      </c>
      <c r="CB90" s="24">
        <v>0</v>
      </c>
      <c r="CC90" s="24">
        <v>3466.2400000000002</v>
      </c>
      <c r="CD90" s="264" t="s">
        <v>248</v>
      </c>
      <c r="CE90" s="32">
        <f t="shared" si="14"/>
        <v>147934.19000000003</v>
      </c>
      <c r="CF90" s="32">
        <f>BE59-CE90</f>
        <v>0</v>
      </c>
    </row>
    <row r="91">
      <c r="A91" s="26" t="s">
        <v>291</v>
      </c>
      <c r="B91" s="20"/>
      <c r="C91" s="24">
        <v>0</v>
      </c>
      <c r="D91" s="24">
        <v>0</v>
      </c>
      <c r="E91" s="24">
        <v>20996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7642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938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21" t="s">
        <v>248</v>
      </c>
      <c r="AY91" s="321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29576</v>
      </c>
      <c r="CF91" s="32">
        <f>AY59-CE91</f>
        <v>0</v>
      </c>
    </row>
    <row r="92">
      <c r="A92" s="26" t="s">
        <v>292</v>
      </c>
      <c r="B92" s="20"/>
      <c r="C92" s="24">
        <v>0</v>
      </c>
      <c r="D92" s="24">
        <v>0</v>
      </c>
      <c r="E92" s="24">
        <v>4949.7778006216022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1520.5318195916693</v>
      </c>
      <c r="Q92" s="24">
        <v>0</v>
      </c>
      <c r="R92" s="24">
        <v>17.361039563256444</v>
      </c>
      <c r="S92" s="24">
        <v>961.3242201769765</v>
      </c>
      <c r="T92" s="24">
        <v>0</v>
      </c>
      <c r="U92" s="24">
        <v>406.70447021161021</v>
      </c>
      <c r="V92" s="24">
        <v>0</v>
      </c>
      <c r="W92" s="24">
        <v>0</v>
      </c>
      <c r="X92" s="24">
        <v>228.24310492169764</v>
      </c>
      <c r="Y92" s="24">
        <v>2562.7104717306429</v>
      </c>
      <c r="Z92" s="24">
        <v>2282.1348272952009</v>
      </c>
      <c r="AA92" s="24">
        <v>478.64936946293471</v>
      </c>
      <c r="AB92" s="24">
        <v>445.84419612037948</v>
      </c>
      <c r="AC92" s="24">
        <v>327.18443626154431</v>
      </c>
      <c r="AD92" s="24">
        <v>0</v>
      </c>
      <c r="AE92" s="24">
        <v>1507.4920526109527</v>
      </c>
      <c r="AF92" s="24">
        <v>0</v>
      </c>
      <c r="AG92" s="24">
        <v>3596.0037742259574</v>
      </c>
      <c r="AH92" s="24">
        <v>0</v>
      </c>
      <c r="AI92" s="24">
        <v>0</v>
      </c>
      <c r="AJ92" s="24">
        <v>4722.1266291765915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248</v>
      </c>
      <c r="AY92" s="321" t="s">
        <v>248</v>
      </c>
      <c r="AZ92" s="29" t="s">
        <v>248</v>
      </c>
      <c r="BA92" s="24">
        <v>117.99363005334725</v>
      </c>
      <c r="BB92" s="24">
        <v>0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0</v>
      </c>
      <c r="BI92" s="24">
        <v>369.68864386943704</v>
      </c>
      <c r="BJ92" s="29" t="s">
        <v>248</v>
      </c>
      <c r="BK92" s="24">
        <v>0</v>
      </c>
      <c r="BL92" s="24">
        <v>0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278.13635908031819</v>
      </c>
      <c r="BT92" s="24">
        <v>0</v>
      </c>
      <c r="BU92" s="24">
        <v>0</v>
      </c>
      <c r="BV92" s="24">
        <v>0</v>
      </c>
      <c r="BW92" s="24">
        <v>354.56502300385841</v>
      </c>
      <c r="BX92" s="24">
        <v>0</v>
      </c>
      <c r="BY92" s="24">
        <v>62.362504164912025</v>
      </c>
      <c r="BZ92" s="24">
        <v>0</v>
      </c>
      <c r="CA92" s="24">
        <v>0</v>
      </c>
      <c r="CB92" s="24">
        <v>0</v>
      </c>
      <c r="CC92" s="29" t="s">
        <v>248</v>
      </c>
      <c r="CD92" s="29" t="s">
        <v>248</v>
      </c>
      <c r="CE92" s="32">
        <f t="shared" si="14"/>
        <v>25188.83437214289</v>
      </c>
      <c r="CF92" s="20"/>
    </row>
    <row r="93">
      <c r="A93" s="26" t="s">
        <v>293</v>
      </c>
      <c r="B93" s="20"/>
      <c r="C93" s="24">
        <v>0</v>
      </c>
      <c r="D93" s="24">
        <v>0</v>
      </c>
      <c r="E93" s="24">
        <v>64353.492354823953</v>
      </c>
      <c r="F93" s="24">
        <v>0</v>
      </c>
      <c r="G93" s="24">
        <v>22986.177131660555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10541.618405726447</v>
      </c>
      <c r="Q93" s="24">
        <v>3580.6601170424328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32852.484735201586</v>
      </c>
      <c r="Z93" s="24">
        <v>10202.503620405507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69486.731126387269</v>
      </c>
      <c r="AH93" s="24">
        <v>0</v>
      </c>
      <c r="AI93" s="24">
        <v>4768.7215836776313</v>
      </c>
      <c r="AJ93" s="24">
        <v>3005.4698802493076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0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221777.85895517469</v>
      </c>
      <c r="CF93" s="32">
        <f>BA59</f>
        <v>0</v>
      </c>
    </row>
    <row r="94">
      <c r="A94" s="26" t="s">
        <v>294</v>
      </c>
      <c r="B94" s="20"/>
      <c r="C94" s="315">
        <v>0</v>
      </c>
      <c r="D94" s="315">
        <v>0</v>
      </c>
      <c r="E94" s="315">
        <v>21.329011322836539</v>
      </c>
      <c r="F94" s="315">
        <v>0</v>
      </c>
      <c r="G94" s="315">
        <v>9.5907145767513455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2.1056473023695048</v>
      </c>
      <c r="Q94" s="316">
        <v>2.81799230425824</v>
      </c>
      <c r="R94" s="316">
        <v>0</v>
      </c>
      <c r="S94" s="317">
        <v>0</v>
      </c>
      <c r="T94" s="317">
        <v>5.29363081610577</v>
      </c>
      <c r="U94" s="318">
        <v>0</v>
      </c>
      <c r="V94" s="316">
        <v>0</v>
      </c>
      <c r="W94" s="316">
        <v>0</v>
      </c>
      <c r="X94" s="316">
        <v>0.01141826098901101</v>
      </c>
      <c r="Y94" s="316">
        <v>0.056129879464285576</v>
      </c>
      <c r="Z94" s="316">
        <v>1.4236787062156588</v>
      </c>
      <c r="AA94" s="316">
        <v>0.00084134718406593263</v>
      </c>
      <c r="AB94" s="317">
        <v>0</v>
      </c>
      <c r="AC94" s="316">
        <v>0.0004807695741758221</v>
      </c>
      <c r="AD94" s="316">
        <v>0</v>
      </c>
      <c r="AE94" s="316">
        <v>0</v>
      </c>
      <c r="AF94" s="316">
        <v>0</v>
      </c>
      <c r="AG94" s="316">
        <v>17.398915692479374</v>
      </c>
      <c r="AH94" s="316">
        <v>0</v>
      </c>
      <c r="AI94" s="316">
        <v>2.7043350159684088</v>
      </c>
      <c r="AJ94" s="316">
        <v>6.1831598775755294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68.915955871771914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98284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47"/>
      <c r="D117" s="20"/>
      <c r="E117" s="20"/>
    </row>
    <row r="118">
      <c r="A118" s="20" t="s">
        <v>159</v>
      </c>
      <c r="B118" s="46" t="s">
        <v>299</v>
      </c>
      <c r="C118" s="234">
        <v>1</v>
      </c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748</v>
      </c>
      <c r="D127" s="50">
        <v>4810</v>
      </c>
      <c r="E127" s="20"/>
    </row>
    <row r="128">
      <c r="A128" s="20" t="s">
        <v>339</v>
      </c>
      <c r="B128" s="46" t="s">
        <v>299</v>
      </c>
      <c r="C128" s="47">
        <v>182</v>
      </c>
      <c r="D128" s="50">
        <v>3713</v>
      </c>
      <c r="E128" s="20"/>
    </row>
    <row r="129">
      <c r="A129" s="20" t="s">
        <v>340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341</v>
      </c>
      <c r="B130" s="46" t="s">
        <v>299</v>
      </c>
      <c r="C130" s="47">
        <v>0</v>
      </c>
      <c r="D130" s="50">
        <v>0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0</v>
      </c>
      <c r="D132" s="20"/>
      <c r="E132" s="20"/>
    </row>
    <row r="133">
      <c r="A133" s="20" t="s">
        <v>344</v>
      </c>
      <c r="B133" s="46" t="s">
        <v>299</v>
      </c>
      <c r="C133" s="47">
        <v>0</v>
      </c>
      <c r="D133" s="20"/>
      <c r="E133" s="20"/>
    </row>
    <row r="134">
      <c r="A134" s="20" t="s">
        <v>345</v>
      </c>
      <c r="B134" s="46" t="s">
        <v>299</v>
      </c>
      <c r="C134" s="47">
        <v>25</v>
      </c>
      <c r="D134" s="20"/>
      <c r="E134" s="20"/>
    </row>
    <row r="135">
      <c r="A135" s="20" t="s">
        <v>346</v>
      </c>
      <c r="B135" s="46" t="s">
        <v>299</v>
      </c>
      <c r="C135" s="47">
        <v>0</v>
      </c>
      <c r="D135" s="20"/>
      <c r="E135" s="20"/>
    </row>
    <row r="136">
      <c r="A136" s="20" t="s">
        <v>347</v>
      </c>
      <c r="B136" s="46" t="s">
        <v>299</v>
      </c>
      <c r="C136" s="47">
        <v>0</v>
      </c>
      <c r="D136" s="20"/>
      <c r="E136" s="20"/>
    </row>
    <row r="137">
      <c r="A137" s="20" t="s">
        <v>348</v>
      </c>
      <c r="B137" s="46" t="s">
        <v>299</v>
      </c>
      <c r="C137" s="47">
        <v>10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0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35</v>
      </c>
    </row>
    <row r="144">
      <c r="A144" s="20" t="s">
        <v>353</v>
      </c>
      <c r="B144" s="46" t="s">
        <v>299</v>
      </c>
      <c r="C144" s="47">
        <v>35</v>
      </c>
      <c r="D144" s="20"/>
      <c r="E144" s="20"/>
    </row>
    <row r="145">
      <c r="A145" s="20" t="s">
        <v>354</v>
      </c>
      <c r="B145" s="46" t="s">
        <v>299</v>
      </c>
      <c r="C145" s="47">
        <v>0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568</v>
      </c>
      <c r="C154" s="50">
        <v>89</v>
      </c>
      <c r="D154" s="50">
        <v>91</v>
      </c>
      <c r="E154" s="32">
        <f>SUM(B154:D154)</f>
        <v>748</v>
      </c>
    </row>
    <row r="155">
      <c r="A155" s="20" t="s">
        <v>242</v>
      </c>
      <c r="B155" s="50">
        <v>3599</v>
      </c>
      <c r="C155" s="50">
        <v>486</v>
      </c>
      <c r="D155" s="50">
        <v>725</v>
      </c>
      <c r="E155" s="32">
        <f>SUM(B155:D155)</f>
        <v>4810</v>
      </c>
    </row>
    <row r="156">
      <c r="A156" s="20" t="s">
        <v>360</v>
      </c>
      <c r="B156" s="50">
        <v>13044</v>
      </c>
      <c r="C156" s="50">
        <v>6788</v>
      </c>
      <c r="D156" s="50">
        <v>9689</v>
      </c>
      <c r="E156" s="32">
        <f>SUM(B156:D156)</f>
        <v>29521</v>
      </c>
    </row>
    <row r="157">
      <c r="A157" s="20" t="s">
        <v>287</v>
      </c>
      <c r="B157" s="50">
        <v>18757119.04</v>
      </c>
      <c r="C157" s="50">
        <v>3704700.03</v>
      </c>
      <c r="D157" s="50">
        <v>4348220</v>
      </c>
      <c r="E157" s="32">
        <f>SUM(B157:D157)</f>
        <v>26810039.07</v>
      </c>
      <c r="F157" s="18"/>
    </row>
    <row r="158">
      <c r="A158" s="20" t="s">
        <v>288</v>
      </c>
      <c r="B158" s="50">
        <v>71076289.06</v>
      </c>
      <c r="C158" s="50">
        <v>31307947.02</v>
      </c>
      <c r="D158" s="50">
        <v>49117021.42</v>
      </c>
      <c r="E158" s="32">
        <f>SUM(B158:D158)</f>
        <v>151501257.5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>
        <v>110</v>
      </c>
      <c r="C160" s="50">
        <v>54</v>
      </c>
      <c r="D160" s="50">
        <v>18</v>
      </c>
      <c r="E160" s="32">
        <f>SUM(B160:D160)</f>
        <v>182</v>
      </c>
    </row>
    <row r="161">
      <c r="A161" s="20" t="s">
        <v>242</v>
      </c>
      <c r="B161" s="50">
        <v>2148</v>
      </c>
      <c r="C161" s="50">
        <v>1265</v>
      </c>
      <c r="D161" s="50">
        <v>300</v>
      </c>
      <c r="E161" s="32">
        <f>SUM(B161:D161)</f>
        <v>3713</v>
      </c>
    </row>
    <row r="162">
      <c r="A162" s="20" t="s">
        <v>360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>
      <c r="A163" s="20" t="s">
        <v>287</v>
      </c>
      <c r="B163" s="50">
        <v>4175623.65</v>
      </c>
      <c r="C163" s="50">
        <v>3065729.35</v>
      </c>
      <c r="D163" s="50">
        <v>648663.1</v>
      </c>
      <c r="E163" s="32">
        <f>SUM(B163:D163)</f>
        <v>7890016.1</v>
      </c>
    </row>
    <row r="164">
      <c r="A164" s="20" t="s">
        <v>288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>
      <c r="A167" s="20" t="s">
        <v>242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>
      <c r="A168" s="20" t="s">
        <v>360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>
      <c r="A169" s="20" t="s">
        <v>287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>
      <c r="A170" s="20" t="s">
        <v>288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>
        <v>1301886</v>
      </c>
      <c r="C173" s="50">
        <v>2686194</v>
      </c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1985139.05</v>
      </c>
      <c r="D181" s="20"/>
      <c r="E181" s="20"/>
    </row>
    <row r="182">
      <c r="A182" s="20" t="s">
        <v>370</v>
      </c>
      <c r="B182" s="46" t="s">
        <v>299</v>
      </c>
      <c r="C182" s="47">
        <v>48499.82</v>
      </c>
      <c r="D182" s="20"/>
      <c r="E182" s="20"/>
    </row>
    <row r="183">
      <c r="A183" s="25" t="s">
        <v>371</v>
      </c>
      <c r="B183" s="46" t="s">
        <v>299</v>
      </c>
      <c r="C183" s="47">
        <v>188073.6</v>
      </c>
      <c r="D183" s="20"/>
      <c r="E183" s="20"/>
    </row>
    <row r="184">
      <c r="A184" s="20" t="s">
        <v>372</v>
      </c>
      <c r="B184" s="46" t="s">
        <v>299</v>
      </c>
      <c r="C184" s="47">
        <v>3824763.94</v>
      </c>
      <c r="D184" s="20"/>
      <c r="E184" s="20"/>
    </row>
    <row r="185">
      <c r="A185" s="20" t="s">
        <v>373</v>
      </c>
      <c r="B185" s="46" t="s">
        <v>299</v>
      </c>
      <c r="C185" s="47">
        <v>23736.37</v>
      </c>
      <c r="D185" s="20"/>
      <c r="E185" s="20"/>
    </row>
    <row r="186">
      <c r="A186" s="20" t="s">
        <v>374</v>
      </c>
      <c r="B186" s="46" t="s">
        <v>299</v>
      </c>
      <c r="C186" s="47">
        <v>1413826.22</v>
      </c>
      <c r="D186" s="20"/>
      <c r="E186" s="20"/>
    </row>
    <row r="187">
      <c r="A187" s="20" t="s">
        <v>375</v>
      </c>
      <c r="B187" s="46" t="s">
        <v>299</v>
      </c>
      <c r="C187" s="47">
        <v>258433.14</v>
      </c>
      <c r="D187" s="20"/>
      <c r="E187" s="20"/>
    </row>
    <row r="188">
      <c r="A188" s="20" t="s">
        <v>375</v>
      </c>
      <c r="B188" s="46" t="s">
        <v>299</v>
      </c>
      <c r="C188" s="47">
        <v>20013.49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7762485.63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1098276.54</v>
      </c>
      <c r="D191" s="20"/>
      <c r="E191" s="20"/>
    </row>
    <row r="192">
      <c r="A192" s="20" t="s">
        <v>378</v>
      </c>
      <c r="B192" s="46" t="s">
        <v>299</v>
      </c>
      <c r="C192" s="47">
        <v>830797.37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1929073.9100000002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209262.29</v>
      </c>
      <c r="D195" s="20"/>
      <c r="E195" s="20"/>
    </row>
    <row r="196">
      <c r="A196" s="20" t="s">
        <v>381</v>
      </c>
      <c r="B196" s="46" t="s">
        <v>299</v>
      </c>
      <c r="C196" s="47">
        <v>184576.9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393839.19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80094.66</v>
      </c>
      <c r="D199" s="20"/>
      <c r="E199" s="20"/>
    </row>
    <row r="200">
      <c r="A200" s="20" t="s">
        <v>384</v>
      </c>
      <c r="B200" s="46" t="s">
        <v>299</v>
      </c>
      <c r="C200" s="47">
        <v>689558.29</v>
      </c>
      <c r="D200" s="20"/>
      <c r="E200" s="20"/>
    </row>
    <row r="201">
      <c r="A201" s="20" t="s">
        <v>159</v>
      </c>
      <c r="B201" s="46" t="s">
        <v>299</v>
      </c>
      <c r="C201" s="47">
        <v>0</v>
      </c>
      <c r="D201" s="20"/>
      <c r="E201" s="20"/>
    </row>
    <row r="202">
      <c r="A202" s="20" t="s">
        <v>230</v>
      </c>
      <c r="B202" s="20"/>
      <c r="C202" s="27"/>
      <c r="D202" s="32">
        <f>SUM(C199:C201)</f>
        <v>769652.95000000007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>
        <v>0</v>
      </c>
      <c r="D204" s="20"/>
      <c r="E204" s="20"/>
    </row>
    <row r="205">
      <c r="A205" s="20" t="s">
        <v>387</v>
      </c>
      <c r="B205" s="46" t="s">
        <v>299</v>
      </c>
      <c r="C205" s="47">
        <v>35582.3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35582.3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0</v>
      </c>
      <c r="C211" s="47">
        <v>0</v>
      </c>
      <c r="D211" s="50">
        <v>0</v>
      </c>
      <c r="E211" s="32">
        <f ref="E211:E219" t="shared" si="16">SUM(B211:C211)-D211</f>
        <v>0</v>
      </c>
    </row>
    <row r="212">
      <c r="A212" s="20" t="s">
        <v>395</v>
      </c>
      <c r="B212" s="50">
        <v>0</v>
      </c>
      <c r="C212" s="47">
        <v>123782.54</v>
      </c>
      <c r="D212" s="50">
        <v>0</v>
      </c>
      <c r="E212" s="32">
        <f t="shared" si="16"/>
        <v>123782.54</v>
      </c>
    </row>
    <row r="213">
      <c r="A213" s="20" t="s">
        <v>396</v>
      </c>
      <c r="B213" s="50">
        <v>9840510.92</v>
      </c>
      <c r="C213" s="47">
        <v>7132444.2</v>
      </c>
      <c r="D213" s="50">
        <v>0</v>
      </c>
      <c r="E213" s="32">
        <f t="shared" si="16"/>
        <v>16972955.12</v>
      </c>
    </row>
    <row r="214">
      <c r="A214" s="20" t="s">
        <v>397</v>
      </c>
      <c r="B214" s="50">
        <v>0</v>
      </c>
      <c r="C214" s="47">
        <v>0</v>
      </c>
      <c r="D214" s="50">
        <v>0</v>
      </c>
      <c r="E214" s="32">
        <f t="shared" si="16"/>
        <v>0</v>
      </c>
    </row>
    <row r="215">
      <c r="A215" s="20" t="s">
        <v>398</v>
      </c>
      <c r="B215" s="50">
        <v>1920149.18</v>
      </c>
      <c r="C215" s="47">
        <v>596909.78</v>
      </c>
      <c r="D215" s="50">
        <v>0</v>
      </c>
      <c r="E215" s="32">
        <f t="shared" si="16"/>
        <v>2517058.96</v>
      </c>
    </row>
    <row r="216">
      <c r="A216" s="20" t="s">
        <v>399</v>
      </c>
      <c r="B216" s="50">
        <v>12047195.059999989</v>
      </c>
      <c r="C216" s="47">
        <v>1760500.69</v>
      </c>
      <c r="D216" s="50">
        <v>81142.44</v>
      </c>
      <c r="E216" s="32">
        <f t="shared" si="16"/>
        <v>13726553.309999989</v>
      </c>
    </row>
    <row r="217">
      <c r="A217" s="20" t="s">
        <v>400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>
      <c r="A218" s="20" t="s">
        <v>401</v>
      </c>
      <c r="B218" s="50">
        <v>5082687.1</v>
      </c>
      <c r="C218" s="47">
        <v>1506512.86</v>
      </c>
      <c r="D218" s="50">
        <v>0</v>
      </c>
      <c r="E218" s="32">
        <f t="shared" si="16"/>
        <v>6589199.96</v>
      </c>
    </row>
    <row r="219">
      <c r="A219" s="20" t="s">
        <v>402</v>
      </c>
      <c r="B219" s="50">
        <v>2865331.22</v>
      </c>
      <c r="C219" s="47">
        <v>2530197.8399999994</v>
      </c>
      <c r="D219" s="50">
        <v>0</v>
      </c>
      <c r="E219" s="32">
        <f t="shared" si="16"/>
        <v>5395529.06</v>
      </c>
    </row>
    <row r="220">
      <c r="A220" s="20" t="s">
        <v>230</v>
      </c>
      <c r="B220" s="32">
        <f>SUM(B211:B219)</f>
        <v>31755873.479999989</v>
      </c>
      <c r="C220" s="266">
        <f>SUM(C211:C219)</f>
        <v>13650347.91</v>
      </c>
      <c r="D220" s="32">
        <f>SUM(D211:D219)</f>
        <v>81142.44</v>
      </c>
      <c r="E220" s="32">
        <f>SUM(E211:E219)</f>
        <v>45325078.949999996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0</v>
      </c>
      <c r="C225" s="47">
        <v>0</v>
      </c>
      <c r="D225" s="50">
        <v>0</v>
      </c>
      <c r="E225" s="32">
        <f ref="E225:E232" t="shared" si="17">SUM(B225:C225)-D225</f>
        <v>0</v>
      </c>
    </row>
    <row r="226">
      <c r="A226" s="20" t="s">
        <v>396</v>
      </c>
      <c r="B226" s="50">
        <v>0</v>
      </c>
      <c r="C226" s="47">
        <v>3610.32</v>
      </c>
      <c r="D226" s="50">
        <v>0</v>
      </c>
      <c r="E226" s="32">
        <f t="shared" si="17"/>
        <v>3610.32</v>
      </c>
    </row>
    <row r="227">
      <c r="A227" s="20" t="s">
        <v>397</v>
      </c>
      <c r="B227" s="50">
        <v>2232883</v>
      </c>
      <c r="C227" s="47">
        <v>529700.98</v>
      </c>
      <c r="D227" s="50">
        <v>0</v>
      </c>
      <c r="E227" s="32">
        <f t="shared" si="17"/>
        <v>2762583.98</v>
      </c>
    </row>
    <row r="228">
      <c r="A228" s="20" t="s">
        <v>398</v>
      </c>
      <c r="B228" s="50">
        <v>0</v>
      </c>
      <c r="C228" s="47">
        <v>0</v>
      </c>
      <c r="D228" s="50">
        <v>0</v>
      </c>
      <c r="E228" s="32">
        <f t="shared" si="17"/>
        <v>0</v>
      </c>
    </row>
    <row r="229">
      <c r="A229" s="20" t="s">
        <v>399</v>
      </c>
      <c r="B229" s="50">
        <v>160604.21</v>
      </c>
      <c r="C229" s="47">
        <v>137026.89</v>
      </c>
      <c r="D229" s="50">
        <v>0</v>
      </c>
      <c r="E229" s="32">
        <f t="shared" si="17"/>
        <v>297631.1</v>
      </c>
    </row>
    <row r="230">
      <c r="A230" s="20" t="s">
        <v>400</v>
      </c>
      <c r="B230" s="50">
        <v>5812393.2800000031</v>
      </c>
      <c r="C230" s="47">
        <v>1372745</v>
      </c>
      <c r="D230" s="50">
        <v>81142.44</v>
      </c>
      <c r="E230" s="32">
        <f t="shared" si="17"/>
        <v>7103995.8400000026</v>
      </c>
    </row>
    <row r="231">
      <c r="A231" s="20" t="s">
        <v>401</v>
      </c>
      <c r="B231" s="50">
        <v>0</v>
      </c>
      <c r="C231" s="47">
        <v>0</v>
      </c>
      <c r="D231" s="50">
        <v>0</v>
      </c>
      <c r="E231" s="32">
        <f t="shared" si="17"/>
        <v>0</v>
      </c>
    </row>
    <row r="232">
      <c r="A232" s="20" t="s">
        <v>402</v>
      </c>
      <c r="B232" s="50">
        <v>808311.86</v>
      </c>
      <c r="C232" s="47">
        <v>458628.81</v>
      </c>
      <c r="D232" s="50">
        <v>0</v>
      </c>
      <c r="E232" s="32">
        <f t="shared" si="17"/>
        <v>1266940.67</v>
      </c>
    </row>
    <row r="233">
      <c r="A233" s="20" t="s">
        <v>230</v>
      </c>
      <c r="B233" s="32">
        <f>SUM(B224:B232)</f>
        <v>9014192.3500000034</v>
      </c>
      <c r="C233" s="266">
        <f>SUM(C224:C232)</f>
        <v>2501712</v>
      </c>
      <c r="D233" s="32">
        <f>SUM(D224:D232)</f>
        <v>81142.44</v>
      </c>
      <c r="E233" s="32">
        <f>SUM(E224:E232)</f>
        <v>11434761.910000002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1778408.3</v>
      </c>
      <c r="D237" s="40">
        <f>C237</f>
        <v>1778408.3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53364430.93</v>
      </c>
      <c r="D239" s="20"/>
      <c r="E239" s="20"/>
    </row>
    <row r="240">
      <c r="A240" s="20" t="s">
        <v>408</v>
      </c>
      <c r="B240" s="46" t="s">
        <v>299</v>
      </c>
      <c r="C240" s="47">
        <v>27254620.55</v>
      </c>
      <c r="D240" s="20"/>
      <c r="E240" s="20"/>
    </row>
    <row r="241">
      <c r="A241" s="20" t="s">
        <v>409</v>
      </c>
      <c r="B241" s="46" t="s">
        <v>299</v>
      </c>
      <c r="C241" s="47">
        <v>898631.29</v>
      </c>
      <c r="D241" s="20"/>
      <c r="E241" s="20"/>
    </row>
    <row r="242">
      <c r="A242" s="20" t="s">
        <v>410</v>
      </c>
      <c r="B242" s="46" t="s">
        <v>299</v>
      </c>
      <c r="C242" s="47">
        <v>5019049.76</v>
      </c>
      <c r="D242" s="20"/>
      <c r="E242" s="20"/>
    </row>
    <row r="243">
      <c r="A243" s="20" t="s">
        <v>411</v>
      </c>
      <c r="B243" s="46" t="s">
        <v>299</v>
      </c>
      <c r="C243" s="47">
        <v>15348180.35</v>
      </c>
      <c r="D243" s="20"/>
      <c r="E243" s="20"/>
    </row>
    <row r="244">
      <c r="A244" s="20" t="s">
        <v>412</v>
      </c>
      <c r="B244" s="46" t="s">
        <v>299</v>
      </c>
      <c r="C244" s="47">
        <v>507911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102392823.88000001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5126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376480.57</v>
      </c>
      <c r="D249" s="20"/>
      <c r="E249" s="20"/>
    </row>
    <row r="250">
      <c r="A250" s="26" t="s">
        <v>417</v>
      </c>
      <c r="B250" s="46" t="s">
        <v>299</v>
      </c>
      <c r="C250" s="47">
        <v>2801027.5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3177508.07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-84897.17</v>
      </c>
      <c r="D254" s="20"/>
      <c r="E254" s="20"/>
    </row>
    <row r="255">
      <c r="A255" s="20" t="s">
        <v>419</v>
      </c>
      <c r="B255" s="46" t="s">
        <v>299</v>
      </c>
      <c r="C255" s="47">
        <v>0</v>
      </c>
      <c r="D255" s="20"/>
      <c r="E255" s="20"/>
    </row>
    <row r="256">
      <c r="A256" s="20" t="s">
        <v>421</v>
      </c>
      <c r="B256" s="20"/>
      <c r="C256" s="27"/>
      <c r="D256" s="32">
        <f>SUM(C254:C255)</f>
        <v>-84897.17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107263843.08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0</v>
      </c>
      <c r="D266" s="20"/>
      <c r="E266" s="20"/>
    </row>
    <row r="267">
      <c r="A267" s="20" t="s">
        <v>426</v>
      </c>
      <c r="B267" s="46" t="s">
        <v>299</v>
      </c>
      <c r="C267" s="47">
        <v>0</v>
      </c>
      <c r="D267" s="20"/>
      <c r="E267" s="20"/>
    </row>
    <row r="268">
      <c r="A268" s="20" t="s">
        <v>427</v>
      </c>
      <c r="B268" s="46" t="s">
        <v>299</v>
      </c>
      <c r="C268" s="47">
        <v>23513160.110000003</v>
      </c>
      <c r="D268" s="20"/>
      <c r="E268" s="20"/>
    </row>
    <row r="269">
      <c r="A269" s="20" t="s">
        <v>428</v>
      </c>
      <c r="B269" s="46" t="s">
        <v>299</v>
      </c>
      <c r="C269" s="47">
        <v>13146281</v>
      </c>
      <c r="D269" s="20"/>
      <c r="E269" s="20"/>
    </row>
    <row r="270">
      <c r="A270" s="20" t="s">
        <v>429</v>
      </c>
      <c r="B270" s="46" t="s">
        <v>299</v>
      </c>
      <c r="C270" s="47">
        <v>601278.88000000059</v>
      </c>
      <c r="D270" s="20"/>
      <c r="E270" s="20"/>
    </row>
    <row r="271">
      <c r="A271" s="20" t="s">
        <v>430</v>
      </c>
      <c r="B271" s="46" t="s">
        <v>299</v>
      </c>
      <c r="C271" s="47">
        <v>0</v>
      </c>
      <c r="D271" s="20"/>
      <c r="E271" s="20"/>
    </row>
    <row r="272">
      <c r="A272" s="20" t="s">
        <v>431</v>
      </c>
      <c r="B272" s="46" t="s">
        <v>299</v>
      </c>
      <c r="C272" s="47">
        <v>0</v>
      </c>
      <c r="D272" s="20"/>
      <c r="E272" s="20"/>
    </row>
    <row r="273">
      <c r="A273" s="20" t="s">
        <v>432</v>
      </c>
      <c r="B273" s="46" t="s">
        <v>299</v>
      </c>
      <c r="C273" s="47">
        <v>0</v>
      </c>
      <c r="D273" s="20"/>
      <c r="E273" s="20"/>
    </row>
    <row r="274">
      <c r="A274" s="20" t="s">
        <v>433</v>
      </c>
      <c r="B274" s="46" t="s">
        <v>299</v>
      </c>
      <c r="C274" s="47">
        <v>0</v>
      </c>
      <c r="D274" s="20"/>
      <c r="E274" s="20"/>
    </row>
    <row r="275">
      <c r="A275" s="20" t="s">
        <v>434</v>
      </c>
      <c r="B275" s="46" t="s">
        <v>299</v>
      </c>
      <c r="C275" s="47">
        <v>0</v>
      </c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10968157.990000004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>
        <v>0</v>
      </c>
      <c r="D278" s="20"/>
      <c r="E278" s="20"/>
    </row>
    <row r="279">
      <c r="A279" s="20" t="s">
        <v>426</v>
      </c>
      <c r="B279" s="46" t="s">
        <v>299</v>
      </c>
      <c r="C279" s="47">
        <v>0</v>
      </c>
      <c r="D279" s="20"/>
      <c r="E279" s="20"/>
    </row>
    <row r="280">
      <c r="A280" s="20" t="s">
        <v>437</v>
      </c>
      <c r="B280" s="46" t="s">
        <v>299</v>
      </c>
      <c r="C280" s="47">
        <v>0</v>
      </c>
      <c r="D280" s="20"/>
      <c r="E280" s="20"/>
    </row>
    <row r="281">
      <c r="A281" s="20" t="s">
        <v>438</v>
      </c>
      <c r="B281" s="20"/>
      <c r="C281" s="27"/>
      <c r="D281" s="32">
        <f>SUM(C278:C280)</f>
        <v>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47">
        <v>0</v>
      </c>
      <c r="D283" s="20"/>
      <c r="E283" s="20"/>
    </row>
    <row r="284">
      <c r="A284" s="20" t="s">
        <v>395</v>
      </c>
      <c r="B284" s="46" t="s">
        <v>299</v>
      </c>
      <c r="C284" s="47">
        <v>123782.54</v>
      </c>
      <c r="D284" s="20"/>
      <c r="E284" s="20"/>
    </row>
    <row r="285">
      <c r="A285" s="20" t="s">
        <v>396</v>
      </c>
      <c r="B285" s="46" t="s">
        <v>299</v>
      </c>
      <c r="C285" s="47">
        <v>16972955.12</v>
      </c>
      <c r="D285" s="20"/>
      <c r="E285" s="20"/>
    </row>
    <row r="286">
      <c r="A286" s="20" t="s">
        <v>440</v>
      </c>
      <c r="B286" s="46" t="s">
        <v>299</v>
      </c>
      <c r="C286" s="47">
        <v>0</v>
      </c>
      <c r="D286" s="20"/>
      <c r="E286" s="20"/>
    </row>
    <row r="287">
      <c r="A287" s="20" t="s">
        <v>441</v>
      </c>
      <c r="B287" s="46" t="s">
        <v>299</v>
      </c>
      <c r="C287" s="47">
        <v>2517058.96</v>
      </c>
      <c r="D287" s="20"/>
      <c r="E287" s="20"/>
    </row>
    <row r="288">
      <c r="A288" s="20" t="s">
        <v>442</v>
      </c>
      <c r="B288" s="46" t="s">
        <v>299</v>
      </c>
      <c r="C288" s="47">
        <v>13726553.309999989</v>
      </c>
      <c r="D288" s="20"/>
      <c r="E288" s="20"/>
    </row>
    <row r="289">
      <c r="A289" s="20" t="s">
        <v>401</v>
      </c>
      <c r="B289" s="46" t="s">
        <v>299</v>
      </c>
      <c r="C289" s="47">
        <v>6589199.96</v>
      </c>
      <c r="D289" s="20"/>
      <c r="E289" s="20"/>
    </row>
    <row r="290">
      <c r="A290" s="20" t="s">
        <v>402</v>
      </c>
      <c r="B290" s="46" t="s">
        <v>299</v>
      </c>
      <c r="C290" s="47">
        <v>5395529.06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45325078.949999996</v>
      </c>
      <c r="E291" s="20"/>
    </row>
    <row r="292">
      <c r="A292" s="20" t="s">
        <v>444</v>
      </c>
      <c r="B292" s="46" t="s">
        <v>299</v>
      </c>
      <c r="C292" s="47">
        <v>11434761.910000004</v>
      </c>
      <c r="D292" s="20"/>
      <c r="E292" s="20"/>
    </row>
    <row r="293">
      <c r="A293" s="20" t="s">
        <v>445</v>
      </c>
      <c r="B293" s="20"/>
      <c r="C293" s="27"/>
      <c r="D293" s="32">
        <f>D291-C292</f>
        <v>33890317.039999992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47">
        <v>0</v>
      </c>
      <c r="D295" s="20"/>
      <c r="E295" s="20"/>
    </row>
    <row r="296">
      <c r="A296" s="20" t="s">
        <v>448</v>
      </c>
      <c r="B296" s="46" t="s">
        <v>299</v>
      </c>
      <c r="C296" s="47">
        <v>0</v>
      </c>
      <c r="D296" s="20"/>
      <c r="E296" s="20"/>
    </row>
    <row r="297">
      <c r="A297" s="20" t="s">
        <v>449</v>
      </c>
      <c r="B297" s="46" t="s">
        <v>299</v>
      </c>
      <c r="C297" s="47">
        <v>0</v>
      </c>
      <c r="D297" s="20"/>
      <c r="E297" s="20"/>
    </row>
    <row r="298">
      <c r="A298" s="20" t="s">
        <v>437</v>
      </c>
      <c r="B298" s="46" t="s">
        <v>299</v>
      </c>
      <c r="C298" s="47">
        <v>0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0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0</v>
      </c>
      <c r="D302" s="20"/>
      <c r="E302" s="20"/>
    </row>
    <row r="303">
      <c r="A303" s="20" t="s">
        <v>453</v>
      </c>
      <c r="B303" s="46" t="s">
        <v>299</v>
      </c>
      <c r="C303" s="47">
        <v>0</v>
      </c>
      <c r="D303" s="20"/>
      <c r="E303" s="20"/>
    </row>
    <row r="304">
      <c r="A304" s="20" t="s">
        <v>454</v>
      </c>
      <c r="B304" s="46" t="s">
        <v>299</v>
      </c>
      <c r="C304" s="47">
        <v>0</v>
      </c>
      <c r="D304" s="20"/>
      <c r="E304" s="20"/>
    </row>
    <row r="305">
      <c r="A305" s="20" t="s">
        <v>455</v>
      </c>
      <c r="B305" s="46" t="s">
        <v>299</v>
      </c>
      <c r="C305" s="47">
        <v>0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0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44858475.029999994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0</v>
      </c>
      <c r="D315" s="20"/>
      <c r="E315" s="20"/>
    </row>
    <row r="316">
      <c r="A316" s="20" t="s">
        <v>462</v>
      </c>
      <c r="B316" s="46" t="s">
        <v>299</v>
      </c>
      <c r="C316" s="47">
        <v>0</v>
      </c>
      <c r="D316" s="20"/>
      <c r="E316" s="20"/>
    </row>
    <row r="317">
      <c r="A317" s="20" t="s">
        <v>463</v>
      </c>
      <c r="B317" s="46" t="s">
        <v>299</v>
      </c>
      <c r="C317" s="47">
        <v>0</v>
      </c>
      <c r="D317" s="20"/>
      <c r="E317" s="20"/>
    </row>
    <row r="318">
      <c r="A318" s="20" t="s">
        <v>464</v>
      </c>
      <c r="B318" s="46" t="s">
        <v>299</v>
      </c>
      <c r="C318" s="47">
        <v>2201469.1199999996</v>
      </c>
      <c r="D318" s="20"/>
      <c r="E318" s="20"/>
    </row>
    <row r="319">
      <c r="A319" s="20" t="s">
        <v>465</v>
      </c>
      <c r="B319" s="46" t="s">
        <v>299</v>
      </c>
      <c r="C319" s="47">
        <v>0</v>
      </c>
      <c r="D319" s="20"/>
      <c r="E319" s="20"/>
    </row>
    <row r="320">
      <c r="A320" s="20" t="s">
        <v>466</v>
      </c>
      <c r="B320" s="46" t="s">
        <v>299</v>
      </c>
      <c r="C320" s="47">
        <v>0</v>
      </c>
      <c r="D320" s="20"/>
      <c r="E320" s="20"/>
    </row>
    <row r="321">
      <c r="A321" s="20" t="s">
        <v>467</v>
      </c>
      <c r="B321" s="46" t="s">
        <v>299</v>
      </c>
      <c r="C321" s="47">
        <v>0</v>
      </c>
      <c r="D321" s="20"/>
      <c r="E321" s="20"/>
    </row>
    <row r="322">
      <c r="A322" s="20" t="s">
        <v>468</v>
      </c>
      <c r="B322" s="46" t="s">
        <v>299</v>
      </c>
      <c r="C322" s="47">
        <v>0</v>
      </c>
      <c r="D322" s="20"/>
      <c r="E322" s="20"/>
    </row>
    <row r="323">
      <c r="A323" s="20" t="s">
        <v>469</v>
      </c>
      <c r="B323" s="46" t="s">
        <v>299</v>
      </c>
      <c r="C323" s="47">
        <v>0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2201469.1199999996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>
        <v>0</v>
      </c>
      <c r="D326" s="20"/>
      <c r="E326" s="20"/>
    </row>
    <row r="327">
      <c r="A327" s="20" t="s">
        <v>473</v>
      </c>
      <c r="B327" s="46" t="s">
        <v>299</v>
      </c>
      <c r="C327" s="47">
        <v>0</v>
      </c>
      <c r="D327" s="20"/>
      <c r="E327" s="20"/>
    </row>
    <row r="328">
      <c r="A328" s="20" t="s">
        <v>474</v>
      </c>
      <c r="B328" s="46" t="s">
        <v>299</v>
      </c>
      <c r="C328" s="47">
        <v>0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0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>
        <v>0</v>
      </c>
      <c r="D331" s="20"/>
      <c r="E331" s="20"/>
    </row>
    <row r="332">
      <c r="A332" s="20" t="s">
        <v>478</v>
      </c>
      <c r="B332" s="46" t="s">
        <v>299</v>
      </c>
      <c r="C332" s="47">
        <v>0</v>
      </c>
      <c r="D332" s="20"/>
      <c r="E332" s="20"/>
    </row>
    <row r="333">
      <c r="A333" s="20" t="s">
        <v>479</v>
      </c>
      <c r="B333" s="46" t="s">
        <v>299</v>
      </c>
      <c r="C333" s="47">
        <v>0</v>
      </c>
      <c r="D333" s="20"/>
      <c r="E333" s="20"/>
    </row>
    <row r="334">
      <c r="A334" s="26" t="s">
        <v>480</v>
      </c>
      <c r="B334" s="46" t="s">
        <v>299</v>
      </c>
      <c r="C334" s="47">
        <v>0</v>
      </c>
      <c r="D334" s="20"/>
      <c r="E334" s="20"/>
    </row>
    <row r="335">
      <c r="A335" s="20" t="s">
        <v>481</v>
      </c>
      <c r="B335" s="46" t="s">
        <v>299</v>
      </c>
      <c r="C335" s="47">
        <v>0</v>
      </c>
      <c r="D335" s="20"/>
      <c r="E335" s="20"/>
    </row>
    <row r="336">
      <c r="A336" s="26" t="s">
        <v>482</v>
      </c>
      <c r="B336" s="46" t="s">
        <v>299</v>
      </c>
      <c r="C336" s="47">
        <v>0</v>
      </c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>
        <v>0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0</v>
      </c>
      <c r="E339" s="20"/>
    </row>
    <row r="340">
      <c r="A340" s="20" t="s">
        <v>485</v>
      </c>
      <c r="B340" s="20"/>
      <c r="C340" s="27"/>
      <c r="D340" s="32">
        <f>C323</f>
        <v>0</v>
      </c>
      <c r="E340" s="20"/>
    </row>
    <row r="341">
      <c r="A341" s="20" t="s">
        <v>486</v>
      </c>
      <c r="B341" s="20"/>
      <c r="C341" s="27"/>
      <c r="D341" s="32">
        <f>D339-D340</f>
        <v>0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42657005.91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>
        <v>0</v>
      </c>
      <c r="D345" s="20"/>
      <c r="E345" s="20"/>
    </row>
    <row r="346">
      <c r="A346" s="20" t="s">
        <v>489</v>
      </c>
      <c r="B346" s="46" t="s">
        <v>299</v>
      </c>
      <c r="C346" s="234">
        <v>0</v>
      </c>
      <c r="D346" s="20"/>
      <c r="E346" s="20"/>
    </row>
    <row r="347">
      <c r="A347" s="20" t="s">
        <v>490</v>
      </c>
      <c r="B347" s="46" t="s">
        <v>299</v>
      </c>
      <c r="C347" s="234">
        <v>0</v>
      </c>
      <c r="D347" s="20"/>
      <c r="E347" s="20"/>
    </row>
    <row r="348">
      <c r="A348" s="20" t="s">
        <v>491</v>
      </c>
      <c r="B348" s="46" t="s">
        <v>299</v>
      </c>
      <c r="C348" s="234">
        <v>0</v>
      </c>
      <c r="D348" s="20"/>
      <c r="E348" s="20"/>
    </row>
    <row r="349">
      <c r="A349" s="20" t="s">
        <v>492</v>
      </c>
      <c r="B349" s="46" t="s">
        <v>299</v>
      </c>
      <c r="C349" s="234">
        <v>0</v>
      </c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44858475.029999994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44858475.029999994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34700055.17</v>
      </c>
      <c r="D358" s="20"/>
      <c r="E358" s="20"/>
    </row>
    <row r="359">
      <c r="A359" s="20" t="s">
        <v>498</v>
      </c>
      <c r="B359" s="46" t="s">
        <v>299</v>
      </c>
      <c r="C359" s="234">
        <v>151501257.5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186201312.67000002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1778408.3</v>
      </c>
      <c r="D362" s="20"/>
      <c r="E362" s="45"/>
    </row>
    <row r="363">
      <c r="A363" s="20" t="s">
        <v>501</v>
      </c>
      <c r="B363" s="46" t="s">
        <v>299</v>
      </c>
      <c r="C363" s="47">
        <v>102392823.88000001</v>
      </c>
      <c r="D363" s="20"/>
      <c r="E363" s="20"/>
    </row>
    <row r="364">
      <c r="A364" s="20" t="s">
        <v>502</v>
      </c>
      <c r="B364" s="46" t="s">
        <v>299</v>
      </c>
      <c r="C364" s="47">
        <v>3177508.07</v>
      </c>
      <c r="D364" s="20"/>
      <c r="E364" s="20"/>
    </row>
    <row r="365">
      <c r="A365" s="20" t="s">
        <v>503</v>
      </c>
      <c r="B365" s="46" t="s">
        <v>299</v>
      </c>
      <c r="C365" s="47">
        <v>-84897.17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107263843.08</v>
      </c>
      <c r="E366" s="20"/>
    </row>
    <row r="367">
      <c r="A367" s="20" t="s">
        <v>504</v>
      </c>
      <c r="B367" s="20"/>
      <c r="C367" s="27"/>
      <c r="D367" s="32">
        <f>D360-D366</f>
        <v>78937469.590000018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264688.37000000005</v>
      </c>
      <c r="D380" s="32"/>
      <c r="E380" s="237" t="str">
        <f>IF(OR(C380&gt;999999,C380/(D360+D383)&gt;0.01),"Additional Classification Necessary - See Responses-2 Tab","")</f>
      </c>
      <c r="F380" s="60"/>
    </row>
    <row r="381">
      <c r="A381" s="61" t="s">
        <v>518</v>
      </c>
      <c r="B381" s="46"/>
      <c r="C381" s="46"/>
      <c r="D381" s="32">
        <f>SUM(C370:C380)</f>
        <v>264688.37000000005</v>
      </c>
      <c r="E381" s="32"/>
      <c r="F381" s="60"/>
    </row>
    <row r="382">
      <c r="A382" s="56" t="s">
        <v>519</v>
      </c>
      <c r="B382" s="46" t="s">
        <v>299</v>
      </c>
      <c r="C382" s="47">
        <v>0</v>
      </c>
      <c r="D382" s="32"/>
      <c r="E382" s="20"/>
    </row>
    <row r="383">
      <c r="A383" s="20" t="s">
        <v>520</v>
      </c>
      <c r="B383" s="20"/>
      <c r="C383" s="27"/>
      <c r="D383" s="32">
        <f>D381+C382</f>
        <v>264688.37000000005</v>
      </c>
      <c r="E383" s="20"/>
    </row>
    <row r="384">
      <c r="A384" s="20" t="s">
        <v>521</v>
      </c>
      <c r="B384" s="20"/>
      <c r="C384" s="27"/>
      <c r="D384" s="32">
        <f>D367+D383</f>
        <v>79202157.960000023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33727442.4</v>
      </c>
      <c r="D389" s="20"/>
      <c r="E389" s="20"/>
    </row>
    <row r="390">
      <c r="A390" s="20" t="s">
        <v>11</v>
      </c>
      <c r="B390" s="46" t="s">
        <v>299</v>
      </c>
      <c r="C390" s="47">
        <v>7762485.63</v>
      </c>
      <c r="D390" s="20"/>
      <c r="E390" s="20"/>
    </row>
    <row r="391">
      <c r="A391" s="20" t="s">
        <v>264</v>
      </c>
      <c r="B391" s="46" t="s">
        <v>299</v>
      </c>
      <c r="C391" s="47">
        <v>2732778.38</v>
      </c>
      <c r="D391" s="20"/>
      <c r="E391" s="20"/>
    </row>
    <row r="392">
      <c r="A392" s="20" t="s">
        <v>524</v>
      </c>
      <c r="B392" s="46" t="s">
        <v>299</v>
      </c>
      <c r="C392" s="47">
        <v>7310152.29</v>
      </c>
      <c r="D392" s="20"/>
      <c r="E392" s="20"/>
    </row>
    <row r="393">
      <c r="A393" s="20" t="s">
        <v>525</v>
      </c>
      <c r="B393" s="46" t="s">
        <v>299</v>
      </c>
      <c r="C393" s="47">
        <v>915792.54</v>
      </c>
      <c r="D393" s="20"/>
      <c r="E393" s="20"/>
    </row>
    <row r="394">
      <c r="A394" s="20" t="s">
        <v>526</v>
      </c>
      <c r="B394" s="46" t="s">
        <v>299</v>
      </c>
      <c r="C394" s="47">
        <v>14588664.41</v>
      </c>
      <c r="D394" s="20"/>
      <c r="E394" s="20"/>
    </row>
    <row r="395">
      <c r="A395" s="20" t="s">
        <v>16</v>
      </c>
      <c r="B395" s="46" t="s">
        <v>299</v>
      </c>
      <c r="C395" s="47">
        <v>4555296.92</v>
      </c>
      <c r="D395" s="20"/>
      <c r="E395" s="20"/>
    </row>
    <row r="396">
      <c r="A396" s="20" t="s">
        <v>527</v>
      </c>
      <c r="B396" s="46" t="s">
        <v>299</v>
      </c>
      <c r="C396" s="47">
        <v>1929073.9100000002</v>
      </c>
      <c r="D396" s="20"/>
      <c r="E396" s="20"/>
    </row>
    <row r="397">
      <c r="A397" s="20" t="s">
        <v>528</v>
      </c>
      <c r="B397" s="46" t="s">
        <v>299</v>
      </c>
      <c r="C397" s="47">
        <v>393839.19</v>
      </c>
      <c r="D397" s="20"/>
      <c r="E397" s="20"/>
    </row>
    <row r="398">
      <c r="A398" s="20" t="s">
        <v>529</v>
      </c>
      <c r="B398" s="46" t="s">
        <v>299</v>
      </c>
      <c r="C398" s="47">
        <v>769652.95000000007</v>
      </c>
      <c r="D398" s="20"/>
      <c r="E398" s="20"/>
    </row>
    <row r="399">
      <c r="A399" s="20" t="s">
        <v>530</v>
      </c>
      <c r="B399" s="46" t="s">
        <v>299</v>
      </c>
      <c r="C399" s="47">
        <v>35582.3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261570.03</v>
      </c>
      <c r="D414" s="32"/>
      <c r="E414" s="237" t="str">
        <f>IF(OR(C414&gt;999999,C414/(D416)&gt;0.01),"Additional Classification Necessary - See Responses-2 Tab","")</f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261570.03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74982330.95</v>
      </c>
      <c r="E416" s="32"/>
    </row>
    <row r="417">
      <c r="A417" s="32" t="s">
        <v>535</v>
      </c>
      <c r="B417" s="20"/>
      <c r="C417" s="27"/>
      <c r="D417" s="32">
        <f>D384-D416</f>
        <v>4219827.01000002</v>
      </c>
      <c r="E417" s="32"/>
    </row>
    <row r="418">
      <c r="A418" s="32" t="s">
        <v>536</v>
      </c>
      <c r="B418" s="20"/>
      <c r="C418" s="236">
        <v>-116100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-116100</v>
      </c>
      <c r="E420" s="32"/>
    </row>
    <row r="421">
      <c r="A421" s="32" t="s">
        <v>539</v>
      </c>
      <c r="B421" s="20"/>
      <c r="C421" s="27"/>
      <c r="D421" s="32">
        <f>D417+D420</f>
        <v>4103727.0100000203</v>
      </c>
      <c r="E421" s="32"/>
      <c r="F421" s="63"/>
    </row>
    <row r="422">
      <c r="A422" s="32" t="s">
        <v>540</v>
      </c>
      <c r="B422" s="46" t="s">
        <v>299</v>
      </c>
      <c r="C422" s="47">
        <v>0</v>
      </c>
      <c r="D422" s="32"/>
      <c r="E422" s="20"/>
    </row>
    <row r="423">
      <c r="A423" s="20" t="s">
        <v>541</v>
      </c>
      <c r="B423" s="46" t="s">
        <v>299</v>
      </c>
      <c r="C423" s="47">
        <v>0</v>
      </c>
      <c r="D423" s="32"/>
      <c r="E423" s="20"/>
    </row>
    <row r="424">
      <c r="A424" s="20" t="s">
        <v>542</v>
      </c>
      <c r="B424" s="20"/>
      <c r="C424" s="27"/>
      <c r="D424" s="32">
        <f>D421+C422-C423</f>
        <v>4103727.0100000203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107993.04000000004</v>
      </c>
      <c r="E612" s="258">
        <f>SUM(C624:D647)+SUM(C668:D713)</f>
        <v>59893311.119785994</v>
      </c>
      <c r="F612" s="258">
        <f>CE64-(AX64+BD64+BE64+BG64+BJ64+BN64+BP64+BQ64+CB64+CC64+CD64)</f>
        <v>7195786.9</v>
      </c>
      <c r="G612" s="256">
        <f>CE91-(AX91+AY91+BD91+BE91+BG91+BJ91+BN91+BP91+BQ91+CB91+CC91+CD91)</f>
        <v>29576</v>
      </c>
      <c r="H612" s="261">
        <f>CE60-(AX60+AY60+AZ60+BD60+BE60+BG60+BJ60+BN60+BO60+BP60+BQ60+BR60+CB60+CC60+CD60)</f>
        <v>257.385988906099</v>
      </c>
      <c r="I612" s="256">
        <f>CE92-(AX92+AY92+AZ92+BD92+BE92+BF92+BG92+BJ92+BN92+BO92+BP92+BQ92+BR92+CB92+CC92+CD92)</f>
        <v>25188.83437214289</v>
      </c>
      <c r="J612" s="256">
        <f>CE93-(AX93+AY93+AZ93+BA93+BD93+BE93+BF93+BG93+BJ93+BN93+BO93+BP93+BQ93+BR93+CB93+CC93+CD93)</f>
        <v>221777.85895517469</v>
      </c>
      <c r="K612" s="256">
        <f>CE89-(AW89+AX89+AY89+AZ89+BA89+BB89+BC89+BD89+BE89+BF89+BG89+BH89+BI89+BJ89+BK89+BL89+BM89+BN89+BO89+BP89+BQ89+BR89+BS89+BT89+BU89+BV89+BW89+BX89+CB89+CC89+CD89)</f>
        <v>186201312.67</v>
      </c>
      <c r="L612" s="262">
        <f>CE94-(AW94+AX94+AY94+AZ94+BA94+BB94+BC94+BD94+BE94+BF94+BG94+BH94+BI94+BJ94+BK94+BL94+BM94+BN94+BO94+BP94+BQ94+BR94+BS94+BT94+BU94+BV94+BW94+BX94+BY94+BZ94+CA94+CB94+CC94+CD94)</f>
        <v>68.915955871771914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5151228.5299999993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1232972.1199999999</v>
      </c>
      <c r="D615" s="256">
        <f>SUM(C614:C615)</f>
        <v>6384200.6499999994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13290920.840000002</v>
      </c>
      <c r="D619" s="256">
        <f>(D615/D612)*BN90</f>
        <v>1266664.4771108581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61834.650000000023</v>
      </c>
      <c r="D620" s="256">
        <f>(D615/D612)*CC90</f>
        <v>204912.94310314805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14824332.910214007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34841</v>
      </c>
      <c r="D624" s="256">
        <f>(D615/D612)*BD90</f>
        <v>387004.44494558155</v>
      </c>
      <c r="E624" s="258">
        <f>(E623/E612)*SUM(C624:D624)</f>
        <v>104411.94843984442</v>
      </c>
      <c r="F624" s="258">
        <f>SUM(C624:E624)</f>
        <v>526257.39338542591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1206682.68</v>
      </c>
      <c r="D625" s="256">
        <f>(D615/D612)*AY90</f>
        <v>329046.35507923458</v>
      </c>
      <c r="E625" s="258">
        <f>(E623/E612)*SUM(C625:D625)</f>
        <v>380111.86976061849</v>
      </c>
      <c r="F625" s="258">
        <f>(F624/F612)*AY64</f>
        <v>1815.2336867299628</v>
      </c>
      <c r="G625" s="256">
        <f>SUM(C625:F625)</f>
        <v>1917656.1385265831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16661.83</v>
      </c>
      <c r="D626" s="256">
        <f>(D615/D612)*BR90</f>
        <v>38404.032966008723</v>
      </c>
      <c r="E626" s="258">
        <f>(E623/E612)*SUM(C626:D626)</f>
        <v>13629.479975881062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68695.342941889787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1081826.99</v>
      </c>
      <c r="D629" s="256">
        <f>(D615/D612)*BF90</f>
        <v>71463.3179670884</v>
      </c>
      <c r="E629" s="258">
        <f>(E623/E612)*SUM(C629:D629)</f>
        <v>285453.56981907407</v>
      </c>
      <c r="F629" s="258">
        <f>(F624/F612)*BF64</f>
        <v>9571.47643428587</v>
      </c>
      <c r="G629" s="256">
        <f>(G625/G612)*BF91</f>
        <v>0</v>
      </c>
      <c r="H629" s="258">
        <f>(H628/H612)*BF60</f>
        <v>3574.4473580901704</v>
      </c>
      <c r="I629" s="256">
        <f>SUM(C629:H629)</f>
        <v>1451889.8015785387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5214</v>
      </c>
      <c r="D630" s="256">
        <f>(D615/D612)*BA90</f>
        <v>57916.116953449018</v>
      </c>
      <c r="E630" s="258">
        <f>(E623/E612)*SUM(C630:D630)</f>
        <v>15625.482259729464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6801.1780773447381</v>
      </c>
      <c r="J630" s="256">
        <f>SUM(C630:I630)</f>
        <v>85556.777290523227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16336</v>
      </c>
      <c r="D634" s="256">
        <f>(D615/D612)*BI90</f>
        <v>181458.36114224111</v>
      </c>
      <c r="E634" s="258">
        <f>(E623/E612)*SUM(C634:D634)</f>
        <v>48956.542934675483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21308.932516029454</v>
      </c>
      <c r="J634" s="256">
        <f>(J630/J612)*BI93</f>
        <v>0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167862.12</v>
      </c>
      <c r="D637" s="256">
        <f>(D615/D612)*BL90</f>
        <v>0</v>
      </c>
      <c r="E637" s="258">
        <f>(E623/E612)*SUM(C637:D637)</f>
        <v>41547.944225648687</v>
      </c>
      <c r="F637" s="258">
        <f>(F624/F612)*BL64</f>
        <v>0</v>
      </c>
      <c r="G637" s="256">
        <f>(G625/G612)*BL91</f>
        <v>0</v>
      </c>
      <c r="H637" s="258">
        <f>(H628/H612)*BL60</f>
        <v>598.47289954529629</v>
      </c>
      <c r="I637" s="256">
        <f>(I629/I612)*BL92</f>
        <v>0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90694.78</v>
      </c>
      <c r="D639" s="256">
        <f>(D615/D612)*BS90</f>
        <v>136520.74179105426</v>
      </c>
      <c r="E639" s="258">
        <f>(E623/E612)*SUM(C639:D639)</f>
        <v>56238.642920608807</v>
      </c>
      <c r="F639" s="258">
        <f>(F624/F612)*BS64</f>
        <v>17.672855085743045</v>
      </c>
      <c r="G639" s="256">
        <f>(G625/G612)*BS91</f>
        <v>0</v>
      </c>
      <c r="H639" s="258">
        <f>(H628/H612)*BS60</f>
        <v>206.54907558136335</v>
      </c>
      <c r="I639" s="256">
        <f>(I629/I612)*BS92</f>
        <v>16031.839236018839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72605.75</v>
      </c>
      <c r="D640" s="256">
        <f>(D615/D612)*BT90</f>
        <v>0</v>
      </c>
      <c r="E640" s="258">
        <f>(E623/E612)*SUM(C640:D640)</f>
        <v>17970.81826120981</v>
      </c>
      <c r="F640" s="258">
        <f>(F624/F612)*BT64</f>
        <v>0</v>
      </c>
      <c r="G640" s="256">
        <f>(G625/G612)*BT91</f>
        <v>0</v>
      </c>
      <c r="H640" s="258">
        <f>(H628/H612)*BT60</f>
        <v>165.24294217538488</v>
      </c>
      <c r="I640" s="256">
        <f>(I629/I612)*BT92</f>
        <v>0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0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96051.29</v>
      </c>
      <c r="D643" s="256">
        <f>(D615/D612)*BW90</f>
        <v>174035.06723718485</v>
      </c>
      <c r="E643" s="258">
        <f>(E623/E612)*SUM(C643:D643)</f>
        <v>66849.703236198751</v>
      </c>
      <c r="F643" s="258">
        <f>(F624/F612)*BW64</f>
        <v>0</v>
      </c>
      <c r="G643" s="256">
        <f>(G625/G612)*BW91</f>
        <v>0</v>
      </c>
      <c r="H643" s="258">
        <f>(H628/H612)*BW60</f>
        <v>129.85293447312375</v>
      </c>
      <c r="I643" s="256">
        <f>(I629/I612)*BW92</f>
        <v>20437.203774108875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1004132.44</v>
      </c>
      <c r="D644" s="256">
        <f>(D615/D612)*BX90</f>
        <v>0</v>
      </c>
      <c r="E644" s="258">
        <f>(E623/E612)*SUM(C644:D644)</f>
        <v>248535.15857112091</v>
      </c>
      <c r="F644" s="258">
        <f>(F624/F612)*BX64</f>
        <v>13271.021158518141</v>
      </c>
      <c r="G644" s="256">
        <f>(G625/G612)*BX91</f>
        <v>0</v>
      </c>
      <c r="H644" s="258">
        <f>(H628/H612)*BX60</f>
        <v>1279.3558375576201</v>
      </c>
      <c r="I644" s="256">
        <f>(I629/I612)*BX92</f>
        <v>0</v>
      </c>
      <c r="J644" s="256">
        <f>(J630/J612)*BX93</f>
        <v>0</v>
      </c>
      <c r="K644" s="258">
        <f>SUM(C631:J644)</f>
        <v>2493241.5035490361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1331759.9999999998</v>
      </c>
      <c r="D645" s="256">
        <f>(D615/D612)*BY90</f>
        <v>30610.076858318818</v>
      </c>
      <c r="E645" s="258">
        <f>(E623/E612)*SUM(C645:D645)</f>
        <v>337203.39030629507</v>
      </c>
      <c r="F645" s="258">
        <f>(F624/F612)*BY64</f>
        <v>240.05390472311711</v>
      </c>
      <c r="G645" s="256">
        <f>(G625/G612)*BY91</f>
        <v>0</v>
      </c>
      <c r="H645" s="258">
        <f>(H628/H612)*BY60</f>
        <v>1875.7556768820994</v>
      </c>
      <c r="I645" s="256">
        <f>(I629/I612)*BY92</f>
        <v>3594.5880805850129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342776.3</v>
      </c>
      <c r="D646" s="256">
        <f>(D615/D612)*BZ90</f>
        <v>0</v>
      </c>
      <c r="E646" s="258">
        <f>(E623/E612)*SUM(C646:D646)</f>
        <v>84841.360244194584</v>
      </c>
      <c r="F646" s="258">
        <f>(F624/F612)*BZ64</f>
        <v>0</v>
      </c>
      <c r="G646" s="256">
        <f>(G625/G612)*BZ91</f>
        <v>0</v>
      </c>
      <c r="H646" s="258">
        <f>(H628/H612)*BZ60</f>
        <v>424.26121583956058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2133325.7862868384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25204401.32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ref="M668:M713" t="shared" si="18">ROUND(SUM(D668:L668),0)</f>
        <v>0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7774085.7300000014</v>
      </c>
      <c r="D670" s="256">
        <f>(D615/D612)*E90</f>
        <v>711232.78255836654</v>
      </c>
      <c r="E670" s="258">
        <f>(E623/E612)*SUM(C670:D670)</f>
        <v>2100220.9450031924</v>
      </c>
      <c r="F670" s="258">
        <f>(F624/F612)*E64</f>
        <v>19205.044450182941</v>
      </c>
      <c r="G670" s="256">
        <f>(G625/G612)*E91</f>
        <v>1361343.9371282167</v>
      </c>
      <c r="H670" s="258">
        <f>(H628/H612)*E60</f>
        <v>12243.858497743815</v>
      </c>
      <c r="I670" s="256">
        <f>(I629/I612)*E92</f>
        <v>285306.25127894606</v>
      </c>
      <c r="J670" s="256">
        <f>(J630/J612)*E93</f>
        <v>24826.091473729575</v>
      </c>
      <c r="K670" s="256">
        <f>(K644/K612)*E89</f>
        <v>171448.60539515154</v>
      </c>
      <c r="L670" s="256">
        <f>(L647/L612)*E94</f>
        <v>660249.564493797</v>
      </c>
      <c r="M670" s="231">
        <f t="shared" si="18"/>
        <v>5346077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3878299.86</v>
      </c>
      <c r="D672" s="256">
        <f>(D615/D612)*G90</f>
        <v>0</v>
      </c>
      <c r="E672" s="258">
        <f>(E623/E612)*SUM(C672:D672)</f>
        <v>959927.02983627934</v>
      </c>
      <c r="F672" s="258">
        <f>(F624/F612)*G64</f>
        <v>6025.8431532834684</v>
      </c>
      <c r="G672" s="256">
        <f>(G625/G612)*G91</f>
        <v>0</v>
      </c>
      <c r="H672" s="258">
        <f>(H628/H612)*G60</f>
        <v>4316.668209473326</v>
      </c>
      <c r="I672" s="256">
        <f>(I629/I612)*G92</f>
        <v>0</v>
      </c>
      <c r="J672" s="256">
        <f>(J630/J612)*G93</f>
        <v>8867.5364027726973</v>
      </c>
      <c r="K672" s="256">
        <f>(K644/K612)*G89</f>
        <v>129641.79275259961</v>
      </c>
      <c r="L672" s="256">
        <f>(L647/L612)*G94</f>
        <v>296885.07482316159</v>
      </c>
      <c r="M672" s="231">
        <f t="shared" si="18"/>
        <v>1405664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1675.5</v>
      </c>
      <c r="D677" s="256">
        <f>(D615/D612)*L90</f>
        <v>0</v>
      </c>
      <c r="E677" s="258">
        <f>(E623/E612)*SUM(C677:D677)</f>
        <v>414.70690677607536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60635.661162219025</v>
      </c>
      <c r="L677" s="256">
        <f>(L647/L612)*L94</f>
        <v>0</v>
      </c>
      <c r="M677" s="231">
        <f t="shared" si="18"/>
        <v>61050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42111.740000000005</v>
      </c>
      <c r="D678" s="256">
        <f>(D615/D612)*M90</f>
        <v>0</v>
      </c>
      <c r="E678" s="258">
        <f>(E623/E612)*SUM(C678:D678)</f>
        <v>10423.174833994823</v>
      </c>
      <c r="F678" s="258">
        <f>(F624/F612)*M64</f>
        <v>0</v>
      </c>
      <c r="G678" s="256">
        <f>(G625/G612)*M91</f>
        <v>0</v>
      </c>
      <c r="H678" s="258">
        <f>(H628/H612)*M60</f>
        <v>80.362182523074509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10504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570198.88</v>
      </c>
      <c r="D679" s="256">
        <f>(D615/D612)*N90</f>
        <v>0</v>
      </c>
      <c r="E679" s="258">
        <f>(E623/E612)*SUM(C679:D679)</f>
        <v>141131.25262428087</v>
      </c>
      <c r="F679" s="258">
        <f>(F624/F612)*N64</f>
        <v>0</v>
      </c>
      <c r="G679" s="256">
        <f>(G625/G612)*N91</f>
        <v>0</v>
      </c>
      <c r="H679" s="258">
        <f>(H628/H612)*N60</f>
        <v>0.0025663096366640077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141131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1983835.24</v>
      </c>
      <c r="D681" s="256">
        <f>(D615/D612)*P90</f>
        <v>190588.35644921646</v>
      </c>
      <c r="E681" s="258">
        <f>(E623/E612)*SUM(C681:D681)</f>
        <v>538196.64798828028</v>
      </c>
      <c r="F681" s="258">
        <f>(F624/F612)*P64</f>
        <v>45203.775006512071</v>
      </c>
      <c r="G681" s="256">
        <f>(G625/G612)*P91</f>
        <v>0</v>
      </c>
      <c r="H681" s="258">
        <f>(H628/H612)*P60</f>
        <v>2050.4931890002294</v>
      </c>
      <c r="I681" s="256">
        <f>(I629/I612)*P92</f>
        <v>87643.779351787132</v>
      </c>
      <c r="J681" s="256">
        <f>(J630/J612)*P93</f>
        <v>4066.7129823933865</v>
      </c>
      <c r="K681" s="256">
        <f>(K644/K612)*P89</f>
        <v>121892.86483895993</v>
      </c>
      <c r="L681" s="256">
        <f>(L647/L612)*P94</f>
        <v>65181.301342293758</v>
      </c>
      <c r="M681" s="231">
        <f t="shared" si="18"/>
        <v>1054824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501941.93</v>
      </c>
      <c r="D682" s="256">
        <f>(D615/D612)*Q90</f>
        <v>0</v>
      </c>
      <c r="E682" s="258">
        <f>(E623/E612)*SUM(C682:D682)</f>
        <v>124236.81597822343</v>
      </c>
      <c r="F682" s="258">
        <f>(F624/F612)*Q64</f>
        <v>344.78559156581662</v>
      </c>
      <c r="G682" s="256">
        <f>(G625/G612)*Q91</f>
        <v>0</v>
      </c>
      <c r="H682" s="258">
        <f>(H628/H612)*Q60</f>
        <v>752.111443872146</v>
      </c>
      <c r="I682" s="256">
        <f>(I629/I612)*Q92</f>
        <v>0</v>
      </c>
      <c r="J682" s="256">
        <f>(J630/J612)*Q93</f>
        <v>1381.3359982376649</v>
      </c>
      <c r="K682" s="256">
        <f>(K644/K612)*Q89</f>
        <v>7277.2546693848226</v>
      </c>
      <c r="L682" s="256">
        <f>(L647/L612)*Q94</f>
        <v>87232.275489548425</v>
      </c>
      <c r="M682" s="231">
        <f t="shared" si="18"/>
        <v>221225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416086.39</v>
      </c>
      <c r="D683" s="256">
        <f>(D615/D612)*R90</f>
        <v>2176.0886250308345</v>
      </c>
      <c r="E683" s="258">
        <f>(E623/E612)*SUM(C683:D683)</f>
        <v>103525.12010210737</v>
      </c>
      <c r="F683" s="258">
        <f>(F624/F612)*R64</f>
        <v>974.06429192800033</v>
      </c>
      <c r="G683" s="256">
        <f>(G625/G612)*R91</f>
        <v>0</v>
      </c>
      <c r="H683" s="258">
        <f>(H628/H612)*R60</f>
        <v>0.0012831548183320038</v>
      </c>
      <c r="I683" s="256">
        <f>(I629/I612)*R92</f>
        <v>1000.6940342809194</v>
      </c>
      <c r="J683" s="256">
        <f>(J630/J612)*R93</f>
        <v>0</v>
      </c>
      <c r="K683" s="256">
        <f>(K644/K612)*R89</f>
        <v>29113.999769380272</v>
      </c>
      <c r="L683" s="256">
        <f>(L647/L612)*R94</f>
        <v>0</v>
      </c>
      <c r="M683" s="231">
        <f t="shared" si="18"/>
        <v>136790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255145.42</v>
      </c>
      <c r="D684" s="256">
        <f>(D615/D612)*S90</f>
        <v>161817.99374495796</v>
      </c>
      <c r="E684" s="258">
        <f>(E623/E612)*SUM(C684:D684)</f>
        <v>103203.58552847774</v>
      </c>
      <c r="F684" s="258">
        <f>(F624/F612)*S64</f>
        <v>3996.2607350376588</v>
      </c>
      <c r="G684" s="256">
        <f>(G625/G612)*S91</f>
        <v>0</v>
      </c>
      <c r="H684" s="258">
        <f>(H628/H612)*S60</f>
        <v>568.75177725997025</v>
      </c>
      <c r="I684" s="256">
        <f>(I629/I612)*S92</f>
        <v>55410.933696439017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324998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1084535.37</v>
      </c>
      <c r="D685" s="256">
        <f>(D615/D612)*T90</f>
        <v>0</v>
      </c>
      <c r="E685" s="258">
        <f>(E623/E612)*SUM(C685:D685)</f>
        <v>268435.87501160637</v>
      </c>
      <c r="F685" s="258">
        <f>(F624/F612)*T64</f>
        <v>3808.2256524349114</v>
      </c>
      <c r="G685" s="256">
        <f>(G625/G612)*T91</f>
        <v>0</v>
      </c>
      <c r="H685" s="258">
        <f>(H628/H612)*T60</f>
        <v>1975.9513838557252</v>
      </c>
      <c r="I685" s="256">
        <f>(I629/I612)*T92</f>
        <v>0</v>
      </c>
      <c r="J685" s="256">
        <f>(J630/J612)*T93</f>
        <v>0</v>
      </c>
      <c r="K685" s="256">
        <f>(K644/K612)*T89</f>
        <v>25651.404488148717</v>
      </c>
      <c r="L685" s="256">
        <f>(L647/L612)*T94</f>
        <v>163866.82851926787</v>
      </c>
      <c r="M685" s="231">
        <f t="shared" si="18"/>
        <v>463738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2191280.41</v>
      </c>
      <c r="D686" s="256">
        <f>(D615/D612)*U90</f>
        <v>58439.3004452046</v>
      </c>
      <c r="E686" s="258">
        <f>(E623/E612)*SUM(C686:D686)</f>
        <v>556833.36450725084</v>
      </c>
      <c r="F686" s="258">
        <f>(F624/F612)*U64</f>
        <v>4531.4414465892851</v>
      </c>
      <c r="G686" s="256">
        <f>(G625/G612)*U91</f>
        <v>0</v>
      </c>
      <c r="H686" s="258">
        <f>(H628/H612)*U60</f>
        <v>2673.5788323024267</v>
      </c>
      <c r="I686" s="256">
        <f>(I629/I612)*U92</f>
        <v>23442.532664777878</v>
      </c>
      <c r="J686" s="256">
        <f>(J630/J612)*U93</f>
        <v>0</v>
      </c>
      <c r="K686" s="256">
        <f>(K644/K612)*U89</f>
        <v>190124.245170613</v>
      </c>
      <c r="L686" s="256">
        <f>(L647/L612)*U94</f>
        <v>0</v>
      </c>
      <c r="M686" s="231">
        <f t="shared" si="18"/>
        <v>836044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0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713918.99</v>
      </c>
      <c r="D688" s="256">
        <f>(D615/D612)*W90</f>
        <v>0</v>
      </c>
      <c r="E688" s="258">
        <f>(E623/E612)*SUM(C688:D688)</f>
        <v>176703.75173476565</v>
      </c>
      <c r="F688" s="258">
        <f>(F624/F612)*W64</f>
        <v>1355.0307850788315</v>
      </c>
      <c r="G688" s="256">
        <f>(G625/G612)*W91</f>
        <v>0</v>
      </c>
      <c r="H688" s="258">
        <f>(H628/H612)*W60</f>
        <v>0</v>
      </c>
      <c r="I688" s="256">
        <f>(I629/I612)*W92</f>
        <v>0</v>
      </c>
      <c r="J688" s="256">
        <f>(J630/J612)*W93</f>
        <v>0</v>
      </c>
      <c r="K688" s="256">
        <f>(K644/K612)*W89</f>
        <v>61693.4000316606</v>
      </c>
      <c r="L688" s="256">
        <f>(L647/L612)*W94</f>
        <v>0</v>
      </c>
      <c r="M688" s="231">
        <f t="shared" si="18"/>
        <v>239752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461323.10000000003</v>
      </c>
      <c r="D689" s="256">
        <f>(D615/D612)*X90</f>
        <v>32796.215335733657</v>
      </c>
      <c r="E689" s="258">
        <f>(E623/E612)*SUM(C689:D689)</f>
        <v>122300.62240596497</v>
      </c>
      <c r="F689" s="258">
        <f>(F624/F612)*X64</f>
        <v>5915.9957361976576</v>
      </c>
      <c r="G689" s="256">
        <f>(G625/G612)*X91</f>
        <v>0</v>
      </c>
      <c r="H689" s="258">
        <f>(H628/H612)*X60</f>
        <v>628.60176480462417</v>
      </c>
      <c r="I689" s="256">
        <f>(I629/I612)*X92</f>
        <v>13155.981393204951</v>
      </c>
      <c r="J689" s="256">
        <f>(J630/J612)*X93</f>
        <v>0</v>
      </c>
      <c r="K689" s="256">
        <f>(K644/K612)*X89</f>
        <v>335534.531065347</v>
      </c>
      <c r="L689" s="256">
        <f>(L647/L612)*X94</f>
        <v>353.45763247822379</v>
      </c>
      <c r="M689" s="231">
        <f t="shared" si="18"/>
        <v>510685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2014461.9000000001</v>
      </c>
      <c r="D690" s="256">
        <f>(D615/D612)*Y90</f>
        <v>368235.45886677038</v>
      </c>
      <c r="E690" s="258">
        <f>(E623/E612)*SUM(C690:D690)</f>
        <v>589746.97193623567</v>
      </c>
      <c r="F690" s="258">
        <f>(F624/F612)*Y64</f>
        <v>6899.693251679947</v>
      </c>
      <c r="G690" s="256">
        <f>(G625/G612)*Y91</f>
        <v>495493.92110563122</v>
      </c>
      <c r="H690" s="258">
        <f>(H628/H612)*Y60</f>
        <v>2906.5883552082446</v>
      </c>
      <c r="I690" s="256">
        <f>(I629/I612)*Y92</f>
        <v>147715.17980280836</v>
      </c>
      <c r="J690" s="256">
        <f>(J630/J612)*Y93</f>
        <v>12673.730070133197</v>
      </c>
      <c r="K690" s="256">
        <f>(K644/K612)*Y89</f>
        <v>133892.47509476036</v>
      </c>
      <c r="L690" s="256">
        <f>(L647/L612)*Y94</f>
        <v>1737.526785018149</v>
      </c>
      <c r="M690" s="231">
        <f t="shared" si="18"/>
        <v>1759302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2003241.06</v>
      </c>
      <c r="D691" s="256">
        <f>(D615/D612)*Z90</f>
        <v>327919.58927665144</v>
      </c>
      <c r="E691" s="258">
        <f>(E623/E612)*SUM(C691:D691)</f>
        <v>576991.00093084306</v>
      </c>
      <c r="F691" s="258">
        <f>(F624/F612)*Z64</f>
        <v>2273.7742503049549</v>
      </c>
      <c r="G691" s="256">
        <f>(G625/G612)*Z91</f>
        <v>0</v>
      </c>
      <c r="H691" s="258">
        <f>(H628/H612)*Z60</f>
        <v>2168.5444300771205</v>
      </c>
      <c r="I691" s="256">
        <f>(I629/I612)*Z92</f>
        <v>131542.73963711091</v>
      </c>
      <c r="J691" s="256">
        <f>(J630/J612)*Z93</f>
        <v>3935.8903281378439</v>
      </c>
      <c r="K691" s="256">
        <f>(K644/K612)*Z89</f>
        <v>155547.08563428815</v>
      </c>
      <c r="L691" s="256">
        <f>(L647/L612)*Z94</f>
        <v>44070.643103441</v>
      </c>
      <c r="M691" s="231">
        <f t="shared" si="18"/>
        <v>1244449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262553.21</v>
      </c>
      <c r="D692" s="256">
        <f>(D615/D612)*AA90</f>
        <v>68777.051541622481</v>
      </c>
      <c r="E692" s="258">
        <f>(E623/E612)*SUM(C692:D692)</f>
        <v>82008.324610703858</v>
      </c>
      <c r="F692" s="258">
        <f>(F624/F612)*AA64</f>
        <v>2740.8129962137496</v>
      </c>
      <c r="G692" s="256">
        <f>(G625/G612)*AA91</f>
        <v>0</v>
      </c>
      <c r="H692" s="258">
        <f>(H628/H612)*AA60</f>
        <v>297.35525579010812</v>
      </c>
      <c r="I692" s="256">
        <f>(I629/I612)*AA92</f>
        <v>27589.452047999304</v>
      </c>
      <c r="J692" s="256">
        <f>(J630/J612)*AA93</f>
        <v>0</v>
      </c>
      <c r="K692" s="256">
        <f>(K644/K612)*AA89</f>
        <v>18794.622928806508</v>
      </c>
      <c r="L692" s="256">
        <f>(L647/L612)*AA94</f>
        <v>26.044297293463991</v>
      </c>
      <c r="M692" s="231">
        <f t="shared" si="18"/>
        <v>200234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5583744.9100000011</v>
      </c>
      <c r="D693" s="256">
        <f>(D615/D612)*AB90</f>
        <v>75048.159429241889</v>
      </c>
      <c r="E693" s="258">
        <f>(E623/E612)*SUM(C693:D693)</f>
        <v>1400621.0503783315</v>
      </c>
      <c r="F693" s="258">
        <f>(F624/F612)*AB64</f>
        <v>305015.23621020594</v>
      </c>
      <c r="G693" s="256">
        <f>(G625/G612)*AB91</f>
        <v>0</v>
      </c>
      <c r="H693" s="258">
        <f>(H628/H612)*AB60</f>
        <v>2077.406785224051</v>
      </c>
      <c r="I693" s="256">
        <f>(I629/I612)*AB92</f>
        <v>25698.554838887198</v>
      </c>
      <c r="J693" s="256">
        <f>(J630/J612)*AB93</f>
        <v>0</v>
      </c>
      <c r="K693" s="256">
        <f>(K644/K612)*AB89</f>
        <v>219210.76872857721</v>
      </c>
      <c r="L693" s="256">
        <f>(L647/L612)*AB94</f>
        <v>0</v>
      </c>
      <c r="M693" s="231">
        <f t="shared" si="18"/>
        <v>2027671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1196583.3699999999</v>
      </c>
      <c r="D694" s="256">
        <f>(D615/D612)*AC90</f>
        <v>55074.37339992464</v>
      </c>
      <c r="E694" s="258">
        <f>(E623/E612)*SUM(C694:D694)</f>
        <v>309800.72283360513</v>
      </c>
      <c r="F694" s="258">
        <f>(F624/F612)*AC64</f>
        <v>4629.18955829382</v>
      </c>
      <c r="G694" s="256">
        <f>(G625/G612)*AC91</f>
        <v>0</v>
      </c>
      <c r="H694" s="258">
        <f>(H628/H612)*AC60</f>
        <v>2234.949852346077</v>
      </c>
      <c r="I694" s="256">
        <f>(I629/I612)*AC92</f>
        <v>18858.980897056368</v>
      </c>
      <c r="J694" s="256">
        <f>(J630/J612)*AC93</f>
        <v>0</v>
      </c>
      <c r="K694" s="256">
        <f>(K644/K612)*AC89</f>
        <v>41789.325260981183</v>
      </c>
      <c r="L694" s="256">
        <f>(L647/L612)*AC94</f>
        <v>14.882448003184805</v>
      </c>
      <c r="M694" s="231">
        <f t="shared" si="18"/>
        <v>432402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1368138.9000000001</v>
      </c>
      <c r="D696" s="256">
        <f>(D615/D612)*AE90</f>
        <v>253753.45218605286</v>
      </c>
      <c r="E696" s="258">
        <f>(E623/E612)*SUM(C696:D696)</f>
        <v>401438.35302826087</v>
      </c>
      <c r="F696" s="258">
        <f>(F624/F612)*AE64</f>
        <v>718.3267796189632</v>
      </c>
      <c r="G696" s="256">
        <f>(G625/G612)*AE91</f>
        <v>0</v>
      </c>
      <c r="H696" s="258">
        <f>(H628/H612)*AE60</f>
        <v>2782.5742040988544</v>
      </c>
      <c r="I696" s="256">
        <f>(I629/I612)*AE92</f>
        <v>86892.164393565778</v>
      </c>
      <c r="J696" s="256">
        <f>(J630/J612)*AE93</f>
        <v>0</v>
      </c>
      <c r="K696" s="256">
        <f>(K644/K612)*AE89</f>
        <v>53507.9731483819</v>
      </c>
      <c r="L696" s="256">
        <f>(L647/L612)*AE94</f>
        <v>0</v>
      </c>
      <c r="M696" s="231">
        <f t="shared" si="18"/>
        <v>799093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5564124.12</v>
      </c>
      <c r="D698" s="256">
        <f>(D615/D612)*AG90</f>
        <v>450734.69708707137</v>
      </c>
      <c r="E698" s="258">
        <f>(E623/E612)*SUM(C698:D698)</f>
        <v>1488751.712759763</v>
      </c>
      <c r="F698" s="258">
        <f>(F624/F612)*AG64</f>
        <v>34775.532599416438</v>
      </c>
      <c r="G698" s="256">
        <f>(G625/G612)*AG91</f>
        <v>60818.280292735159</v>
      </c>
      <c r="H698" s="258">
        <f>(H628/H612)*AG60</f>
        <v>6790.8188369951322</v>
      </c>
      <c r="I698" s="256">
        <f>(I629/I612)*AG92</f>
        <v>207274.42679962466</v>
      </c>
      <c r="J698" s="256">
        <f>(J630/J612)*AG93</f>
        <v>26806.376468935017</v>
      </c>
      <c r="K698" s="256">
        <f>(K644/K612)*AG89</f>
        <v>477066.07957460248</v>
      </c>
      <c r="L698" s="256">
        <f>(L647/L612)*AG94</f>
        <v>538591.60815036134</v>
      </c>
      <c r="M698" s="231">
        <f t="shared" si="18"/>
        <v>3291610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621609.1</v>
      </c>
      <c r="D700" s="256">
        <f>(D615/D612)*AI90</f>
        <v>0</v>
      </c>
      <c r="E700" s="258">
        <f>(E623/E612)*SUM(C700:D700)</f>
        <v>153855.91589666373</v>
      </c>
      <c r="F700" s="258">
        <f>(F624/F612)*AI64</f>
        <v>4478.5567167336985</v>
      </c>
      <c r="G700" s="256">
        <f>(G625/G612)*AI91</f>
        <v>0</v>
      </c>
      <c r="H700" s="258">
        <f>(H628/H612)*AI60</f>
        <v>1002.4898686581187</v>
      </c>
      <c r="I700" s="256">
        <f>(I629/I612)*AI92</f>
        <v>0</v>
      </c>
      <c r="J700" s="256">
        <f>(J630/J612)*AI93</f>
        <v>1839.6626805639864</v>
      </c>
      <c r="K700" s="256">
        <f>(K644/K612)*AI89</f>
        <v>0</v>
      </c>
      <c r="L700" s="256">
        <f>(L647/L612)*AI94</f>
        <v>83713.960741665054</v>
      </c>
      <c r="M700" s="231">
        <f t="shared" si="18"/>
        <v>244891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11024144.129999999</v>
      </c>
      <c r="D701" s="256">
        <f>(D615/D612)*AJ90</f>
        <v>749571.19589998561</v>
      </c>
      <c r="E701" s="258">
        <f>(E623/E612)*SUM(C701:D701)</f>
        <v>2914139.6980400207</v>
      </c>
      <c r="F701" s="258">
        <f>(F624/F612)*AJ64</f>
        <v>48448.74010998517</v>
      </c>
      <c r="G701" s="256">
        <f>(G625/G612)*AJ91</f>
        <v>0</v>
      </c>
      <c r="H701" s="258">
        <f>(H628/H612)*AJ60</f>
        <v>14890.296283047663</v>
      </c>
      <c r="I701" s="256">
        <f>(I629/I612)*AJ92</f>
        <v>272184.38905796316</v>
      </c>
      <c r="J701" s="256">
        <f>(J630/J612)*AJ93</f>
        <v>1159.4408856198663</v>
      </c>
      <c r="K701" s="256">
        <f>(K644/K612)*AJ89</f>
        <v>260419.41383517391</v>
      </c>
      <c r="L701" s="256">
        <f>(L647/L612)*AJ94</f>
        <v>191402.6184605092</v>
      </c>
      <c r="M701" s="231">
        <f t="shared" si="18"/>
        <v>4452216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21.96</v>
      </c>
      <c r="D707" s="256">
        <f>(D615/D612)*AP90</f>
        <v>0</v>
      </c>
      <c r="E707" s="258">
        <f>(E623/E612)*SUM(C707:D707)</f>
        <v>5.4353707387661085</v>
      </c>
      <c r="F707" s="258">
        <f>(F624/F612)*AP64</f>
        <v>1.6060248197099825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7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181.49</v>
      </c>
      <c r="D713" s="256">
        <f>(D615/D612)*AV90</f>
        <v>0</v>
      </c>
      <c r="E713" s="258">
        <f>(E623/E612)*SUM(C713:D713)</f>
        <v>44.921012540011887</v>
      </c>
      <c r="F713" s="258">
        <f>(F624/F612)*AV64</f>
        <v>0</v>
      </c>
      <c r="G713" s="256">
        <f>(G625/G612)*AV91</f>
        <v>0</v>
      </c>
      <c r="H713" s="258">
        <f>(H628/H612)*AV60</f>
        <v>0</v>
      </c>
      <c r="I713" s="256">
        <f>(I629/I612)*AV92</f>
        <v>0</v>
      </c>
      <c r="J713" s="256">
        <f>(J630/J612)*AV93</f>
        <v>0</v>
      </c>
      <c r="K713" s="256">
        <f>(K644/K612)*AV89</f>
        <v>0</v>
      </c>
      <c r="L713" s="256">
        <f>(L647/L612)*AV94</f>
        <v>0</v>
      </c>
      <c r="M713" s="231">
        <f t="shared" si="18"/>
        <v>45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74717644.03</v>
      </c>
      <c r="D715" s="231">
        <f>SUM(D616:D647)+SUM(D668:D713)</f>
        <v>6384200.6499999985</v>
      </c>
      <c r="E715" s="231">
        <f>SUM(E624:E647)+SUM(E668:E713)</f>
        <v>14824332.910214005</v>
      </c>
      <c r="F715" s="231">
        <f>SUM(F625:F648)+SUM(F668:F713)</f>
        <v>526257.39338542591</v>
      </c>
      <c r="G715" s="231">
        <f>SUM(G626:G647)+SUM(G668:G713)</f>
        <v>1917656.1385265831</v>
      </c>
      <c r="H715" s="231">
        <f>SUM(H629:H647)+SUM(H668:H713)</f>
        <v>68695.342941889787</v>
      </c>
      <c r="I715" s="231">
        <f>SUM(I630:I647)+SUM(I668:I713)</f>
        <v>1451889.8015785383</v>
      </c>
      <c r="J715" s="231">
        <f>SUM(J631:J647)+SUM(J668:J713)</f>
        <v>85556.777290523241</v>
      </c>
      <c r="K715" s="231">
        <f>SUM(K668:K713)</f>
        <v>2493241.5035490361</v>
      </c>
      <c r="L715" s="231">
        <f>SUM(L668:L713)</f>
        <v>2133325.7862868384</v>
      </c>
      <c r="M715" s="231">
        <f>SUM(M668:M713)</f>
        <v>25204402</v>
      </c>
      <c r="N715" s="250" t="s">
        <v>697</v>
      </c>
    </row>
    <row r="716" ht="12.6" customHeight="1" s="231" customFormat="1">
      <c r="C716" s="253">
        <f>CE85</f>
        <v>74717644.030000016</v>
      </c>
      <c r="D716" s="231">
        <f>D615</f>
        <v>6384200.6499999994</v>
      </c>
      <c r="E716" s="231">
        <f>E623</f>
        <v>14824332.910214007</v>
      </c>
      <c r="F716" s="231">
        <f>F624</f>
        <v>526257.39338542591</v>
      </c>
      <c r="G716" s="231">
        <f>G625</f>
        <v>1917656.1385265831</v>
      </c>
      <c r="H716" s="231">
        <f>H628</f>
        <v>68695.342941889787</v>
      </c>
      <c r="I716" s="231">
        <f>I629</f>
        <v>1451889.8015785387</v>
      </c>
      <c r="J716" s="231">
        <f>J630</f>
        <v>85556.777290523227</v>
      </c>
      <c r="K716" s="231">
        <f>K644</f>
        <v>2493241.5035490361</v>
      </c>
      <c r="L716" s="231">
        <f>L647</f>
        <v>2133325.7862868384</v>
      </c>
      <c r="M716" s="231">
        <f>C648</f>
        <v>25204401.32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PeaceHealth United General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0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23513160.110000003</v>
      </c>
    </row>
    <row r="9" ht="20.1" customHeight="1">
      <c r="A9" s="188">
        <v>5</v>
      </c>
      <c r="B9" s="190" t="s">
        <v>907</v>
      </c>
      <c r="C9" s="190">
        <f>data!C269</f>
        <v>13146281</v>
      </c>
    </row>
    <row r="10" ht="20.1" customHeight="1">
      <c r="A10" s="188">
        <v>6</v>
      </c>
      <c r="B10" s="190" t="s">
        <v>908</v>
      </c>
      <c r="C10" s="190">
        <f>data!C270</f>
        <v>601278.88000000059</v>
      </c>
    </row>
    <row r="11" ht="20.1" customHeight="1">
      <c r="A11" s="188">
        <v>7</v>
      </c>
      <c r="B11" s="190" t="s">
        <v>909</v>
      </c>
      <c r="C11" s="190">
        <f>data!C271</f>
        <v>0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0</v>
      </c>
    </row>
    <row r="14" ht="20.1" customHeight="1">
      <c r="A14" s="188">
        <v>10</v>
      </c>
      <c r="B14" s="190" t="s">
        <v>433</v>
      </c>
      <c r="C14" s="190">
        <f>data!C274</f>
        <v>0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10968157.990000004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394</v>
      </c>
      <c r="C25" s="190">
        <f>data!C283</f>
        <v>0</v>
      </c>
    </row>
    <row r="26" ht="20.1" customHeight="1">
      <c r="A26" s="188">
        <v>22</v>
      </c>
      <c r="B26" s="190" t="s">
        <v>395</v>
      </c>
      <c r="C26" s="190">
        <f>data!C284</f>
        <v>123782.54</v>
      </c>
    </row>
    <row r="27" ht="20.1" customHeight="1">
      <c r="A27" s="188">
        <v>23</v>
      </c>
      <c r="B27" s="190" t="s">
        <v>396</v>
      </c>
      <c r="C27" s="190">
        <f>data!C285</f>
        <v>16972955.12</v>
      </c>
    </row>
    <row r="28" ht="20.1" customHeight="1">
      <c r="A28" s="188">
        <v>24</v>
      </c>
      <c r="B28" s="190" t="s">
        <v>915</v>
      </c>
      <c r="C28" s="190">
        <f>data!C286</f>
        <v>0</v>
      </c>
    </row>
    <row r="29" ht="20.1" customHeight="1">
      <c r="A29" s="188">
        <v>25</v>
      </c>
      <c r="B29" s="190" t="s">
        <v>398</v>
      </c>
      <c r="C29" s="190">
        <f>data!C287</f>
        <v>2517058.96</v>
      </c>
    </row>
    <row r="30" ht="20.1" customHeight="1">
      <c r="A30" s="188">
        <v>26</v>
      </c>
      <c r="B30" s="190" t="s">
        <v>442</v>
      </c>
      <c r="C30" s="190">
        <f>data!C288</f>
        <v>13726553.309999989</v>
      </c>
    </row>
    <row r="31" ht="20.1" customHeight="1">
      <c r="A31" s="188">
        <v>27</v>
      </c>
      <c r="B31" s="190" t="s">
        <v>401</v>
      </c>
      <c r="C31" s="190">
        <f>data!C289</f>
        <v>6589199.96</v>
      </c>
    </row>
    <row r="32" ht="20.1" customHeight="1">
      <c r="A32" s="188">
        <v>28</v>
      </c>
      <c r="B32" s="190" t="s">
        <v>402</v>
      </c>
      <c r="C32" s="190">
        <f>data!C290</f>
        <v>5395529.06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11434761.910000004</v>
      </c>
    </row>
    <row r="35" ht="20.1" customHeight="1">
      <c r="A35" s="188">
        <v>31</v>
      </c>
      <c r="B35" s="190" t="s">
        <v>917</v>
      </c>
      <c r="C35" s="190">
        <f>data!D293</f>
        <v>33890317.039999992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0</v>
      </c>
    </row>
    <row r="41" ht="20.1" customHeight="1">
      <c r="A41" s="188">
        <v>37</v>
      </c>
      <c r="B41" s="190" t="s">
        <v>437</v>
      </c>
      <c r="C41" s="190">
        <f>data!C298</f>
        <v>0</v>
      </c>
    </row>
    <row r="42" ht="20.1" customHeight="1">
      <c r="A42" s="188">
        <v>38</v>
      </c>
      <c r="B42" s="190" t="s">
        <v>921</v>
      </c>
      <c r="C42" s="190">
        <f>data!D299</f>
        <v>0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452</v>
      </c>
      <c r="C45" s="190">
        <f>data!C302</f>
        <v>0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0</v>
      </c>
    </row>
    <row r="49" ht="20.1" customHeight="1">
      <c r="A49" s="188">
        <v>45</v>
      </c>
      <c r="B49" s="190" t="s">
        <v>924</v>
      </c>
      <c r="C49" s="190">
        <f>data!D306</f>
        <v>0</v>
      </c>
    </row>
    <row r="50" ht="20.1" customHeight="1">
      <c r="A50" s="193">
        <v>46</v>
      </c>
      <c r="B50" s="194" t="s">
        <v>925</v>
      </c>
      <c r="C50" s="190">
        <f>data!D308</f>
        <v>44858475.029999994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PeaceHealth United General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0</v>
      </c>
    </row>
    <row r="60" ht="20.1" customHeight="1">
      <c r="A60" s="188">
        <v>4</v>
      </c>
      <c r="B60" s="190" t="s">
        <v>930</v>
      </c>
      <c r="C60" s="190">
        <f>data!C316</f>
        <v>0</v>
      </c>
    </row>
    <row r="61" ht="20.1" customHeight="1">
      <c r="A61" s="188">
        <v>5</v>
      </c>
      <c r="B61" s="190" t="s">
        <v>463</v>
      </c>
      <c r="C61" s="190">
        <f>data!C317</f>
        <v>0</v>
      </c>
    </row>
    <row r="62" ht="20.1" customHeight="1">
      <c r="A62" s="188">
        <v>6</v>
      </c>
      <c r="B62" s="190" t="s">
        <v>931</v>
      </c>
      <c r="C62" s="190">
        <f>data!C318</f>
        <v>2201469.1199999996</v>
      </c>
    </row>
    <row r="63" ht="20.1" customHeight="1">
      <c r="A63" s="188">
        <v>7</v>
      </c>
      <c r="B63" s="190" t="s">
        <v>932</v>
      </c>
      <c r="C63" s="190">
        <f>data!C319</f>
        <v>0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0</v>
      </c>
    </row>
    <row r="68" ht="20.1" customHeight="1">
      <c r="A68" s="188">
        <v>12</v>
      </c>
      <c r="B68" s="190" t="s">
        <v>934</v>
      </c>
      <c r="C68" s="190">
        <f>data!D324</f>
        <v>2201469.1199999996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0</v>
      </c>
    </row>
    <row r="74" ht="20.1" customHeight="1">
      <c r="A74" s="188">
        <v>18</v>
      </c>
      <c r="B74" s="190" t="s">
        <v>937</v>
      </c>
      <c r="C74" s="190">
        <f>data!D329</f>
        <v>0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0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0</v>
      </c>
    </row>
    <row r="85" ht="20.1" customHeight="1">
      <c r="A85" s="188">
        <v>29</v>
      </c>
      <c r="B85" s="190" t="s">
        <v>615</v>
      </c>
      <c r="C85" s="190">
        <f>data!D339</f>
        <v>0</v>
      </c>
    </row>
    <row r="86" ht="20.1" customHeight="1">
      <c r="A86" s="188">
        <v>30</v>
      </c>
      <c r="B86" s="190" t="s">
        <v>941</v>
      </c>
      <c r="C86" s="190">
        <f>data!D340</f>
        <v>0</v>
      </c>
    </row>
    <row r="87" ht="20.1" customHeight="1">
      <c r="A87" s="188">
        <v>31</v>
      </c>
      <c r="B87" s="190" t="s">
        <v>942</v>
      </c>
      <c r="C87" s="190">
        <f>data!D341</f>
        <v>0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42657005.91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42657005.91</v>
      </c>
    </row>
    <row r="103" ht="20.1" customHeight="1">
      <c r="A103" s="188">
        <v>47</v>
      </c>
      <c r="B103" s="190" t="s">
        <v>950</v>
      </c>
      <c r="C103" s="190">
        <f>data!D352</f>
        <v>44858475.029999994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PeaceHealth United General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34700055.17</v>
      </c>
    </row>
    <row r="112" ht="20.1" customHeight="1">
      <c r="A112" s="188">
        <v>3</v>
      </c>
      <c r="B112" s="190" t="s">
        <v>498</v>
      </c>
      <c r="C112" s="190">
        <f>data!C359</f>
        <v>151501257.5</v>
      </c>
    </row>
    <row r="113" ht="20.1" customHeight="1">
      <c r="A113" s="188">
        <v>4</v>
      </c>
      <c r="B113" s="190" t="s">
        <v>954</v>
      </c>
      <c r="C113" s="190">
        <f>data!D360</f>
        <v>186201312.67000002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1778408.3</v>
      </c>
    </row>
    <row r="117" ht="20.1" customHeight="1">
      <c r="A117" s="188">
        <v>8</v>
      </c>
      <c r="B117" s="190" t="s">
        <v>501</v>
      </c>
      <c r="C117" s="203">
        <f>data!C363</f>
        <v>102392823.88000001</v>
      </c>
    </row>
    <row r="118" ht="20.1" customHeight="1">
      <c r="A118" s="188">
        <v>9</v>
      </c>
      <c r="B118" s="190" t="s">
        <v>957</v>
      </c>
      <c r="C118" s="203">
        <f>data!C364</f>
        <v>3177508.07</v>
      </c>
    </row>
    <row r="119" ht="20.1" customHeight="1">
      <c r="A119" s="188">
        <v>10</v>
      </c>
      <c r="B119" s="190" t="s">
        <v>958</v>
      </c>
      <c r="C119" s="203">
        <f>data!C365</f>
        <v>-84897.17</v>
      </c>
    </row>
    <row r="120" ht="20.1" customHeight="1">
      <c r="A120" s="188">
        <v>11</v>
      </c>
      <c r="B120" s="190" t="s">
        <v>902</v>
      </c>
      <c r="C120" s="203">
        <f>data!D366</f>
        <v>107263843.08</v>
      </c>
    </row>
    <row r="121" ht="20.1" customHeight="1">
      <c r="A121" s="188">
        <v>12</v>
      </c>
      <c r="B121" s="190" t="s">
        <v>959</v>
      </c>
      <c r="C121" s="203">
        <f>data!D367</f>
        <v>78937469.590000018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960</v>
      </c>
      <c r="B125" s="206" t="s">
        <v>507</v>
      </c>
      <c r="C125" s="205">
        <f>data!C370</f>
        <v>0</v>
      </c>
    </row>
    <row r="126" ht="20.1" customHeight="1">
      <c r="A126" s="209" t="s">
        <v>961</v>
      </c>
      <c r="B126" s="206" t="s">
        <v>508</v>
      </c>
      <c r="C126" s="205">
        <f>data!C371</f>
        <v>0</v>
      </c>
    </row>
    <row r="127" ht="20.1" customHeight="1">
      <c r="A127" s="209" t="s">
        <v>962</v>
      </c>
      <c r="B127" s="206" t="s">
        <v>509</v>
      </c>
      <c r="C127" s="205">
        <f>data!C372</f>
        <v>0</v>
      </c>
    </row>
    <row r="128" ht="20.1" customHeight="1">
      <c r="A128" s="209" t="s">
        <v>963</v>
      </c>
      <c r="B128" s="206" t="s">
        <v>510</v>
      </c>
      <c r="C128" s="205">
        <f>data!C373</f>
        <v>0</v>
      </c>
    </row>
    <row r="129" ht="20.1" customHeight="1">
      <c r="A129" s="209" t="s">
        <v>964</v>
      </c>
      <c r="B129" s="206" t="s">
        <v>511</v>
      </c>
      <c r="C129" s="205">
        <f>data!C374</f>
        <v>0</v>
      </c>
    </row>
    <row r="130" ht="20.1" customHeight="1">
      <c r="A130" s="209" t="s">
        <v>965</v>
      </c>
      <c r="B130" s="206" t="s">
        <v>512</v>
      </c>
      <c r="C130" s="205">
        <f>data!C375</f>
        <v>0</v>
      </c>
    </row>
    <row r="131" ht="20.1" customHeight="1">
      <c r="A131" s="209" t="s">
        <v>966</v>
      </c>
      <c r="B131" s="206" t="s">
        <v>513</v>
      </c>
      <c r="C131" s="205">
        <f>data!C376</f>
        <v>0</v>
      </c>
    </row>
    <row r="132" ht="20.1" customHeight="1">
      <c r="A132" s="209" t="s">
        <v>967</v>
      </c>
      <c r="B132" s="206" t="s">
        <v>514</v>
      </c>
      <c r="C132" s="205">
        <f>data!C377</f>
        <v>0</v>
      </c>
    </row>
    <row r="133" ht="20.1" customHeight="1">
      <c r="A133" s="209" t="s">
        <v>968</v>
      </c>
      <c r="B133" s="206" t="s">
        <v>515</v>
      </c>
      <c r="C133" s="205">
        <f>data!C378</f>
        <v>0</v>
      </c>
    </row>
    <row r="134" ht="20.1" customHeight="1">
      <c r="A134" s="209" t="s">
        <v>969</v>
      </c>
      <c r="B134" s="206" t="s">
        <v>516</v>
      </c>
      <c r="C134" s="205">
        <f>data!C379</f>
        <v>0</v>
      </c>
    </row>
    <row r="135" ht="20.1" customHeight="1">
      <c r="A135" s="209" t="s">
        <v>970</v>
      </c>
      <c r="B135" s="206" t="s">
        <v>517</v>
      </c>
      <c r="C135" s="205">
        <f>data!C380</f>
        <v>264688.37000000005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264688.37000000005</v>
      </c>
    </row>
    <row r="138" ht="20.1" customHeight="1">
      <c r="A138" s="188">
        <v>18</v>
      </c>
      <c r="B138" s="190" t="s">
        <v>972</v>
      </c>
      <c r="C138" s="203">
        <f>data!D384</f>
        <v>79202157.960000023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33727442.4</v>
      </c>
    </row>
    <row r="142" ht="20.1" customHeight="1">
      <c r="A142" s="188">
        <v>22</v>
      </c>
      <c r="B142" s="190" t="s">
        <v>11</v>
      </c>
      <c r="C142" s="203">
        <f>data!C390</f>
        <v>7762485.63</v>
      </c>
    </row>
    <row r="143" ht="20.1" customHeight="1">
      <c r="A143" s="188">
        <v>23</v>
      </c>
      <c r="B143" s="190" t="s">
        <v>264</v>
      </c>
      <c r="C143" s="203">
        <f>data!C391</f>
        <v>2732778.38</v>
      </c>
    </row>
    <row r="144" ht="20.1" customHeight="1">
      <c r="A144" s="188">
        <v>24</v>
      </c>
      <c r="B144" s="190" t="s">
        <v>265</v>
      </c>
      <c r="C144" s="203">
        <f>data!C392</f>
        <v>7310152.29</v>
      </c>
    </row>
    <row r="145" ht="20.1" customHeight="1">
      <c r="A145" s="188">
        <v>25</v>
      </c>
      <c r="B145" s="190" t="s">
        <v>974</v>
      </c>
      <c r="C145" s="203">
        <f>data!C393</f>
        <v>915792.54</v>
      </c>
    </row>
    <row r="146" ht="20.1" customHeight="1">
      <c r="A146" s="188">
        <v>26</v>
      </c>
      <c r="B146" s="190" t="s">
        <v>975</v>
      </c>
      <c r="C146" s="203">
        <f>data!C394</f>
        <v>14588664.41</v>
      </c>
    </row>
    <row r="147" ht="20.1" customHeight="1">
      <c r="A147" s="188">
        <v>27</v>
      </c>
      <c r="B147" s="190" t="s">
        <v>16</v>
      </c>
      <c r="C147" s="203">
        <f>data!C395</f>
        <v>4555296.92</v>
      </c>
    </row>
    <row r="148" ht="20.1" customHeight="1">
      <c r="A148" s="188">
        <v>28</v>
      </c>
      <c r="B148" s="190" t="s">
        <v>976</v>
      </c>
      <c r="C148" s="203">
        <f>data!C396</f>
        <v>1929073.9100000002</v>
      </c>
    </row>
    <row r="149" ht="20.1" customHeight="1">
      <c r="A149" s="188">
        <v>29</v>
      </c>
      <c r="B149" s="190" t="s">
        <v>528</v>
      </c>
      <c r="C149" s="203">
        <f>data!C397</f>
        <v>393839.19</v>
      </c>
    </row>
    <row r="150" ht="20.1" customHeight="1">
      <c r="A150" s="188">
        <v>30</v>
      </c>
      <c r="B150" s="190" t="s">
        <v>977</v>
      </c>
      <c r="C150" s="203">
        <f>data!C398</f>
        <v>769652.95000000007</v>
      </c>
    </row>
    <row r="151" ht="20.1" customHeight="1">
      <c r="A151" s="188">
        <v>31</v>
      </c>
      <c r="B151" s="190" t="s">
        <v>530</v>
      </c>
      <c r="C151" s="203">
        <f>data!C399</f>
        <v>35582.3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261570.03</v>
      </c>
    </row>
    <row r="167" ht="20.1" customHeight="1">
      <c r="A167" s="188">
        <v>34</v>
      </c>
      <c r="B167" s="190" t="s">
        <v>994</v>
      </c>
      <c r="C167" s="203">
        <f>data!D416</f>
        <v>74982330.95</v>
      </c>
    </row>
    <row r="168" ht="20.1" customHeight="1">
      <c r="A168" s="188">
        <v>35</v>
      </c>
      <c r="B168" s="190" t="s">
        <v>995</v>
      </c>
      <c r="C168" s="203">
        <f>data!D417</f>
        <v>4219827.01000002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-116100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4103727.0100000203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4103727.0100000203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PeaceHealth United General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0</v>
      </c>
      <c r="D9" s="287">
        <f>data!D59</f>
        <v>0</v>
      </c>
      <c r="E9" s="287">
        <f>data!E59</f>
        <v>2145</v>
      </c>
      <c r="F9" s="287">
        <f>data!F59</f>
        <v>0</v>
      </c>
      <c r="G9" s="287">
        <f>data!G59</f>
        <v>2665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0</v>
      </c>
      <c r="D10" s="294">
        <f>data!D60</f>
        <v>0</v>
      </c>
      <c r="E10" s="294">
        <f>data!E60</f>
        <v>45.874982094986272</v>
      </c>
      <c r="F10" s="294">
        <f>data!F60</f>
        <v>0</v>
      </c>
      <c r="G10" s="294">
        <f>data!G60</f>
        <v>16.173584238667566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0</v>
      </c>
      <c r="D11" s="287">
        <f>data!D61</f>
        <v>0</v>
      </c>
      <c r="E11" s="287">
        <f>data!E61</f>
        <v>6321722.11</v>
      </c>
      <c r="F11" s="287">
        <f>data!F61</f>
        <v>0</v>
      </c>
      <c r="G11" s="287">
        <f>data!G61</f>
        <v>1755676.12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0</v>
      </c>
      <c r="D12" s="287">
        <f>data!D62</f>
        <v>0</v>
      </c>
      <c r="E12" s="287">
        <f>data!E62</f>
        <v>927705</v>
      </c>
      <c r="F12" s="287">
        <f>data!F62</f>
        <v>0</v>
      </c>
      <c r="G12" s="287">
        <f>data!G62</f>
        <v>370439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0</v>
      </c>
      <c r="E13" s="287">
        <f>data!E63</f>
        <v>0.080000000001746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0</v>
      </c>
      <c r="D14" s="287">
        <f>data!D64</f>
        <v>0</v>
      </c>
      <c r="E14" s="287">
        <f>data!E64</f>
        <v>262600.41</v>
      </c>
      <c r="F14" s="287">
        <f>data!F64</f>
        <v>0</v>
      </c>
      <c r="G14" s="287">
        <f>data!G64</f>
        <v>82394.44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0</v>
      </c>
      <c r="D16" s="287">
        <f>data!D66</f>
        <v>0</v>
      </c>
      <c r="E16" s="287">
        <f>data!E66</f>
        <v>15795.940000000002</v>
      </c>
      <c r="F16" s="287">
        <f>data!F66</f>
        <v>0</v>
      </c>
      <c r="G16" s="287">
        <f>data!G66</f>
        <v>1647651.05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0</v>
      </c>
      <c r="D17" s="287">
        <f>data!D67</f>
        <v>0</v>
      </c>
      <c r="E17" s="287">
        <f>data!E67</f>
        <v>99574</v>
      </c>
      <c r="F17" s="287">
        <f>data!F67</f>
        <v>0</v>
      </c>
      <c r="G17" s="287">
        <f>data!G67</f>
        <v>5596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0</v>
      </c>
      <c r="D18" s="287">
        <f>data!D68</f>
        <v>0</v>
      </c>
      <c r="E18" s="287">
        <f>data!E68</f>
        <v>131055.4</v>
      </c>
      <c r="F18" s="287">
        <f>data!F68</f>
        <v>0</v>
      </c>
      <c r="G18" s="287">
        <f>data!G68</f>
        <v>8403.57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0</v>
      </c>
      <c r="D19" s="287">
        <f>data!D69</f>
        <v>0</v>
      </c>
      <c r="E19" s="287">
        <f>data!E69</f>
        <v>15632.79</v>
      </c>
      <c r="F19" s="287">
        <f>data!F69</f>
        <v>0</v>
      </c>
      <c r="G19" s="287">
        <f>data!G69</f>
        <v>8575.09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-435.41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0</v>
      </c>
      <c r="D21" s="287">
        <f>data!D85</f>
        <v>0</v>
      </c>
      <c r="E21" s="287">
        <f>data!E85</f>
        <v>7774085.7300000014</v>
      </c>
      <c r="F21" s="287">
        <f>data!F85</f>
        <v>0</v>
      </c>
      <c r="G21" s="287">
        <f>data!G85</f>
        <v>3878299.86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0</v>
      </c>
      <c r="D23" s="295">
        <f>+data!M669</f>
        <v>0</v>
      </c>
      <c r="E23" s="295">
        <f>+data!M670</f>
        <v>5346077</v>
      </c>
      <c r="F23" s="295">
        <f>+data!M671</f>
        <v>0</v>
      </c>
      <c r="G23" s="295">
        <f>+data!M672</f>
        <v>1405664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0</v>
      </c>
      <c r="D24" s="287">
        <f>data!D87</f>
        <v>0</v>
      </c>
      <c r="E24" s="287">
        <f>data!E87</f>
        <v>10172206</v>
      </c>
      <c r="F24" s="287">
        <f>data!F87</f>
        <v>0</v>
      </c>
      <c r="G24" s="287">
        <f>data!G87</f>
        <v>9681677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0</v>
      </c>
      <c r="D25" s="287">
        <f>data!D88</f>
        <v>0</v>
      </c>
      <c r="E25" s="287">
        <f>data!E88</f>
        <v>2631991</v>
      </c>
      <c r="F25" s="287">
        <f>data!F88</f>
        <v>0</v>
      </c>
      <c r="G25" s="287">
        <f>data!G88</f>
        <v>286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0</v>
      </c>
      <c r="D26" s="287">
        <f>data!D89</f>
        <v>0</v>
      </c>
      <c r="E26" s="287">
        <f>data!E89</f>
        <v>12804197</v>
      </c>
      <c r="F26" s="287">
        <f>data!F89</f>
        <v>0</v>
      </c>
      <c r="G26" s="287">
        <f>data!G89</f>
        <v>9681963</v>
      </c>
      <c r="H26" s="287">
        <f>data!H89</f>
        <v>0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0</v>
      </c>
      <c r="D28" s="287">
        <f>data!D90</f>
        <v>0</v>
      </c>
      <c r="E28" s="287">
        <f>data!E90</f>
        <v>12030.980000000001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0</v>
      </c>
      <c r="D29" s="287">
        <f>data!D91</f>
        <v>0</v>
      </c>
      <c r="E29" s="287">
        <f>data!E91</f>
        <v>20996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0</v>
      </c>
      <c r="D30" s="287">
        <f>data!D92</f>
        <v>0</v>
      </c>
      <c r="E30" s="287">
        <f>data!E92</f>
        <v>4949.7778006216022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0</v>
      </c>
      <c r="D31" s="287">
        <f>data!D93</f>
        <v>0</v>
      </c>
      <c r="E31" s="287">
        <f>data!E93</f>
        <v>64353.492354823953</v>
      </c>
      <c r="F31" s="287">
        <f>data!F93</f>
        <v>0</v>
      </c>
      <c r="G31" s="287">
        <f>data!G93</f>
        <v>22986.177131660555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0</v>
      </c>
      <c r="D32" s="294">
        <f>data!D94</f>
        <v>0</v>
      </c>
      <c r="E32" s="294">
        <f>data!E94</f>
        <v>21.329011322836539</v>
      </c>
      <c r="F32" s="294">
        <f>data!F94</f>
        <v>0</v>
      </c>
      <c r="G32" s="294">
        <f>data!G94</f>
        <v>9.5907145767513455</v>
      </c>
      <c r="H32" s="294">
        <f>data!H94</f>
        <v>0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PeaceHealth United General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3713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62375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0.3010990109890111</v>
      </c>
      <c r="G42" s="294">
        <f>data!N60</f>
        <v>9.6153846153846157E-06</v>
      </c>
      <c r="H42" s="294">
        <f>data!O60</f>
        <v>0</v>
      </c>
      <c r="I42" s="294">
        <f>data!P60</f>
        <v>7.6827364795673274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31546.74</v>
      </c>
      <c r="G43" s="287">
        <f>data!N61</f>
        <v>0</v>
      </c>
      <c r="H43" s="287">
        <f>data!O61</f>
        <v>0</v>
      </c>
      <c r="I43" s="287">
        <f>data!P61</f>
        <v>782445.66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10565</v>
      </c>
      <c r="G44" s="287">
        <f>data!N62</f>
        <v>0</v>
      </c>
      <c r="H44" s="287">
        <f>data!O62</f>
        <v>0</v>
      </c>
      <c r="I44" s="287">
        <f>data!P62</f>
        <v>237246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570198.88</v>
      </c>
      <c r="H45" s="287">
        <f>data!O63</f>
        <v>0</v>
      </c>
      <c r="I45" s="287">
        <f>data!P63</f>
        <v>0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618094.37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1675.5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13268.53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315669</v>
      </c>
    </row>
    <row r="50" ht="20.1" customHeight="1">
      <c r="A50" s="279">
        <v>13</v>
      </c>
      <c r="B50" s="287" t="s">
        <v>1009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ht="20.1" customHeight="1">
      <c r="A51" s="279">
        <v>14</v>
      </c>
      <c r="B51" s="287" t="s">
        <v>1010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14597.98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2513.7</v>
      </c>
    </row>
    <row r="53" ht="20.1" customHeight="1">
      <c r="A53" s="279">
        <v>16</v>
      </c>
      <c r="B53" s="295" t="s">
        <v>1011</v>
      </c>
      <c r="C53" s="287">
        <f>data!J85</f>
        <v>0</v>
      </c>
      <c r="D53" s="287">
        <f>data!K85</f>
        <v>0</v>
      </c>
      <c r="E53" s="287">
        <f>data!L85</f>
        <v>1675.5</v>
      </c>
      <c r="F53" s="287">
        <f>data!M85</f>
        <v>42111.740000000005</v>
      </c>
      <c r="G53" s="287">
        <f>data!N85</f>
        <v>570198.88</v>
      </c>
      <c r="H53" s="287">
        <f>data!O85</f>
        <v>0</v>
      </c>
      <c r="I53" s="287">
        <f>data!P85</f>
        <v>1983835.24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0</v>
      </c>
      <c r="D55" s="295">
        <f>+data!M676</f>
        <v>0</v>
      </c>
      <c r="E55" s="295">
        <f>+data!M677</f>
        <v>61050</v>
      </c>
      <c r="F55" s="295">
        <f>+data!M678</f>
        <v>10504</v>
      </c>
      <c r="G55" s="295">
        <f>+data!M679</f>
        <v>141131</v>
      </c>
      <c r="H55" s="295">
        <f>+data!M680</f>
        <v>0</v>
      </c>
      <c r="I55" s="295">
        <f>+data!M681</f>
        <v>1054824</v>
      </c>
    </row>
    <row r="56" ht="20.1" customHeight="1">
      <c r="A56" s="279">
        <v>19</v>
      </c>
      <c r="B56" s="295" t="s">
        <v>1013</v>
      </c>
      <c r="C56" s="287">
        <f>data!J87</f>
        <v>0</v>
      </c>
      <c r="D56" s="287">
        <f>data!K87</f>
        <v>0</v>
      </c>
      <c r="E56" s="287">
        <f>data!L87</f>
        <v>4529638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365146.52</v>
      </c>
    </row>
    <row r="57" ht="20.1" customHeight="1">
      <c r="A57" s="279">
        <v>20</v>
      </c>
      <c r="B57" s="295" t="s">
        <v>1014</v>
      </c>
      <c r="C57" s="287">
        <f>data!J88</f>
        <v>0</v>
      </c>
      <c r="D57" s="287">
        <f>data!K88</f>
        <v>0</v>
      </c>
      <c r="E57" s="287">
        <f>data!L88</f>
        <v>-1220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8738107.78</v>
      </c>
    </row>
    <row r="58" ht="20.1" customHeight="1">
      <c r="A58" s="279">
        <v>21</v>
      </c>
      <c r="B58" s="295" t="s">
        <v>1015</v>
      </c>
      <c r="C58" s="287">
        <f>data!J89</f>
        <v>0</v>
      </c>
      <c r="D58" s="287">
        <f>data!K89</f>
        <v>0</v>
      </c>
      <c r="E58" s="287">
        <f>data!L89</f>
        <v>4528418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9103254.2999999989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3223.93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1019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1520.5318195916693</v>
      </c>
    </row>
    <row r="63" ht="20.1" customHeight="1">
      <c r="A63" s="279">
        <v>25</v>
      </c>
      <c r="B63" s="287" t="s">
        <v>1020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10541.618405726447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2.1056473023695048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PeaceHealth United General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67362</v>
      </c>
      <c r="D73" s="295">
        <f>data!R59</f>
        <v>57498</v>
      </c>
      <c r="E73" s="299"/>
      <c r="F73" s="299"/>
      <c r="G73" s="287">
        <f>data!U59</f>
        <v>99970</v>
      </c>
      <c r="H73" s="287">
        <f>data!V59</f>
        <v>0</v>
      </c>
      <c r="I73" s="287">
        <f>data!W59</f>
        <v>1225</v>
      </c>
    </row>
    <row r="74" ht="20.1" customHeight="1">
      <c r="A74" s="279">
        <v>5</v>
      </c>
      <c r="B74" s="287" t="s">
        <v>262</v>
      </c>
      <c r="C74" s="294">
        <f>data!Q60</f>
        <v>2.8179923042582438</v>
      </c>
      <c r="D74" s="294">
        <f>data!R60</f>
        <v>4.8076923076923079E-06</v>
      </c>
      <c r="E74" s="294">
        <f>data!S60</f>
        <v>2.1309849017857116</v>
      </c>
      <c r="F74" s="294">
        <f>data!T60</f>
        <v>7.4034451126373506</v>
      </c>
      <c r="G74" s="294">
        <f>data!U60</f>
        <v>10.01729814861949</v>
      </c>
      <c r="H74" s="294">
        <f>data!V60</f>
        <v>0</v>
      </c>
      <c r="I74" s="294">
        <f>data!W60</f>
        <v>0</v>
      </c>
    </row>
    <row r="75" ht="20.1" customHeight="1">
      <c r="A75" s="279">
        <v>6</v>
      </c>
      <c r="B75" s="287" t="s">
        <v>263</v>
      </c>
      <c r="C75" s="287">
        <f>data!Q61</f>
        <v>356561.04</v>
      </c>
      <c r="D75" s="287">
        <f>data!R61</f>
        <v>0</v>
      </c>
      <c r="E75" s="287">
        <f>data!S61</f>
        <v>104549.35</v>
      </c>
      <c r="F75" s="287">
        <f>data!T61</f>
        <v>788696.74</v>
      </c>
      <c r="G75" s="287">
        <f>data!U61</f>
        <v>865881.11</v>
      </c>
      <c r="H75" s="287">
        <f>data!V61</f>
        <v>0</v>
      </c>
      <c r="I75" s="287">
        <f>data!W61</f>
        <v>0</v>
      </c>
    </row>
    <row r="76" ht="20.1" customHeight="1">
      <c r="A76" s="279">
        <v>7</v>
      </c>
      <c r="B76" s="287" t="s">
        <v>11</v>
      </c>
      <c r="C76" s="287">
        <f>data!Q62</f>
        <v>90447</v>
      </c>
      <c r="D76" s="287">
        <f>data!R62</f>
        <v>0</v>
      </c>
      <c r="E76" s="287">
        <f>data!S62</f>
        <v>45203</v>
      </c>
      <c r="F76" s="287">
        <f>data!T62</f>
        <v>224272</v>
      </c>
      <c r="G76" s="287">
        <f>data!U62</f>
        <v>229219</v>
      </c>
      <c r="H76" s="287">
        <f>data!V62</f>
        <v>0</v>
      </c>
      <c r="I76" s="287">
        <f>data!W62</f>
        <v>0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402430.42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4714.43</v>
      </c>
      <c r="D78" s="287">
        <f>data!R64</f>
        <v>13318.88</v>
      </c>
      <c r="E78" s="287">
        <f>data!S64</f>
        <v>54642.92</v>
      </c>
      <c r="F78" s="287">
        <f>data!T64</f>
        <v>52071.82</v>
      </c>
      <c r="G78" s="287">
        <f>data!U64</f>
        <v>61960.72</v>
      </c>
      <c r="H78" s="287">
        <f>data!V64</f>
        <v>0</v>
      </c>
      <c r="I78" s="287">
        <f>data!W64</f>
        <v>18528.03</v>
      </c>
    </row>
    <row r="79" ht="20.1" customHeight="1">
      <c r="A79" s="279">
        <v>10</v>
      </c>
      <c r="B79" s="287" t="s">
        <v>525</v>
      </c>
      <c r="C79" s="287">
        <f>data!Q65</f>
        <v>500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ht="20.1" customHeight="1">
      <c r="A80" s="279">
        <v>11</v>
      </c>
      <c r="B80" s="287" t="s">
        <v>526</v>
      </c>
      <c r="C80" s="287">
        <f>data!Q66</f>
        <v>3.32</v>
      </c>
      <c r="D80" s="287">
        <f>data!R66</f>
        <v>11.7</v>
      </c>
      <c r="E80" s="287">
        <f>data!S66</f>
        <v>8529.8</v>
      </c>
      <c r="F80" s="287">
        <f>data!T66</f>
        <v>18563.69</v>
      </c>
      <c r="G80" s="287">
        <f>data!U66</f>
        <v>1020034.15</v>
      </c>
      <c r="H80" s="287">
        <f>data!V66</f>
        <v>0</v>
      </c>
      <c r="I80" s="287">
        <f>data!W66</f>
        <v>210359.33</v>
      </c>
    </row>
    <row r="81" ht="20.1" customHeight="1">
      <c r="A81" s="279">
        <v>12</v>
      </c>
      <c r="B81" s="287" t="s">
        <v>16</v>
      </c>
      <c r="C81" s="287">
        <f>data!Q67</f>
        <v>49657</v>
      </c>
      <c r="D81" s="287">
        <f>data!R67</f>
        <v>196</v>
      </c>
      <c r="E81" s="287">
        <f>data!S67</f>
        <v>40918</v>
      </c>
      <c r="F81" s="287">
        <f>data!T67</f>
        <v>0</v>
      </c>
      <c r="G81" s="287">
        <f>data!U67</f>
        <v>7302</v>
      </c>
      <c r="H81" s="287">
        <f>data!V67</f>
        <v>0</v>
      </c>
      <c r="I81" s="287">
        <f>data!W67</f>
        <v>484930</v>
      </c>
    </row>
    <row r="82" ht="20.1" customHeight="1">
      <c r="A82" s="279">
        <v>13</v>
      </c>
      <c r="B82" s="287" t="s">
        <v>1009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500</v>
      </c>
      <c r="G82" s="287">
        <f>data!U68</f>
        <v>0</v>
      </c>
      <c r="H82" s="287">
        <f>data!V68</f>
        <v>0</v>
      </c>
      <c r="I82" s="287">
        <f>data!W68</f>
        <v>0</v>
      </c>
    </row>
    <row r="83" ht="20.1" customHeight="1">
      <c r="A83" s="279">
        <v>14</v>
      </c>
      <c r="B83" s="287" t="s">
        <v>1010</v>
      </c>
      <c r="C83" s="287">
        <f>data!Q69</f>
        <v>59.14</v>
      </c>
      <c r="D83" s="287">
        <f>data!R69</f>
        <v>129.39</v>
      </c>
      <c r="E83" s="287">
        <f>data!S69</f>
        <v>1302.35</v>
      </c>
      <c r="F83" s="287">
        <f>data!T69</f>
        <v>431.12</v>
      </c>
      <c r="G83" s="287">
        <f>data!U69</f>
        <v>6883.43</v>
      </c>
      <c r="H83" s="287">
        <f>data!V69</f>
        <v>0</v>
      </c>
      <c r="I83" s="287">
        <f>data!W69</f>
        <v>101.63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501941.93</v>
      </c>
      <c r="D85" s="287">
        <f>data!R85</f>
        <v>416086.39</v>
      </c>
      <c r="E85" s="287">
        <f>data!S85</f>
        <v>255145.42</v>
      </c>
      <c r="F85" s="287">
        <f>data!T85</f>
        <v>1084535.37</v>
      </c>
      <c r="G85" s="287">
        <f>data!U85</f>
        <v>2191280.41</v>
      </c>
      <c r="H85" s="287">
        <f>data!V85</f>
        <v>0</v>
      </c>
      <c r="I85" s="287">
        <f>data!W85</f>
        <v>713918.99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221225</v>
      </c>
      <c r="D87" s="295">
        <f>+data!M683</f>
        <v>136790</v>
      </c>
      <c r="E87" s="295">
        <f>+data!M684</f>
        <v>324998</v>
      </c>
      <c r="F87" s="295">
        <f>+data!M685</f>
        <v>463738</v>
      </c>
      <c r="G87" s="295">
        <f>+data!M686</f>
        <v>836044</v>
      </c>
      <c r="H87" s="295">
        <f>+data!M687</f>
        <v>0</v>
      </c>
      <c r="I87" s="295">
        <f>+data!M688</f>
        <v>239752</v>
      </c>
    </row>
    <row r="88" ht="20.1" customHeight="1">
      <c r="A88" s="279">
        <v>19</v>
      </c>
      <c r="B88" s="295" t="s">
        <v>1013</v>
      </c>
      <c r="C88" s="287">
        <f>data!Q87</f>
        <v>27792</v>
      </c>
      <c r="D88" s="287">
        <f>data!R87</f>
        <v>90860</v>
      </c>
      <c r="E88" s="287">
        <f>data!S87</f>
        <v>0</v>
      </c>
      <c r="F88" s="287">
        <f>data!T87</f>
        <v>3899</v>
      </c>
      <c r="G88" s="287">
        <f>data!U87</f>
        <v>1660727</v>
      </c>
      <c r="H88" s="287">
        <f>data!V87</f>
        <v>0</v>
      </c>
      <c r="I88" s="287">
        <f>data!W87</f>
        <v>287003.05</v>
      </c>
    </row>
    <row r="89" ht="20.1" customHeight="1">
      <c r="A89" s="279">
        <v>20</v>
      </c>
      <c r="B89" s="295" t="s">
        <v>1014</v>
      </c>
      <c r="C89" s="287">
        <f>data!Q88</f>
        <v>515691</v>
      </c>
      <c r="D89" s="287">
        <f>data!R88</f>
        <v>2083444</v>
      </c>
      <c r="E89" s="287">
        <f>data!S88</f>
        <v>0</v>
      </c>
      <c r="F89" s="287">
        <f>data!T88</f>
        <v>1911810</v>
      </c>
      <c r="G89" s="287">
        <f>data!U88</f>
        <v>12538212</v>
      </c>
      <c r="H89" s="287">
        <f>data!V88</f>
        <v>0</v>
      </c>
      <c r="I89" s="287">
        <f>data!W88</f>
        <v>4320409.45</v>
      </c>
    </row>
    <row r="90" ht="20.1" customHeight="1">
      <c r="A90" s="279">
        <v>21</v>
      </c>
      <c r="B90" s="295" t="s">
        <v>1015</v>
      </c>
      <c r="C90" s="287">
        <f>data!Q89</f>
        <v>543483</v>
      </c>
      <c r="D90" s="287">
        <f>data!R89</f>
        <v>2174304</v>
      </c>
      <c r="E90" s="287">
        <f>data!S89</f>
        <v>0</v>
      </c>
      <c r="F90" s="287">
        <f>data!T89</f>
        <v>1915709</v>
      </c>
      <c r="G90" s="287">
        <f>data!U89</f>
        <v>14198939</v>
      </c>
      <c r="H90" s="287">
        <f>data!V89</f>
        <v>0</v>
      </c>
      <c r="I90" s="287">
        <f>data!W89</f>
        <v>4607412.5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0</v>
      </c>
      <c r="D92" s="287">
        <f>data!R90</f>
        <v>36.81</v>
      </c>
      <c r="E92" s="287">
        <f>data!S90</f>
        <v>2737.26</v>
      </c>
      <c r="F92" s="287">
        <f>data!T90</f>
        <v>0</v>
      </c>
      <c r="G92" s="287">
        <f>data!U90</f>
        <v>988.54000000000008</v>
      </c>
      <c r="H92" s="287">
        <f>data!V90</f>
        <v>0</v>
      </c>
      <c r="I92" s="287">
        <f>data!W90</f>
        <v>0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0</v>
      </c>
      <c r="D94" s="287">
        <f>data!R92</f>
        <v>17.361039563256444</v>
      </c>
      <c r="E94" s="287">
        <f>data!S92</f>
        <v>961.3242201769765</v>
      </c>
      <c r="F94" s="287">
        <f>data!T92</f>
        <v>0</v>
      </c>
      <c r="G94" s="287">
        <f>data!U92</f>
        <v>406.70447021161021</v>
      </c>
      <c r="H94" s="287">
        <f>data!V92</f>
        <v>0</v>
      </c>
      <c r="I94" s="287">
        <f>data!W92</f>
        <v>0</v>
      </c>
    </row>
    <row r="95" ht="20.1" customHeight="1">
      <c r="A95" s="279">
        <v>25</v>
      </c>
      <c r="B95" s="287" t="s">
        <v>1020</v>
      </c>
      <c r="C95" s="287">
        <f>data!Q93</f>
        <v>3580.6601170424328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2.81799230425824</v>
      </c>
      <c r="D96" s="294">
        <f>data!R94</f>
        <v>0</v>
      </c>
      <c r="E96" s="294">
        <f>data!S94</f>
        <v>0</v>
      </c>
      <c r="F96" s="294">
        <f>data!T94</f>
        <v>5.29363081610577</v>
      </c>
      <c r="G96" s="294">
        <f>data!U94</f>
        <v>0</v>
      </c>
      <c r="H96" s="294">
        <f>data!V94</f>
        <v>0</v>
      </c>
      <c r="I96" s="294">
        <f>data!W94</f>
        <v>0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PeaceHealth United General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7536</v>
      </c>
      <c r="D105" s="287">
        <f>data!Y59</f>
        <v>16594</v>
      </c>
      <c r="E105" s="287">
        <f>data!Z59</f>
        <v>5086</v>
      </c>
      <c r="F105" s="287">
        <f>data!AA59</f>
        <v>352</v>
      </c>
      <c r="G105" s="299"/>
      <c r="H105" s="287">
        <f>data!AC59</f>
        <v>10896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2.3552293348214324</v>
      </c>
      <c r="D106" s="294">
        <f>data!Y60</f>
        <v>10.890332388049439</v>
      </c>
      <c r="E106" s="294">
        <f>data!Z60</f>
        <v>8.12504791037088</v>
      </c>
      <c r="F106" s="294">
        <f>data!AA60</f>
        <v>1.1141232184065948</v>
      </c>
      <c r="G106" s="294">
        <f>data!AB60</f>
        <v>7.78357566723901</v>
      </c>
      <c r="H106" s="294">
        <f>data!AC60</f>
        <v>8.3738540819024863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275580.4</v>
      </c>
      <c r="D107" s="287">
        <f>data!Y61</f>
        <v>1305686.29</v>
      </c>
      <c r="E107" s="287">
        <f>data!Z61</f>
        <v>871586.14</v>
      </c>
      <c r="F107" s="287">
        <f>data!AA61</f>
        <v>122407.23</v>
      </c>
      <c r="G107" s="287">
        <f>data!AB61</f>
        <v>939517.56</v>
      </c>
      <c r="H107" s="287">
        <f>data!AC61</f>
        <v>870512.3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97985</v>
      </c>
      <c r="D108" s="287">
        <f>data!Y62</f>
        <v>281935</v>
      </c>
      <c r="E108" s="287">
        <f>data!Z62</f>
        <v>224214</v>
      </c>
      <c r="F108" s="287">
        <f>data!AA62</f>
        <v>36686</v>
      </c>
      <c r="G108" s="287">
        <f>data!AB62</f>
        <v>225641</v>
      </c>
      <c r="H108" s="287">
        <f>data!AC62</f>
        <v>232975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5655</v>
      </c>
      <c r="E109" s="287">
        <f>data!Z63</f>
        <v>442515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80892.44</v>
      </c>
      <c r="D110" s="287">
        <f>data!Y64</f>
        <v>94343.04</v>
      </c>
      <c r="E110" s="287">
        <f>data!Z64</f>
        <v>31090.48</v>
      </c>
      <c r="F110" s="287">
        <f>data!AA64</f>
        <v>37476.54</v>
      </c>
      <c r="G110" s="287">
        <f>data!AB64</f>
        <v>4170629.56</v>
      </c>
      <c r="H110" s="287">
        <f>data!AC64</f>
        <v>63297.28</v>
      </c>
      <c r="I110" s="287">
        <f>data!AD64</f>
        <v>0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3757.5</v>
      </c>
      <c r="D112" s="287">
        <f>data!Y66</f>
        <v>22147.57</v>
      </c>
      <c r="E112" s="287">
        <f>data!Z66</f>
        <v>322890.41</v>
      </c>
      <c r="F112" s="287">
        <f>data!AA66</f>
        <v>7288.74</v>
      </c>
      <c r="G112" s="287">
        <f>data!AB66</f>
        <v>45811.239999999991</v>
      </c>
      <c r="H112" s="287">
        <f>data!AC66</f>
        <v>711.65</v>
      </c>
      <c r="I112" s="287">
        <f>data!AD66</f>
        <v>0</v>
      </c>
    </row>
    <row r="113" ht="20.1" customHeight="1">
      <c r="A113" s="279">
        <v>12</v>
      </c>
      <c r="B113" s="287" t="s">
        <v>16</v>
      </c>
      <c r="C113" s="287">
        <f>data!X67</f>
        <v>3523</v>
      </c>
      <c r="D113" s="287">
        <f>data!Y67</f>
        <v>298923</v>
      </c>
      <c r="E113" s="287">
        <f>data!Z67</f>
        <v>99281</v>
      </c>
      <c r="F113" s="287">
        <f>data!AA67</f>
        <v>58653</v>
      </c>
      <c r="G113" s="287">
        <f>data!AB67</f>
        <v>35935</v>
      </c>
      <c r="H113" s="287">
        <f>data!AC67</f>
        <v>26147</v>
      </c>
      <c r="I113" s="287">
        <f>data!AD67</f>
        <v>0</v>
      </c>
    </row>
    <row r="114" ht="20.1" customHeight="1">
      <c r="A114" s="279">
        <v>13</v>
      </c>
      <c r="B114" s="287" t="s">
        <v>1009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98638.07</v>
      </c>
      <c r="H114" s="287">
        <f>data!AC68</f>
        <v>0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626.11999999999989</v>
      </c>
      <c r="D115" s="287">
        <f>data!Y69</f>
        <v>5772</v>
      </c>
      <c r="E115" s="287">
        <f>data!Z69</f>
        <v>11664.029999999999</v>
      </c>
      <c r="F115" s="287">
        <f>data!AA69</f>
        <v>41.700000000000728</v>
      </c>
      <c r="G115" s="287">
        <f>data!AB69</f>
        <v>67582.48</v>
      </c>
      <c r="H115" s="287">
        <f>data!AC69</f>
        <v>2940.14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-1041.36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-10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1011</v>
      </c>
      <c r="C117" s="287">
        <f>data!X85</f>
        <v>461323.10000000003</v>
      </c>
      <c r="D117" s="287">
        <f>data!Y85</f>
        <v>2014461.9000000001</v>
      </c>
      <c r="E117" s="287">
        <f>data!Z85</f>
        <v>2003241.06</v>
      </c>
      <c r="F117" s="287">
        <f>data!AA85</f>
        <v>262553.21</v>
      </c>
      <c r="G117" s="287">
        <f>data!AB85</f>
        <v>5583744.9100000011</v>
      </c>
      <c r="H117" s="287">
        <f>data!AC85</f>
        <v>1196583.3699999999</v>
      </c>
      <c r="I117" s="287">
        <f>data!AD85</f>
        <v>0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510685</v>
      </c>
      <c r="D119" s="295">
        <f>+data!M690</f>
        <v>1759302</v>
      </c>
      <c r="E119" s="295">
        <f>+data!M691</f>
        <v>1244449</v>
      </c>
      <c r="F119" s="295">
        <f>+data!M692</f>
        <v>200234</v>
      </c>
      <c r="G119" s="295">
        <f>+data!M693</f>
        <v>2027671</v>
      </c>
      <c r="H119" s="295">
        <f>+data!M694</f>
        <v>432402</v>
      </c>
      <c r="I119" s="295">
        <f>+data!M695</f>
        <v>0</v>
      </c>
    </row>
    <row r="120" ht="20.1" customHeight="1">
      <c r="A120" s="279">
        <v>19</v>
      </c>
      <c r="B120" s="295" t="s">
        <v>1013</v>
      </c>
      <c r="C120" s="287">
        <f>data!X87</f>
        <v>1209012.85</v>
      </c>
      <c r="D120" s="287">
        <f>data!Y87</f>
        <v>571263</v>
      </c>
      <c r="E120" s="287">
        <f>data!Z87</f>
        <v>104461</v>
      </c>
      <c r="F120" s="287">
        <f>data!AA87</f>
        <v>59620.1</v>
      </c>
      <c r="G120" s="287">
        <f>data!AB87</f>
        <v>2239969.65</v>
      </c>
      <c r="H120" s="287">
        <f>data!AC87</f>
        <v>819952</v>
      </c>
      <c r="I120" s="287">
        <f>data!AD87</f>
        <v>0</v>
      </c>
    </row>
    <row r="121" ht="20.1" customHeight="1">
      <c r="A121" s="279">
        <v>20</v>
      </c>
      <c r="B121" s="295" t="s">
        <v>1014</v>
      </c>
      <c r="C121" s="287">
        <f>data!X88</f>
        <v>23849518.4</v>
      </c>
      <c r="D121" s="287">
        <f>data!Y88</f>
        <v>9428151.25</v>
      </c>
      <c r="E121" s="287">
        <f>data!Z88</f>
        <v>11512172</v>
      </c>
      <c r="F121" s="287">
        <f>data!AA88</f>
        <v>1344007.85</v>
      </c>
      <c r="G121" s="287">
        <f>data!AB88</f>
        <v>14131221.36</v>
      </c>
      <c r="H121" s="287">
        <f>data!AC88</f>
        <v>2300976</v>
      </c>
      <c r="I121" s="287">
        <f>data!AD88</f>
        <v>0</v>
      </c>
    </row>
    <row r="122" ht="20.1" customHeight="1">
      <c r="A122" s="279">
        <v>21</v>
      </c>
      <c r="B122" s="295" t="s">
        <v>1015</v>
      </c>
      <c r="C122" s="287">
        <f>data!X89</f>
        <v>25058531.25</v>
      </c>
      <c r="D122" s="287">
        <f>data!Y89</f>
        <v>9999414.25</v>
      </c>
      <c r="E122" s="287">
        <f>data!Z89</f>
        <v>11616633</v>
      </c>
      <c r="F122" s="287">
        <f>data!AA89</f>
        <v>1403627.9500000002</v>
      </c>
      <c r="G122" s="287">
        <f>data!AB89</f>
        <v>16371191.01</v>
      </c>
      <c r="H122" s="287">
        <f>data!AC89</f>
        <v>3120928</v>
      </c>
      <c r="I122" s="287">
        <f>data!AD89</f>
        <v>0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554.77</v>
      </c>
      <c r="D124" s="287">
        <f>data!Y90</f>
        <v>6228.9500000000007</v>
      </c>
      <c r="E124" s="287">
        <f>data!Z90</f>
        <v>5546.9800000000005</v>
      </c>
      <c r="F124" s="287">
        <f>data!AA90</f>
        <v>1163.41</v>
      </c>
      <c r="G124" s="287">
        <f>data!AB90</f>
        <v>1269.49</v>
      </c>
      <c r="H124" s="287">
        <f>data!AC90</f>
        <v>931.62</v>
      </c>
      <c r="I124" s="287">
        <f>data!AD90</f>
        <v>0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7642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228.24310492169764</v>
      </c>
      <c r="D126" s="287">
        <f>data!Y92</f>
        <v>2562.7104717306429</v>
      </c>
      <c r="E126" s="287">
        <f>data!Z92</f>
        <v>2282.1348272952009</v>
      </c>
      <c r="F126" s="287">
        <f>data!AA92</f>
        <v>478.64936946293471</v>
      </c>
      <c r="G126" s="287">
        <f>data!AB92</f>
        <v>445.84419612037948</v>
      </c>
      <c r="H126" s="287">
        <f>data!AC92</f>
        <v>327.18443626154431</v>
      </c>
      <c r="I126" s="287">
        <f>data!AD92</f>
        <v>0</v>
      </c>
    </row>
    <row r="127" ht="20.1" customHeight="1">
      <c r="A127" s="279">
        <v>25</v>
      </c>
      <c r="B127" s="287" t="s">
        <v>1020</v>
      </c>
      <c r="C127" s="287">
        <f>data!X93</f>
        <v>0</v>
      </c>
      <c r="D127" s="287">
        <f>data!Y93</f>
        <v>32852.484735201586</v>
      </c>
      <c r="E127" s="287">
        <f>data!Z93</f>
        <v>10202.503620405507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0.01141826098901101</v>
      </c>
      <c r="D128" s="294">
        <f>data!Y94</f>
        <v>0.056129879464285576</v>
      </c>
      <c r="E128" s="294">
        <f>data!Z94</f>
        <v>1.4236787062156588</v>
      </c>
      <c r="F128" s="294">
        <f>data!AA94</f>
        <v>0.00084134718406593263</v>
      </c>
      <c r="G128" s="294">
        <f>data!AB94</f>
        <v>0</v>
      </c>
      <c r="H128" s="294">
        <f>data!AC94</f>
        <v>0.0004807695741758221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PeaceHealth United General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26436</v>
      </c>
      <c r="D137" s="287">
        <f>data!AF59</f>
        <v>0</v>
      </c>
      <c r="E137" s="287">
        <f>data!AG59</f>
        <v>12940</v>
      </c>
      <c r="F137" s="287">
        <f>data!AH59</f>
        <v>0</v>
      </c>
      <c r="G137" s="287">
        <f>data!AI59</f>
        <v>1357</v>
      </c>
      <c r="H137" s="287">
        <f>data!AJ59</f>
        <v>58441</v>
      </c>
      <c r="I137" s="287">
        <f>data!AK59</f>
        <v>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10.425679275412067</v>
      </c>
      <c r="D138" s="294">
        <f>data!AF60</f>
        <v>0</v>
      </c>
      <c r="E138" s="294">
        <f>data!AG60</f>
        <v>25.443669788804961</v>
      </c>
      <c r="F138" s="294">
        <f>data!AH60</f>
        <v>0</v>
      </c>
      <c r="G138" s="294">
        <f>data!AI60</f>
        <v>3.75610390985577</v>
      </c>
      <c r="H138" s="294">
        <f>data!AJ60</f>
        <v>55.790588849072869</v>
      </c>
      <c r="I138" s="294">
        <f>data!AK60</f>
        <v>0</v>
      </c>
    </row>
    <row r="139" ht="20.1" customHeight="1">
      <c r="A139" s="279">
        <v>6</v>
      </c>
      <c r="B139" s="287" t="s">
        <v>263</v>
      </c>
      <c r="C139" s="287">
        <f>data!AE61</f>
        <v>1012417.38</v>
      </c>
      <c r="D139" s="287">
        <f>data!AF61</f>
        <v>0</v>
      </c>
      <c r="E139" s="287">
        <f>data!AG61</f>
        <v>3136911.02</v>
      </c>
      <c r="F139" s="287">
        <f>data!AH61</f>
        <v>0</v>
      </c>
      <c r="G139" s="287">
        <f>data!AI61</f>
        <v>443700.95</v>
      </c>
      <c r="H139" s="287">
        <f>data!AJ61</f>
        <v>8025448.43</v>
      </c>
      <c r="I139" s="287">
        <f>data!AK61</f>
        <v>0</v>
      </c>
    </row>
    <row r="140" ht="20.1" customHeight="1">
      <c r="A140" s="279">
        <v>7</v>
      </c>
      <c r="B140" s="287" t="s">
        <v>11</v>
      </c>
      <c r="C140" s="287">
        <f>data!AE62</f>
        <v>262387</v>
      </c>
      <c r="D140" s="287">
        <f>data!AF62</f>
        <v>0</v>
      </c>
      <c r="E140" s="287">
        <f>data!AG62</f>
        <v>674125</v>
      </c>
      <c r="F140" s="287">
        <f>data!AH62</f>
        <v>0</v>
      </c>
      <c r="G140" s="287">
        <f>data!AI62</f>
        <v>113238</v>
      </c>
      <c r="H140" s="287">
        <f>data!AJ62</f>
        <v>1810380</v>
      </c>
      <c r="I140" s="287">
        <f>data!AK62</f>
        <v>0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1155269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9822.05</v>
      </c>
      <c r="D142" s="287">
        <f>data!AF64</f>
        <v>0</v>
      </c>
      <c r="E142" s="287">
        <f>data!AG64</f>
        <v>475503.67</v>
      </c>
      <c r="F142" s="287">
        <f>data!AH64</f>
        <v>0</v>
      </c>
      <c r="G142" s="287">
        <f>data!AI64</f>
        <v>61237.6</v>
      </c>
      <c r="H142" s="287">
        <f>data!AJ64</f>
        <v>662464.44</v>
      </c>
      <c r="I142" s="287">
        <f>data!AK64</f>
        <v>0</v>
      </c>
    </row>
    <row r="143" ht="20.1" customHeight="1">
      <c r="A143" s="279">
        <v>10</v>
      </c>
      <c r="B143" s="287" t="s">
        <v>525</v>
      </c>
      <c r="C143" s="287">
        <f>data!AE65</f>
        <v>13065.6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16382.51</v>
      </c>
      <c r="I143" s="287">
        <f>data!AK65</f>
        <v>0</v>
      </c>
    </row>
    <row r="144" ht="20.1" customHeight="1">
      <c r="A144" s="279">
        <v>11</v>
      </c>
      <c r="B144" s="287" t="s">
        <v>526</v>
      </c>
      <c r="C144" s="287">
        <f>data!AE66</f>
        <v>23602.81</v>
      </c>
      <c r="D144" s="287">
        <f>data!AF66</f>
        <v>0</v>
      </c>
      <c r="E144" s="287">
        <f>data!AG66</f>
        <v>45896.53</v>
      </c>
      <c r="F144" s="287">
        <f>data!AH66</f>
        <v>0</v>
      </c>
      <c r="G144" s="287">
        <f>data!AI66</f>
        <v>3.55</v>
      </c>
      <c r="H144" s="287">
        <f>data!AJ66</f>
        <v>68525.87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30252</v>
      </c>
      <c r="D145" s="287">
        <f>data!AF67</f>
        <v>0</v>
      </c>
      <c r="E145" s="287">
        <f>data!AG67</f>
        <v>73614</v>
      </c>
      <c r="F145" s="287">
        <f>data!AH67</f>
        <v>0</v>
      </c>
      <c r="G145" s="287">
        <f>data!AI67</f>
        <v>2814</v>
      </c>
      <c r="H145" s="287">
        <f>data!AJ67</f>
        <v>259473</v>
      </c>
      <c r="I145" s="287">
        <f>data!AK67</f>
        <v>0</v>
      </c>
    </row>
    <row r="146" ht="20.1" customHeight="1">
      <c r="A146" s="279">
        <v>13</v>
      </c>
      <c r="B146" s="287" t="s">
        <v>1009</v>
      </c>
      <c r="C146" s="287">
        <f>data!AE68</f>
        <v>13277.8</v>
      </c>
      <c r="D146" s="287">
        <f>data!AF68</f>
        <v>0</v>
      </c>
      <c r="E146" s="287">
        <f>data!AG68</f>
        <v>144.08</v>
      </c>
      <c r="F146" s="287">
        <f>data!AH68</f>
        <v>0</v>
      </c>
      <c r="G146" s="287">
        <f>data!AI68</f>
        <v>0</v>
      </c>
      <c r="H146" s="287">
        <f>data!AJ68</f>
        <v>145562.35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3314.26</v>
      </c>
      <c r="D147" s="287">
        <f>data!AF69</f>
        <v>0</v>
      </c>
      <c r="E147" s="287">
        <f>data!AG69</f>
        <v>2660.82</v>
      </c>
      <c r="F147" s="287">
        <f>data!AH69</f>
        <v>0</v>
      </c>
      <c r="G147" s="287">
        <f>data!AI69</f>
        <v>615</v>
      </c>
      <c r="H147" s="287">
        <f>data!AJ69</f>
        <v>71254.71</v>
      </c>
      <c r="I147" s="287">
        <f>data!AK69</f>
        <v>0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-35347.18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1368138.9000000001</v>
      </c>
      <c r="D149" s="287">
        <f>data!AF85</f>
        <v>0</v>
      </c>
      <c r="E149" s="287">
        <f>data!AG85</f>
        <v>5564124.12</v>
      </c>
      <c r="F149" s="287">
        <f>data!AH85</f>
        <v>0</v>
      </c>
      <c r="G149" s="287">
        <f>data!AI85</f>
        <v>621609.1</v>
      </c>
      <c r="H149" s="287">
        <f>data!AJ85</f>
        <v>11024144.129999999</v>
      </c>
      <c r="I149" s="287">
        <f>data!AK85</f>
        <v>0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799093</v>
      </c>
      <c r="D151" s="295">
        <f>+data!M697</f>
        <v>0</v>
      </c>
      <c r="E151" s="295">
        <f>+data!M698</f>
        <v>3291610</v>
      </c>
      <c r="F151" s="295">
        <f>+data!M699</f>
        <v>0</v>
      </c>
      <c r="G151" s="295">
        <f>+data!M700</f>
        <v>244891</v>
      </c>
      <c r="H151" s="295">
        <f>+data!M701</f>
        <v>4452216</v>
      </c>
      <c r="I151" s="295">
        <f>+data!M702</f>
        <v>0</v>
      </c>
    </row>
    <row r="152" ht="20.1" customHeight="1">
      <c r="A152" s="279">
        <v>19</v>
      </c>
      <c r="B152" s="295" t="s">
        <v>1013</v>
      </c>
      <c r="C152" s="287">
        <f>data!AE87</f>
        <v>1503854</v>
      </c>
      <c r="D152" s="287">
        <f>data!AF87</f>
        <v>0</v>
      </c>
      <c r="E152" s="287">
        <f>data!AG87</f>
        <v>1372008</v>
      </c>
      <c r="F152" s="287">
        <f>data!AH87</f>
        <v>0</v>
      </c>
      <c r="G152" s="287">
        <f>data!AI87</f>
        <v>0</v>
      </c>
      <c r="H152" s="287">
        <f>data!AJ87</f>
        <v>966</v>
      </c>
      <c r="I152" s="287">
        <f>data!AK87</f>
        <v>0</v>
      </c>
    </row>
    <row r="153" ht="20.1" customHeight="1">
      <c r="A153" s="279">
        <v>20</v>
      </c>
      <c r="B153" s="295" t="s">
        <v>1014</v>
      </c>
      <c r="C153" s="287">
        <f>data!AE88</f>
        <v>2492251</v>
      </c>
      <c r="D153" s="287">
        <f>data!AF88</f>
        <v>0</v>
      </c>
      <c r="E153" s="287">
        <f>data!AG88</f>
        <v>34256442</v>
      </c>
      <c r="F153" s="287">
        <f>data!AH88</f>
        <v>0</v>
      </c>
      <c r="G153" s="287">
        <f>data!AI88</f>
        <v>0</v>
      </c>
      <c r="H153" s="287">
        <f>data!AJ88</f>
        <v>19447786.41</v>
      </c>
      <c r="I153" s="287">
        <f>data!AK88</f>
        <v>0</v>
      </c>
    </row>
    <row r="154" ht="20.1" customHeight="1">
      <c r="A154" s="279">
        <v>21</v>
      </c>
      <c r="B154" s="295" t="s">
        <v>1015</v>
      </c>
      <c r="C154" s="287">
        <f>data!AE89</f>
        <v>3996105</v>
      </c>
      <c r="D154" s="287">
        <f>data!AF89</f>
        <v>0</v>
      </c>
      <c r="E154" s="287">
        <f>data!AG89</f>
        <v>35628450</v>
      </c>
      <c r="F154" s="287">
        <f>data!AH89</f>
        <v>0</v>
      </c>
      <c r="G154" s="287">
        <f>data!AI89</f>
        <v>0</v>
      </c>
      <c r="H154" s="287">
        <f>data!AJ89</f>
        <v>19448752.41</v>
      </c>
      <c r="I154" s="287">
        <f>data!AK89</f>
        <v>0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4292.4100000000008</v>
      </c>
      <c r="D156" s="287">
        <f>data!AF90</f>
        <v>0</v>
      </c>
      <c r="E156" s="287">
        <f>data!AG90</f>
        <v>7624.4800000000005</v>
      </c>
      <c r="F156" s="287">
        <f>data!AH90</f>
        <v>0</v>
      </c>
      <c r="G156" s="287">
        <f>data!AI90</f>
        <v>0</v>
      </c>
      <c r="H156" s="287">
        <f>data!AJ90</f>
        <v>12679.500000000002</v>
      </c>
      <c r="I156" s="287">
        <f>data!AK90</f>
        <v>0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0</v>
      </c>
      <c r="E157" s="287">
        <f>data!AG91</f>
        <v>938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1507.4920526109527</v>
      </c>
      <c r="D158" s="287">
        <f>data!AF92</f>
        <v>0</v>
      </c>
      <c r="E158" s="287">
        <f>data!AG92</f>
        <v>3596.0037742259574</v>
      </c>
      <c r="F158" s="287">
        <f>data!AH92</f>
        <v>0</v>
      </c>
      <c r="G158" s="287">
        <f>data!AI92</f>
        <v>0</v>
      </c>
      <c r="H158" s="287">
        <f>data!AJ92</f>
        <v>4722.1266291765915</v>
      </c>
      <c r="I158" s="287">
        <f>data!AK92</f>
        <v>0</v>
      </c>
    </row>
    <row r="159" ht="20.1" customHeight="1">
      <c r="A159" s="279">
        <v>25</v>
      </c>
      <c r="B159" s="287" t="s">
        <v>1020</v>
      </c>
      <c r="C159" s="287">
        <f>data!AE93</f>
        <v>0</v>
      </c>
      <c r="D159" s="287">
        <f>data!AF93</f>
        <v>0</v>
      </c>
      <c r="E159" s="287">
        <f>data!AG93</f>
        <v>69486.731126387269</v>
      </c>
      <c r="F159" s="287">
        <f>data!AH93</f>
        <v>0</v>
      </c>
      <c r="G159" s="287">
        <f>data!AI93</f>
        <v>4768.7215836776313</v>
      </c>
      <c r="H159" s="287">
        <f>data!AJ93</f>
        <v>3005.4698802493076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17.398915692479374</v>
      </c>
      <c r="F160" s="294">
        <f>data!AH94</f>
        <v>0</v>
      </c>
      <c r="G160" s="294">
        <f>data!AI94</f>
        <v>2.7043350159684088</v>
      </c>
      <c r="H160" s="294">
        <f>data!AJ94</f>
        <v>6.1831598775755294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PeaceHealth United General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21.96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21.96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7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1013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1015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PeaceHealth United General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29576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10.382226042239003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94.49</v>
      </c>
      <c r="G203" s="287">
        <f>data!AW61</f>
        <v>0</v>
      </c>
      <c r="H203" s="287">
        <f>data!AX61</f>
        <v>0</v>
      </c>
      <c r="I203" s="287">
        <f>data!AY61</f>
        <v>535222.07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87</v>
      </c>
      <c r="G204" s="287">
        <f>data!AW62</f>
        <v>0</v>
      </c>
      <c r="H204" s="287">
        <f>data!AX62</f>
        <v>0</v>
      </c>
      <c r="I204" s="287">
        <f>data!AY62</f>
        <v>204667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24820.62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397524.64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45466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98.190000000000026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-1115.84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181.49</v>
      </c>
      <c r="G213" s="287">
        <f>data!AW85</f>
        <v>0</v>
      </c>
      <c r="H213" s="287">
        <f>data!AX85</f>
        <v>0</v>
      </c>
      <c r="I213" s="287">
        <f>data!AY85</f>
        <v>1206682.68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45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5566.04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PeaceHealth United General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147934.19000000006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9.2096692426167337</v>
      </c>
      <c r="I234" s="294">
        <f>data!BF60</f>
        <v>13.392649758413482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705086.99</v>
      </c>
      <c r="I235" s="287">
        <f>data!BF61</f>
        <v>581989.32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158965</v>
      </c>
      <c r="I236" s="287">
        <f>data!BF62</f>
        <v>234914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125927.15</v>
      </c>
      <c r="I238" s="287">
        <f>data!BF64</f>
        <v>130875.7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803075.18</v>
      </c>
      <c r="I239" s="287">
        <f>data!BF65</f>
        <v>82769.25</v>
      </c>
    </row>
    <row r="240" ht="20.1" customHeight="1">
      <c r="A240" s="279">
        <v>11</v>
      </c>
      <c r="B240" s="287" t="s">
        <v>526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2320025.98</v>
      </c>
      <c r="I240" s="287">
        <f>data!BF66</f>
        <v>45775.83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5214</v>
      </c>
      <c r="E241" s="287">
        <f>data!BB67</f>
        <v>0</v>
      </c>
      <c r="F241" s="287">
        <f>data!BC67</f>
        <v>0</v>
      </c>
      <c r="G241" s="287">
        <f>data!BD67</f>
        <v>34841</v>
      </c>
      <c r="H241" s="287">
        <f>data!BE67</f>
        <v>221833</v>
      </c>
      <c r="I241" s="287">
        <f>data!BF67</f>
        <v>6434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1021108.75</v>
      </c>
      <c r="I242" s="287">
        <f>data!BF68</f>
        <v>0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2568.179999999993</v>
      </c>
      <c r="I243" s="287">
        <f>data!BF69</f>
        <v>73.37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-207361.7</v>
      </c>
      <c r="I244" s="287">
        <f>-data!BF84</f>
        <v>-1004.48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5214</v>
      </c>
      <c r="E245" s="287">
        <f>data!BB85</f>
        <v>0</v>
      </c>
      <c r="F245" s="287">
        <f>data!BC85</f>
        <v>0</v>
      </c>
      <c r="G245" s="287">
        <f>data!BD85</f>
        <v>34841</v>
      </c>
      <c r="H245" s="287">
        <f>data!BE85</f>
        <v>5151228.5299999993</v>
      </c>
      <c r="I245" s="287">
        <f>data!BF85</f>
        <v>1081826.99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979.69</v>
      </c>
      <c r="E252" s="303">
        <f>data!BB90</f>
        <v>0</v>
      </c>
      <c r="F252" s="303">
        <f>data!BC90</f>
        <v>0</v>
      </c>
      <c r="G252" s="303">
        <f>data!BD90</f>
        <v>6546.4400000000005</v>
      </c>
      <c r="H252" s="303">
        <f>data!BE90</f>
        <v>39941.149999999987</v>
      </c>
      <c r="I252" s="303">
        <f>data!BF90</f>
        <v>1208.85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117.99363005334725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PeaceHealth United General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-0.001888691277472452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2.2423432577266493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122555.12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45307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0</v>
      </c>
      <c r="D273" s="287">
        <f>data!BH67</f>
        <v>0</v>
      </c>
      <c r="E273" s="287">
        <f>data!BI67</f>
        <v>16336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0</v>
      </c>
      <c r="D277" s="287">
        <f>data!BH85</f>
        <v>0</v>
      </c>
      <c r="E277" s="287">
        <f>data!BI85</f>
        <v>16336</v>
      </c>
      <c r="F277" s="287">
        <f>data!BJ85</f>
        <v>0</v>
      </c>
      <c r="G277" s="287">
        <f>data!BK85</f>
        <v>0</v>
      </c>
      <c r="H277" s="287">
        <f>data!BL85</f>
        <v>167862.12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0</v>
      </c>
      <c r="D284" s="303">
        <f>data!BH90</f>
        <v>0</v>
      </c>
      <c r="E284" s="303">
        <f>data!BI90</f>
        <v>3069.49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0</v>
      </c>
      <c r="E286" s="303">
        <f>data!BI92</f>
        <v>369.68864386943704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PeaceHealth United General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16.865075411057713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0.074871278159340873</v>
      </c>
      <c r="H298" s="294">
        <f>data!BS60</f>
        <v>0.7738928986950524</v>
      </c>
      <c r="I298" s="294">
        <f>data!BT60</f>
        <v>0.61912811349588048</v>
      </c>
    </row>
    <row r="299" ht="20.1" customHeight="1">
      <c r="A299" s="279">
        <v>6</v>
      </c>
      <c r="B299" s="287" t="s">
        <v>263</v>
      </c>
      <c r="C299" s="287">
        <f>data!BN61</f>
        <v>1774733.17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10811.83</v>
      </c>
      <c r="H299" s="287">
        <f>data!BS61</f>
        <v>57660.44</v>
      </c>
      <c r="I299" s="287">
        <f>data!BT61</f>
        <v>47755.85</v>
      </c>
    </row>
    <row r="300" ht="20.1" customHeight="1">
      <c r="A300" s="279">
        <v>7</v>
      </c>
      <c r="B300" s="287" t="s">
        <v>11</v>
      </c>
      <c r="C300" s="287">
        <f>data!BN62</f>
        <v>479634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2393</v>
      </c>
      <c r="H300" s="287">
        <f>data!BS62</f>
        <v>20131</v>
      </c>
      <c r="I300" s="287">
        <f>data!BT62</f>
        <v>22256</v>
      </c>
    </row>
    <row r="301" ht="20.1" customHeight="1">
      <c r="A301" s="279">
        <v>8</v>
      </c>
      <c r="B301" s="287" t="s">
        <v>264</v>
      </c>
      <c r="C301" s="287">
        <f>data!BN63</f>
        <v>100000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11369.07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241.65</v>
      </c>
      <c r="I302" s="287">
        <f>data!BT64</f>
        <v>0</v>
      </c>
    </row>
    <row r="303" ht="20.1" customHeight="1">
      <c r="A303" s="279">
        <v>10</v>
      </c>
      <c r="B303" s="287" t="s">
        <v>525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8410377.86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106.5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2111092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3457</v>
      </c>
      <c r="H305" s="287">
        <f>data!BS67</f>
        <v>12291</v>
      </c>
      <c r="I305" s="287">
        <f>data!BT67</f>
        <v>0</v>
      </c>
    </row>
    <row r="306" ht="20.1" customHeight="1">
      <c r="A306" s="279">
        <v>13</v>
      </c>
      <c r="B306" s="287" t="s">
        <v>1009</v>
      </c>
      <c r="C306" s="287">
        <f>data!BN68</f>
        <v>411066.63999999996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1010</v>
      </c>
      <c r="C307" s="287">
        <f>data!BN69</f>
        <v>37444.879999999976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264.19</v>
      </c>
      <c r="I307" s="287">
        <f>data!BT69</f>
        <v>2593.9</v>
      </c>
    </row>
    <row r="308" ht="20.1" customHeight="1">
      <c r="A308" s="279">
        <v>15</v>
      </c>
      <c r="B308" s="287" t="s">
        <v>284</v>
      </c>
      <c r="C308" s="287">
        <f>-data!BN84</f>
        <v>-44796.78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1011</v>
      </c>
      <c r="C309" s="287">
        <f>data!BN85</f>
        <v>13290920.840000002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16661.83</v>
      </c>
      <c r="H309" s="287">
        <f>data!BS85</f>
        <v>90694.78</v>
      </c>
      <c r="I309" s="287">
        <f>data!BT85</f>
        <v>72605.75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21426.480000000007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649.63</v>
      </c>
      <c r="H316" s="303">
        <f>data!BS90</f>
        <v>2309.34</v>
      </c>
      <c r="I316" s="303">
        <f>data!BT90</f>
        <v>0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278.13635908031819</v>
      </c>
      <c r="I318" s="303">
        <f>data!BT92</f>
        <v>0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PeaceHealth United General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0.48652971978022114</v>
      </c>
      <c r="F330" s="294">
        <f>data!BX60</f>
        <v>4.7934583817582439</v>
      </c>
      <c r="G330" s="294">
        <f>data!BY60</f>
        <v>7.0280343494162167</v>
      </c>
      <c r="H330" s="294">
        <f>data!BZ60</f>
        <v>1.5896112882898317</v>
      </c>
      <c r="I330" s="294">
        <f>data!CA60</f>
        <v>0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73064.29</v>
      </c>
      <c r="F331" s="306">
        <f>data!BX61</f>
        <v>534895.52</v>
      </c>
      <c r="G331" s="306">
        <f>data!BY61</f>
        <v>1021699.44</v>
      </c>
      <c r="H331" s="306">
        <f>data!BZ61</f>
        <v>251027.3</v>
      </c>
      <c r="I331" s="306">
        <f>data!CA61</f>
        <v>0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7319</v>
      </c>
      <c r="F332" s="306">
        <f>data!BX62</f>
        <v>127681</v>
      </c>
      <c r="G332" s="306">
        <f>data!BY62</f>
        <v>272800</v>
      </c>
      <c r="H332" s="306">
        <f>data!BZ62</f>
        <v>91671</v>
      </c>
      <c r="I332" s="306">
        <f>data!CA62</f>
        <v>0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56710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181461.47</v>
      </c>
      <c r="G334" s="306">
        <f>data!BY64</f>
        <v>3282.38</v>
      </c>
      <c r="H334" s="306">
        <f>data!BZ64</f>
        <v>0</v>
      </c>
      <c r="I334" s="306">
        <f>data!CA64</f>
        <v>0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3474.2400000000052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0</v>
      </c>
      <c r="E337" s="306">
        <f>data!BW67</f>
        <v>15668</v>
      </c>
      <c r="F337" s="306">
        <f>data!BX67</f>
        <v>0</v>
      </c>
      <c r="G337" s="306">
        <f>data!BY67</f>
        <v>30306</v>
      </c>
      <c r="H337" s="306">
        <f>data!BZ67</f>
        <v>0</v>
      </c>
      <c r="I337" s="306">
        <f>data!CA67</f>
        <v>0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99317.25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592.96</v>
      </c>
      <c r="G339" s="306">
        <f>data!BY69</f>
        <v>3672.18</v>
      </c>
      <c r="H339" s="306">
        <f>data!BZ69</f>
        <v>78</v>
      </c>
      <c r="I339" s="306">
        <f>data!CA69</f>
        <v>0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0</v>
      </c>
      <c r="D341" s="287">
        <f>data!BV85</f>
        <v>0</v>
      </c>
      <c r="E341" s="287">
        <f>data!BW85</f>
        <v>96051.29</v>
      </c>
      <c r="F341" s="287">
        <f>data!BX85</f>
        <v>1004132.44</v>
      </c>
      <c r="G341" s="287">
        <f>data!BY85</f>
        <v>1331759.9999999998</v>
      </c>
      <c r="H341" s="287">
        <f>data!BZ85</f>
        <v>342776.3</v>
      </c>
      <c r="I341" s="287">
        <f>data!CA85</f>
        <v>0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0</v>
      </c>
      <c r="D348" s="303">
        <f>data!BV90</f>
        <v>0</v>
      </c>
      <c r="E348" s="303">
        <f>data!BW90</f>
        <v>2943.92</v>
      </c>
      <c r="F348" s="303">
        <f>data!BX90</f>
        <v>0</v>
      </c>
      <c r="G348" s="303">
        <f>data!BY90</f>
        <v>517.79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0</v>
      </c>
      <c r="D350" s="303">
        <f>data!BV92</f>
        <v>0</v>
      </c>
      <c r="E350" s="303">
        <f>data!BW92</f>
        <v>354.56502300385841</v>
      </c>
      <c r="F350" s="303">
        <f>data!BX92</f>
        <v>0</v>
      </c>
      <c r="G350" s="303">
        <f>data!BY92</f>
        <v>62.362504164912025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PeaceHealth United General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293.91594218889429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33727442.4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7762487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2732778.38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-22930.83</v>
      </c>
      <c r="E366" s="311"/>
      <c r="F366" s="311"/>
      <c r="G366" s="311"/>
      <c r="H366" s="311"/>
      <c r="I366" s="306">
        <f>data!CE64</f>
        <v>7310152.29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915792.54</v>
      </c>
    </row>
    <row r="368" ht="20.1" customHeight="1">
      <c r="A368" s="279">
        <v>11</v>
      </c>
      <c r="B368" s="287" t="s">
        <v>526</v>
      </c>
      <c r="C368" s="306">
        <f>data!CB66</f>
        <v>0</v>
      </c>
      <c r="D368" s="306">
        <f>data!CC66</f>
        <v>-65149.52</v>
      </c>
      <c r="E368" s="311"/>
      <c r="F368" s="311"/>
      <c r="G368" s="311"/>
      <c r="H368" s="311"/>
      <c r="I368" s="306">
        <f>data!CE66</f>
        <v>14588664.41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159902</v>
      </c>
      <c r="E369" s="311"/>
      <c r="F369" s="311"/>
      <c r="G369" s="311"/>
      <c r="H369" s="311"/>
      <c r="I369" s="306">
        <f>data!CE67</f>
        <v>4555297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1929073.91</v>
      </c>
    </row>
    <row r="371" ht="20.1" customHeight="1">
      <c r="A371" s="279">
        <v>14</v>
      </c>
      <c r="B371" s="287" t="s">
        <v>1010</v>
      </c>
      <c r="C371" s="306">
        <f>data!CB69</f>
        <v>0</v>
      </c>
      <c r="D371" s="306">
        <f>data!CC69</f>
        <v>0</v>
      </c>
      <c r="E371" s="306">
        <f>data!CD69</f>
        <v>1199074.44</v>
      </c>
      <c r="F371" s="311"/>
      <c r="G371" s="311"/>
      <c r="H371" s="311"/>
      <c r="I371" s="306">
        <f>data!CE69</f>
        <v>1725332.84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-9986.99999999997</v>
      </c>
      <c r="E372" s="287">
        <f>-data!CD84</f>
        <v>33897.68</v>
      </c>
      <c r="F372" s="297"/>
      <c r="G372" s="297"/>
      <c r="H372" s="297"/>
      <c r="I372" s="287">
        <f>-data!CE84</f>
        <v>-264688.37000000005</v>
      </c>
    </row>
    <row r="373" ht="20.1" customHeight="1">
      <c r="A373" s="279">
        <v>16</v>
      </c>
      <c r="B373" s="295" t="s">
        <v>1011</v>
      </c>
      <c r="C373" s="306">
        <f>data!CB85</f>
        <v>0</v>
      </c>
      <c r="D373" s="306">
        <f>data!CC85</f>
        <v>61834.650000000023</v>
      </c>
      <c r="E373" s="306">
        <f>data!CD85</f>
        <v>1232972.1199999999</v>
      </c>
      <c r="F373" s="311"/>
      <c r="G373" s="311"/>
      <c r="H373" s="311"/>
      <c r="I373" s="287">
        <f>data!CE85</f>
        <v>74717644.030000016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34700055.17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151501257.5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186201312.67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3466.2400000000002</v>
      </c>
      <c r="E380" s="297"/>
      <c r="F380" s="297"/>
      <c r="G380" s="297"/>
      <c r="H380" s="297"/>
      <c r="I380" s="287">
        <f>data!CE90</f>
        <v>147934.19000000003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29576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25188.83437214289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221777.85895517469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68.915955871771914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1068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1069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328</v>
      </c>
      <c r="B116" s="46" t="s">
        <v>299</v>
      </c>
      <c r="C116" s="47" t="s">
        <v>1070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1070</v>
      </c>
      <c r="D121" s="20"/>
      <c r="E121" s="20"/>
    </row>
    <row r="122">
      <c r="A122" s="20" t="s">
        <v>333</v>
      </c>
      <c r="B122" s="46" t="s">
        <v>299</v>
      </c>
      <c r="C122" s="47" t="s">
        <v>1070</v>
      </c>
      <c r="D122" s="20"/>
      <c r="E122" s="20"/>
    </row>
    <row r="123">
      <c r="A123" s="20" t="s">
        <v>334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206</v>
      </c>
      <c r="C2" s="12" t="str">
        <f>SUBSTITUTE(LEFT(data!C98,49),",","")</f>
        <v>PeaceHealth United General Medical Center</v>
      </c>
      <c r="D2" s="12" t="str">
        <f>LEFT(data!C99,49)</f>
        <v>2000 Hospital Drive</v>
      </c>
      <c r="E2" s="12" t="str">
        <f>RIGHT(data!C100,100)</f>
        <v>Sedro-Woolley</v>
      </c>
      <c r="F2" s="12" t="str">
        <f>RIGHT(data!C101,100)</f>
        <v>WA</v>
      </c>
      <c r="G2" s="12" t="str">
        <f>RIGHT(data!C102,100)</f>
        <v>98284</v>
      </c>
      <c r="H2" s="12" t="str">
        <f>RIGHT(data!C103,100)</f>
        <v>Skagit</v>
      </c>
      <c r="I2" s="12" t="str">
        <f>LEFT(data!C104,49)</f>
        <v>Charles Prosper</v>
      </c>
      <c r="J2" s="12" t="str">
        <f>LEFT(data!C105,49)</f>
        <v>Krista Touros</v>
      </c>
      <c r="K2" s="12" t="str">
        <f>LEFT(data!C107,49)</f>
        <v>360-856-6021</v>
      </c>
      <c r="L2" s="12" t="str">
        <f>LEFT(data!C107,49)</f>
        <v>360-856-6021</v>
      </c>
      <c r="M2" s="12" t="str">
        <f>LEFT(data!C109,49)</f>
        <v>Nichole Reeves</v>
      </c>
      <c r="N2" s="12" t="str">
        <f>LEFT(data!C110,49)</f>
        <v>NReeves@peacehealth.org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206</v>
      </c>
      <c r="B2" s="224" t="str">
        <f>RIGHT(data!C96,4)</f>
        <v>2022</v>
      </c>
      <c r="C2" s="16" t="s">
        <v>1169</v>
      </c>
      <c r="D2" s="223">
        <f>ROUND(data!C181,0)</f>
        <v>1985139</v>
      </c>
      <c r="E2" s="223">
        <f>ROUND(data!C182,0)</f>
        <v>48500</v>
      </c>
      <c r="F2" s="223">
        <f>ROUND(data!C183,0)</f>
        <v>188074</v>
      </c>
      <c r="G2" s="223">
        <f>ROUND(data!C184,0)</f>
        <v>3824764</v>
      </c>
      <c r="H2" s="223">
        <f>ROUND(data!C185,0)</f>
        <v>23736</v>
      </c>
      <c r="I2" s="223">
        <f>ROUND(data!C186,0)</f>
        <v>1413826</v>
      </c>
      <c r="J2" s="223">
        <f>ROUND(data!C187+data!C188,0)</f>
        <v>278447</v>
      </c>
      <c r="K2" s="223">
        <f>ROUND(data!C191,0)</f>
        <v>1098277</v>
      </c>
      <c r="L2" s="223">
        <f>ROUND(data!C192,0)</f>
        <v>830797</v>
      </c>
      <c r="M2" s="223">
        <f>ROUND(data!C195,0)</f>
        <v>209262</v>
      </c>
      <c r="N2" s="223">
        <f>ROUND(data!C196,0)</f>
        <v>184577</v>
      </c>
      <c r="O2" s="223">
        <f>ROUND(data!C199,0)</f>
        <v>80095</v>
      </c>
      <c r="P2" s="223">
        <f>ROUND(data!C200,0)</f>
        <v>689558</v>
      </c>
      <c r="Q2" s="223">
        <f>ROUND(data!C201,0)</f>
        <v>0</v>
      </c>
      <c r="R2" s="223">
        <f>ROUND(data!C204,0)</f>
        <v>0</v>
      </c>
      <c r="S2" s="223">
        <f>ROUND(data!C205,0)</f>
        <v>35582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0</v>
      </c>
      <c r="X2" s="223">
        <f>ROUND(data!C212,0)</f>
        <v>123783</v>
      </c>
      <c r="Y2" s="223">
        <f>ROUND(data!D212,0)</f>
        <v>0</v>
      </c>
      <c r="Z2" s="223">
        <f>ROUND(data!B213,0)</f>
        <v>9840511</v>
      </c>
      <c r="AA2" s="223">
        <f>ROUND(data!C213,0)</f>
        <v>7132444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1920149</v>
      </c>
      <c r="AG2" s="223">
        <f>ROUND(data!C215,0)</f>
        <v>596910</v>
      </c>
      <c r="AH2" s="223">
        <f>ROUND(data!D215,0)</f>
        <v>0</v>
      </c>
      <c r="AI2" s="223">
        <f>ROUND(data!B216,0)</f>
        <v>12047195</v>
      </c>
      <c r="AJ2" s="223">
        <f>ROUND(data!C216,0)</f>
        <v>1760501</v>
      </c>
      <c r="AK2" s="223">
        <f>ROUND(data!D216,0)</f>
        <v>81142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5082687</v>
      </c>
      <c r="AP2" s="223">
        <f>ROUND(data!C218,0)</f>
        <v>1506513</v>
      </c>
      <c r="AQ2" s="223">
        <f>ROUND(data!D218,0)</f>
        <v>0</v>
      </c>
      <c r="AR2" s="223">
        <f>ROUND(data!B219,0)</f>
        <v>2865331</v>
      </c>
      <c r="AS2" s="223">
        <f>ROUND(data!C219,0)</f>
        <v>2530198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0</v>
      </c>
      <c r="AY2" s="223">
        <f>ROUND(data!C225,0)</f>
        <v>0</v>
      </c>
      <c r="AZ2" s="223">
        <f>ROUND(data!D225,0)</f>
        <v>0</v>
      </c>
      <c r="BA2" s="223">
        <f>ROUND(data!B226,0)</f>
        <v>0</v>
      </c>
      <c r="BB2" s="223">
        <f>ROUND(data!C226,0)</f>
        <v>3610</v>
      </c>
      <c r="BC2" s="223">
        <f>ROUND(data!D226,0)</f>
        <v>0</v>
      </c>
      <c r="BD2" s="223">
        <f>ROUND(data!B227,0)</f>
        <v>2232883</v>
      </c>
      <c r="BE2" s="223">
        <f>ROUND(data!C227,0)</f>
        <v>529701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160604</v>
      </c>
      <c r="BK2" s="223">
        <f>ROUND(data!C229,0)</f>
        <v>137027</v>
      </c>
      <c r="BL2" s="223">
        <f>ROUND(data!D229,0)</f>
        <v>0</v>
      </c>
      <c r="BM2" s="223">
        <f>ROUND(data!B230,0)</f>
        <v>5812393</v>
      </c>
      <c r="BN2" s="223">
        <f>ROUND(data!C230,0)</f>
        <v>1372745</v>
      </c>
      <c r="BO2" s="223">
        <f>ROUND(data!D230,0)</f>
        <v>81142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808312</v>
      </c>
      <c r="BT2" s="223">
        <f>ROUND(data!C232,0)</f>
        <v>458629</v>
      </c>
      <c r="BU2" s="223">
        <f>ROUND(data!D232,0)</f>
        <v>0</v>
      </c>
      <c r="BV2" s="223">
        <f>ROUND(data!C239,0)</f>
        <v>53364431</v>
      </c>
      <c r="BW2" s="223">
        <f>ROUND(data!C240,0)</f>
        <v>27254621</v>
      </c>
      <c r="BX2" s="223">
        <f>ROUND(data!C241,0)</f>
        <v>898631</v>
      </c>
      <c r="BY2" s="223">
        <f>ROUND(data!C242,0)</f>
        <v>5019050</v>
      </c>
      <c r="BZ2" s="223">
        <f>ROUND(data!C243,0)</f>
        <v>15348180</v>
      </c>
      <c r="CA2" s="223">
        <f>ROUND(data!C244,0)</f>
        <v>507911</v>
      </c>
      <c r="CB2" s="223">
        <f>ROUND(data!C247,0)</f>
        <v>5126</v>
      </c>
      <c r="CC2" s="223">
        <f>ROUND(data!C249,0)</f>
        <v>376481</v>
      </c>
      <c r="CD2" s="223">
        <f>ROUND(data!C250,0)</f>
        <v>2801028</v>
      </c>
      <c r="CE2" s="223">
        <f>ROUND(data!C254+data!C255,0)</f>
        <v>-84897</v>
      </c>
      <c r="CF2" s="223">
        <f>data!D237</f>
        <v>1778408.3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206</v>
      </c>
      <c r="B2" s="16" t="str">
        <f>RIGHT(data!C96,4)</f>
        <v>2022</v>
      </c>
      <c r="C2" s="16" t="s">
        <v>1169</v>
      </c>
      <c r="D2" s="222">
        <f>ROUND(data!C127,0)</f>
        <v>748</v>
      </c>
      <c r="E2" s="222">
        <f>ROUND(data!C128,0)</f>
        <v>182</v>
      </c>
      <c r="F2" s="222">
        <f>ROUND(data!C129,0)</f>
        <v>0</v>
      </c>
      <c r="G2" s="222">
        <f>ROUND(data!C130,0)</f>
        <v>0</v>
      </c>
      <c r="H2" s="222">
        <f>ROUND(data!D127,0)</f>
        <v>4810</v>
      </c>
      <c r="I2" s="222">
        <f>ROUND(data!D128,0)</f>
        <v>3713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25</v>
      </c>
      <c r="O2" s="222">
        <f>ROUND(data!C135,0)</f>
        <v>0</v>
      </c>
      <c r="P2" s="222">
        <f>ROUND(data!C136,0)</f>
        <v>0</v>
      </c>
      <c r="Q2" s="222">
        <f>ROUND(data!C137,0)</f>
        <v>10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35</v>
      </c>
      <c r="X2" s="222">
        <f>ROUND(data!C145,0)</f>
        <v>0</v>
      </c>
      <c r="Y2" s="222">
        <f>ROUND(data!B154,0)</f>
        <v>568</v>
      </c>
      <c r="Z2" s="222">
        <f>ROUND(data!B155,0)</f>
        <v>3599</v>
      </c>
      <c r="AA2" s="222">
        <f>ROUND(data!B156,0)</f>
        <v>13044</v>
      </c>
      <c r="AB2" s="222">
        <f>ROUND(data!B157,0)</f>
        <v>18757119</v>
      </c>
      <c r="AC2" s="222">
        <f>ROUND(data!B158,0)</f>
        <v>71076289</v>
      </c>
      <c r="AD2" s="222">
        <f>ROUND(data!C154,0)</f>
        <v>89</v>
      </c>
      <c r="AE2" s="222">
        <f>ROUND(data!C155,0)</f>
        <v>486</v>
      </c>
      <c r="AF2" s="222">
        <f>ROUND(data!C156,0)</f>
        <v>6788</v>
      </c>
      <c r="AG2" s="222">
        <f>ROUND(data!C157,0)</f>
        <v>3704700</v>
      </c>
      <c r="AH2" s="222">
        <f>ROUND(data!C158,0)</f>
        <v>31307947</v>
      </c>
      <c r="AI2" s="222">
        <f>ROUND(data!D154,0)</f>
        <v>91</v>
      </c>
      <c r="AJ2" s="222">
        <f>ROUND(data!D155,0)</f>
        <v>725</v>
      </c>
      <c r="AK2" s="222">
        <f>ROUND(data!D156,0)</f>
        <v>9689</v>
      </c>
      <c r="AL2" s="222">
        <f>ROUND(data!D157,0)</f>
        <v>4348220</v>
      </c>
      <c r="AM2" s="222">
        <f>ROUND(data!D158,0)</f>
        <v>49117021</v>
      </c>
      <c r="AN2" s="222">
        <f>ROUND(data!B160,0)</f>
        <v>110</v>
      </c>
      <c r="AO2" s="222">
        <f>ROUND(data!B161,0)</f>
        <v>2148</v>
      </c>
      <c r="AP2" s="222">
        <f>ROUND(data!B162,0)</f>
        <v>0</v>
      </c>
      <c r="AQ2" s="222">
        <f>ROUND(data!B163,0)</f>
        <v>4175624</v>
      </c>
      <c r="AR2" s="222">
        <f>ROUND(data!B164,0)</f>
        <v>0</v>
      </c>
      <c r="AS2" s="222">
        <f>ROUND(data!C160,0)</f>
        <v>54</v>
      </c>
      <c r="AT2" s="222">
        <f>ROUND(data!C161,0)</f>
        <v>1265</v>
      </c>
      <c r="AU2" s="222">
        <f>ROUND(data!C162,0)</f>
        <v>0</v>
      </c>
      <c r="AV2" s="222">
        <f>ROUND(data!C163,0)</f>
        <v>3065729</v>
      </c>
      <c r="AW2" s="222">
        <f>ROUND(data!C164,0)</f>
        <v>0</v>
      </c>
      <c r="AX2" s="222">
        <f>ROUND(data!D160,0)</f>
        <v>18</v>
      </c>
      <c r="AY2" s="222">
        <f>ROUND(data!D161,0)</f>
        <v>300</v>
      </c>
      <c r="AZ2" s="222">
        <f>ROUND(data!D162,0)</f>
        <v>0</v>
      </c>
      <c r="BA2" s="222">
        <f>ROUND(data!D163,0)</f>
        <v>648663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1301886</v>
      </c>
      <c r="BS2" s="222">
        <f>ROUND(data!C173,0)</f>
        <v>2686194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206</v>
      </c>
      <c r="B2" s="224" t="str">
        <f>RIGHT(data!C96,4)</f>
        <v>2022</v>
      </c>
      <c r="C2" s="16" t="s">
        <v>1169</v>
      </c>
      <c r="D2" s="222">
        <f>ROUND(data!C266,0)</f>
        <v>0</v>
      </c>
      <c r="E2" s="222">
        <f>ROUND(data!C267,0)</f>
        <v>0</v>
      </c>
      <c r="F2" s="222">
        <f>ROUND(data!C268,0)</f>
        <v>23513160</v>
      </c>
      <c r="G2" s="222">
        <f>ROUND(data!C269,0)</f>
        <v>13146281</v>
      </c>
      <c r="H2" s="222">
        <f>ROUND(data!C270,0)</f>
        <v>601279</v>
      </c>
      <c r="I2" s="222">
        <f>ROUND(data!C271,0)</f>
        <v>0</v>
      </c>
      <c r="J2" s="222">
        <f>ROUND(data!C272,0)</f>
        <v>0</v>
      </c>
      <c r="K2" s="222">
        <f>ROUND(data!C273,0)</f>
        <v>0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0</v>
      </c>
      <c r="R2" s="222">
        <f>ROUND(data!C284,0)</f>
        <v>123783</v>
      </c>
      <c r="S2" s="222">
        <f>ROUND(data!C285,0)</f>
        <v>16972955</v>
      </c>
      <c r="T2" s="222">
        <f>ROUND(data!C286,0)</f>
        <v>0</v>
      </c>
      <c r="U2" s="222">
        <f>ROUND(data!C287,0)</f>
        <v>2517059</v>
      </c>
      <c r="V2" s="222">
        <f>ROUND(data!C288,0)</f>
        <v>13726553</v>
      </c>
      <c r="W2" s="222">
        <f>ROUND(data!C289,0)</f>
        <v>6589200</v>
      </c>
      <c r="X2" s="222">
        <f>ROUND(data!C290,0)</f>
        <v>5395529</v>
      </c>
      <c r="Y2" s="222">
        <f>ROUND(data!C291,0)</f>
        <v>0</v>
      </c>
      <c r="Z2" s="222">
        <f>ROUND(data!C292,0)</f>
        <v>11434762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0</v>
      </c>
      <c r="AK2" s="222">
        <f>ROUND(data!C316,0)</f>
        <v>0</v>
      </c>
      <c r="AL2" s="222">
        <f>ROUND(data!C317,0)</f>
        <v>0</v>
      </c>
      <c r="AM2" s="222">
        <f>ROUND(data!C318,0)</f>
        <v>2201469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42657006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293.92</v>
      </c>
      <c r="BL2" s="222">
        <f>ROUND(data!C358,0)</f>
        <v>34700055</v>
      </c>
      <c r="BM2" s="222">
        <f>ROUND(data!C359,0)</f>
        <v>151501258</v>
      </c>
      <c r="BN2" s="222">
        <f>ROUND(data!C363,0)</f>
        <v>102392824</v>
      </c>
      <c r="BO2" s="222">
        <f>ROUND(data!C364,0)</f>
        <v>3177508</v>
      </c>
      <c r="BP2" s="222">
        <f>ROUND(data!C365,0)</f>
        <v>-84897</v>
      </c>
      <c r="BQ2" s="222">
        <f>ROUND(data!D381,0)</f>
        <v>264688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264688</v>
      </c>
      <c r="CC2" s="222">
        <f>ROUND(data!C382,0)</f>
        <v>0</v>
      </c>
      <c r="CD2" s="222">
        <f>ROUND(data!C389,0)</f>
        <v>33727442</v>
      </c>
      <c r="CE2" s="222">
        <f>ROUND(data!C390,0)</f>
        <v>7762486</v>
      </c>
      <c r="CF2" s="222">
        <f>ROUND(data!C391,0)</f>
        <v>2732778</v>
      </c>
      <c r="CG2" s="222">
        <f>ROUND(data!C392,0)</f>
        <v>7310152</v>
      </c>
      <c r="CH2" s="222">
        <f>ROUND(data!C393,0)</f>
        <v>915793</v>
      </c>
      <c r="CI2" s="222">
        <f>ROUND(data!C394,0)</f>
        <v>14588664</v>
      </c>
      <c r="CJ2" s="222">
        <f>ROUND(data!C395,0)</f>
        <v>4555297</v>
      </c>
      <c r="CK2" s="222">
        <f>ROUND(data!C396,0)</f>
        <v>1929074</v>
      </c>
      <c r="CL2" s="222">
        <f>ROUND(data!C397,0)</f>
        <v>393839</v>
      </c>
      <c r="CM2" s="222">
        <f>ROUND(data!C398,0)</f>
        <v>769653</v>
      </c>
      <c r="CN2" s="222">
        <f>ROUND(data!C399,0)</f>
        <v>35582</v>
      </c>
      <c r="CO2" s="222">
        <f>ROUND(data!C362,0)</f>
        <v>1778408</v>
      </c>
      <c r="CP2" s="222">
        <f>ROUND(data!D415,0)</f>
        <v>261570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261570</v>
      </c>
      <c r="DE2" s="65">
        <f>ROUND(data!C419,0)</f>
        <v>0</v>
      </c>
      <c r="DF2" s="222">
        <f>ROUND(data!D420,0)</f>
        <v>-116100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206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206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206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2145</v>
      </c>
      <c r="F4" s="212">
        <f>ROUND(data!E60,2)</f>
        <v>45.87</v>
      </c>
      <c r="G4" s="222">
        <f>ROUND(data!E61,0)</f>
        <v>6321722</v>
      </c>
      <c r="H4" s="222">
        <f>ROUND(data!E62,0)</f>
        <v>927705</v>
      </c>
      <c r="I4" s="222">
        <f>ROUND(data!E63,0)</f>
        <v>0</v>
      </c>
      <c r="J4" s="222">
        <f>ROUND(data!E64,0)</f>
        <v>262600</v>
      </c>
      <c r="K4" s="222">
        <f>ROUND(data!E65,0)</f>
        <v>0</v>
      </c>
      <c r="L4" s="222">
        <f>ROUND(data!E66,0)</f>
        <v>15796</v>
      </c>
      <c r="M4" s="66">
        <f>ROUND(data!E67,0)</f>
        <v>99574</v>
      </c>
      <c r="N4" s="222">
        <f>ROUND(data!E68,0)</f>
        <v>131055</v>
      </c>
      <c r="O4" s="222">
        <f>ROUND(data!E69,0)</f>
        <v>15633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15633</v>
      </c>
      <c r="AD4" s="222">
        <f>ROUND(data!E84,0)</f>
        <v>0</v>
      </c>
      <c r="AE4" s="222">
        <f>ROUND(data!E89,0)</f>
        <v>12804197</v>
      </c>
      <c r="AF4" s="222">
        <f>ROUND(data!E87,0)</f>
        <v>10172206</v>
      </c>
      <c r="AG4" s="222">
        <f>IF(data!E90&gt;0,ROUND(data!E90,0),0)</f>
        <v>12031</v>
      </c>
      <c r="AH4" s="222">
        <f>IF(data!E91&gt;0,ROUND(data!E91,0),0)</f>
        <v>20996</v>
      </c>
      <c r="AI4" s="222">
        <f>IF(data!E92&gt;0,ROUND(data!E92,0),0)</f>
        <v>4950</v>
      </c>
      <c r="AJ4" s="222">
        <f>IF(data!E93&gt;0,ROUND(data!E93,0),0)</f>
        <v>64353</v>
      </c>
      <c r="AK4" s="212">
        <f>IF(data!E94&gt;0,ROUND(data!E94,2),0)</f>
        <v>21.33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206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206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2665</v>
      </c>
      <c r="F6" s="212">
        <f>ROUND(data!G60,2)</f>
        <v>16.17</v>
      </c>
      <c r="G6" s="222">
        <f>ROUND(data!G61,0)</f>
        <v>1755676</v>
      </c>
      <c r="H6" s="222">
        <f>ROUND(data!G62,0)</f>
        <v>370439</v>
      </c>
      <c r="I6" s="222">
        <f>ROUND(data!G63,0)</f>
        <v>0</v>
      </c>
      <c r="J6" s="222">
        <f>ROUND(data!G64,0)</f>
        <v>82394</v>
      </c>
      <c r="K6" s="222">
        <f>ROUND(data!G65,0)</f>
        <v>0</v>
      </c>
      <c r="L6" s="222">
        <f>ROUND(data!G66,0)</f>
        <v>1647651</v>
      </c>
      <c r="M6" s="66">
        <f>ROUND(data!G67,0)</f>
        <v>5596</v>
      </c>
      <c r="N6" s="222">
        <f>ROUND(data!G68,0)</f>
        <v>8404</v>
      </c>
      <c r="O6" s="222">
        <f>ROUND(data!G69,0)</f>
        <v>8575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8575</v>
      </c>
      <c r="AD6" s="222">
        <f>ROUND(data!G84,0)</f>
        <v>435</v>
      </c>
      <c r="AE6" s="222">
        <f>ROUND(data!G89,0)</f>
        <v>9681963</v>
      </c>
      <c r="AF6" s="222">
        <f>ROUND(data!G87,0)</f>
        <v>9681677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22986</v>
      </c>
      <c r="AK6" s="212">
        <f>IF(data!G94&gt;0,ROUND(data!G94,2),0)</f>
        <v>9.59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206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206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206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206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206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3713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1676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4528418</v>
      </c>
      <c r="AF11" s="222">
        <f>ROUND(data!L87,0)</f>
        <v>4529638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206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0</v>
      </c>
      <c r="F12" s="212">
        <f>ROUND(data!M60,2)</f>
        <v>0.3</v>
      </c>
      <c r="G12" s="222">
        <f>ROUND(data!M61,0)</f>
        <v>31547</v>
      </c>
      <c r="H12" s="222">
        <f>ROUND(data!M62,0)</f>
        <v>10565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206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570199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206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206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62375</v>
      </c>
      <c r="F15" s="212">
        <f>ROUND(data!P60,2)</f>
        <v>7.68</v>
      </c>
      <c r="G15" s="222">
        <f>ROUND(data!P61,0)</f>
        <v>782446</v>
      </c>
      <c r="H15" s="222">
        <f>ROUND(data!P62,0)</f>
        <v>237246</v>
      </c>
      <c r="I15" s="222">
        <f>ROUND(data!P63,0)</f>
        <v>0</v>
      </c>
      <c r="J15" s="222">
        <f>ROUND(data!P64,0)</f>
        <v>618094</v>
      </c>
      <c r="K15" s="222">
        <f>ROUND(data!P65,0)</f>
        <v>0</v>
      </c>
      <c r="L15" s="222">
        <f>ROUND(data!P66,0)</f>
        <v>13269</v>
      </c>
      <c r="M15" s="66">
        <f>ROUND(data!P67,0)</f>
        <v>315669</v>
      </c>
      <c r="N15" s="222">
        <f>ROUND(data!P68,0)</f>
        <v>0</v>
      </c>
      <c r="O15" s="222">
        <f>ROUND(data!P69,0)</f>
        <v>14598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14598</v>
      </c>
      <c r="AD15" s="222">
        <f>ROUND(data!P84,0)</f>
        <v>-2514</v>
      </c>
      <c r="AE15" s="222">
        <f>ROUND(data!P89,0)</f>
        <v>9103254</v>
      </c>
      <c r="AF15" s="222">
        <f>ROUND(data!P87,0)</f>
        <v>365147</v>
      </c>
      <c r="AG15" s="222">
        <f>IF(data!P90&gt;0,ROUND(data!P90,0),0)</f>
        <v>3224</v>
      </c>
      <c r="AH15" s="222">
        <f>IF(data!P91&gt;0,ROUND(data!P91,0),0)</f>
        <v>0</v>
      </c>
      <c r="AI15" s="222">
        <f>IF(data!P92&gt;0,ROUND(data!P92,0),0)</f>
        <v>1521</v>
      </c>
      <c r="AJ15" s="222">
        <f>IF(data!P93&gt;0,ROUND(data!P93,0),0)</f>
        <v>10542</v>
      </c>
      <c r="AK15" s="212">
        <f>IF(data!P94&gt;0,ROUND(data!P94,2),0)</f>
        <v>2.11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206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67362</v>
      </c>
      <c r="F16" s="212">
        <f>ROUND(data!Q60,2)</f>
        <v>2.82</v>
      </c>
      <c r="G16" s="222">
        <f>ROUND(data!Q61,0)</f>
        <v>356561</v>
      </c>
      <c r="H16" s="222">
        <f>ROUND(data!Q62,0)</f>
        <v>90447</v>
      </c>
      <c r="I16" s="222">
        <f>ROUND(data!Q63,0)</f>
        <v>0</v>
      </c>
      <c r="J16" s="222">
        <f>ROUND(data!Q64,0)</f>
        <v>4714</v>
      </c>
      <c r="K16" s="222">
        <f>ROUND(data!Q65,0)</f>
        <v>500</v>
      </c>
      <c r="L16" s="222">
        <f>ROUND(data!Q66,0)</f>
        <v>3</v>
      </c>
      <c r="M16" s="66">
        <f>ROUND(data!Q67,0)</f>
        <v>49657</v>
      </c>
      <c r="N16" s="222">
        <f>ROUND(data!Q68,0)</f>
        <v>0</v>
      </c>
      <c r="O16" s="222">
        <f>ROUND(data!Q69,0)</f>
        <v>59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59</v>
      </c>
      <c r="AD16" s="222">
        <f>ROUND(data!Q84,0)</f>
        <v>0</v>
      </c>
      <c r="AE16" s="222">
        <f>ROUND(data!Q89,0)</f>
        <v>543483</v>
      </c>
      <c r="AF16" s="222">
        <f>ROUND(data!Q87,0)</f>
        <v>27792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3581</v>
      </c>
      <c r="AK16" s="212">
        <f>IF(data!Q94&gt;0,ROUND(data!Q94,2),0)</f>
        <v>2.82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206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57498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402430</v>
      </c>
      <c r="J17" s="222">
        <f>ROUND(data!R64,0)</f>
        <v>13319</v>
      </c>
      <c r="K17" s="222">
        <f>ROUND(data!R65,0)</f>
        <v>0</v>
      </c>
      <c r="L17" s="222">
        <f>ROUND(data!R66,0)</f>
        <v>12</v>
      </c>
      <c r="M17" s="66">
        <f>ROUND(data!R67,0)</f>
        <v>196</v>
      </c>
      <c r="N17" s="222">
        <f>ROUND(data!R68,0)</f>
        <v>0</v>
      </c>
      <c r="O17" s="222">
        <f>ROUND(data!R69,0)</f>
        <v>129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129</v>
      </c>
      <c r="AD17" s="222">
        <f>ROUND(data!R84,0)</f>
        <v>0</v>
      </c>
      <c r="AE17" s="222">
        <f>ROUND(data!R89,0)</f>
        <v>2174304</v>
      </c>
      <c r="AF17" s="222">
        <f>ROUND(data!R87,0)</f>
        <v>90860</v>
      </c>
      <c r="AG17" s="222">
        <f>IF(data!R90&gt;0,ROUND(data!R90,0),0)</f>
        <v>37</v>
      </c>
      <c r="AH17" s="222">
        <f>IF(data!R91&gt;0,ROUND(data!R91,0),0)</f>
        <v>0</v>
      </c>
      <c r="AI17" s="222">
        <f>IF(data!R92&gt;0,ROUND(data!R92,0),0)</f>
        <v>17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206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2.13</v>
      </c>
      <c r="G18" s="222">
        <f>ROUND(data!S61,0)</f>
        <v>104549</v>
      </c>
      <c r="H18" s="222">
        <f>ROUND(data!S62,0)</f>
        <v>45203</v>
      </c>
      <c r="I18" s="222">
        <f>ROUND(data!S63,0)</f>
        <v>0</v>
      </c>
      <c r="J18" s="222">
        <f>ROUND(data!S64,0)</f>
        <v>54643</v>
      </c>
      <c r="K18" s="222">
        <f>ROUND(data!S65,0)</f>
        <v>0</v>
      </c>
      <c r="L18" s="222">
        <f>ROUND(data!S66,0)</f>
        <v>8530</v>
      </c>
      <c r="M18" s="66">
        <f>ROUND(data!S67,0)</f>
        <v>40918</v>
      </c>
      <c r="N18" s="222">
        <f>ROUND(data!S68,0)</f>
        <v>0</v>
      </c>
      <c r="O18" s="222">
        <f>ROUND(data!S69,0)</f>
        <v>1302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1302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2737</v>
      </c>
      <c r="AH18" s="222">
        <f>IF(data!S91&gt;0,ROUND(data!S91,0),0)</f>
        <v>0</v>
      </c>
      <c r="AI18" s="222">
        <f>IF(data!S92&gt;0,ROUND(data!S92,0),0)</f>
        <v>961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206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7.4</v>
      </c>
      <c r="G19" s="222">
        <f>ROUND(data!T61,0)</f>
        <v>788697</v>
      </c>
      <c r="H19" s="222">
        <f>ROUND(data!T62,0)</f>
        <v>224272</v>
      </c>
      <c r="I19" s="222">
        <f>ROUND(data!T63,0)</f>
        <v>0</v>
      </c>
      <c r="J19" s="222">
        <f>ROUND(data!T64,0)</f>
        <v>52072</v>
      </c>
      <c r="K19" s="222">
        <f>ROUND(data!T65,0)</f>
        <v>0</v>
      </c>
      <c r="L19" s="222">
        <f>ROUND(data!T66,0)</f>
        <v>18564</v>
      </c>
      <c r="M19" s="66">
        <f>ROUND(data!T67,0)</f>
        <v>0</v>
      </c>
      <c r="N19" s="222">
        <f>ROUND(data!T68,0)</f>
        <v>500</v>
      </c>
      <c r="O19" s="222">
        <f>ROUND(data!T69,0)</f>
        <v>431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431</v>
      </c>
      <c r="AD19" s="222">
        <f>ROUND(data!T84,0)</f>
        <v>0</v>
      </c>
      <c r="AE19" s="222">
        <f>ROUND(data!T89,0)</f>
        <v>1915709</v>
      </c>
      <c r="AF19" s="222">
        <f>ROUND(data!T87,0)</f>
        <v>3899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5.29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206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99970</v>
      </c>
      <c r="F20" s="212">
        <f>ROUND(data!U60,2)</f>
        <v>10.02</v>
      </c>
      <c r="G20" s="222">
        <f>ROUND(data!U61,0)</f>
        <v>865881</v>
      </c>
      <c r="H20" s="222">
        <f>ROUND(data!U62,0)</f>
        <v>229219</v>
      </c>
      <c r="I20" s="222">
        <f>ROUND(data!U63,0)</f>
        <v>0</v>
      </c>
      <c r="J20" s="222">
        <f>ROUND(data!U64,0)</f>
        <v>61961</v>
      </c>
      <c r="K20" s="222">
        <f>ROUND(data!U65,0)</f>
        <v>0</v>
      </c>
      <c r="L20" s="222">
        <f>ROUND(data!U66,0)</f>
        <v>1020034</v>
      </c>
      <c r="M20" s="66">
        <f>ROUND(data!U67,0)</f>
        <v>7302</v>
      </c>
      <c r="N20" s="222">
        <f>ROUND(data!U68,0)</f>
        <v>0</v>
      </c>
      <c r="O20" s="222">
        <f>ROUND(data!U69,0)</f>
        <v>6883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6883</v>
      </c>
      <c r="AD20" s="222">
        <f>ROUND(data!U84,0)</f>
        <v>0</v>
      </c>
      <c r="AE20" s="222">
        <f>ROUND(data!U89,0)</f>
        <v>14198939</v>
      </c>
      <c r="AF20" s="222">
        <f>ROUND(data!U87,0)</f>
        <v>1660727</v>
      </c>
      <c r="AG20" s="222">
        <f>IF(data!U90&gt;0,ROUND(data!U90,0),0)</f>
        <v>989</v>
      </c>
      <c r="AH20" s="222">
        <f>IF(data!U91&gt;0,ROUND(data!U91,0),0)</f>
        <v>0</v>
      </c>
      <c r="AI20" s="222">
        <f>IF(data!U92&gt;0,ROUND(data!U92,0),0)</f>
        <v>407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206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206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1225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18528</v>
      </c>
      <c r="K22" s="222">
        <f>ROUND(data!W65,0)</f>
        <v>0</v>
      </c>
      <c r="L22" s="222">
        <f>ROUND(data!W66,0)</f>
        <v>210359</v>
      </c>
      <c r="M22" s="66">
        <f>ROUND(data!W67,0)</f>
        <v>484930</v>
      </c>
      <c r="N22" s="222">
        <f>ROUND(data!W68,0)</f>
        <v>0</v>
      </c>
      <c r="O22" s="222">
        <f>ROUND(data!W69,0)</f>
        <v>102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102</v>
      </c>
      <c r="AD22" s="222">
        <f>ROUND(data!W84,0)</f>
        <v>0</v>
      </c>
      <c r="AE22" s="222">
        <f>ROUND(data!W89,0)</f>
        <v>4607413</v>
      </c>
      <c r="AF22" s="222">
        <f>ROUND(data!W87,0)</f>
        <v>287003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206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7536</v>
      </c>
      <c r="F23" s="212">
        <f>ROUND(data!X60,2)</f>
        <v>2.36</v>
      </c>
      <c r="G23" s="222">
        <f>ROUND(data!X61,0)</f>
        <v>275580</v>
      </c>
      <c r="H23" s="222">
        <f>ROUND(data!X62,0)</f>
        <v>97985</v>
      </c>
      <c r="I23" s="222">
        <f>ROUND(data!X63,0)</f>
        <v>0</v>
      </c>
      <c r="J23" s="222">
        <f>ROUND(data!X64,0)</f>
        <v>80892</v>
      </c>
      <c r="K23" s="222">
        <f>ROUND(data!X65,0)</f>
        <v>0</v>
      </c>
      <c r="L23" s="222">
        <f>ROUND(data!X66,0)</f>
        <v>3758</v>
      </c>
      <c r="M23" s="66">
        <f>ROUND(data!X67,0)</f>
        <v>3523</v>
      </c>
      <c r="N23" s="222">
        <f>ROUND(data!X68,0)</f>
        <v>0</v>
      </c>
      <c r="O23" s="222">
        <f>ROUND(data!X69,0)</f>
        <v>626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626</v>
      </c>
      <c r="AD23" s="222">
        <f>ROUND(data!X84,0)</f>
        <v>1041</v>
      </c>
      <c r="AE23" s="222">
        <f>ROUND(data!X89,0)</f>
        <v>25058531</v>
      </c>
      <c r="AF23" s="222">
        <f>ROUND(data!X87,0)</f>
        <v>1209013</v>
      </c>
      <c r="AG23" s="222">
        <f>IF(data!X90&gt;0,ROUND(data!X90,0),0)</f>
        <v>555</v>
      </c>
      <c r="AH23" s="222">
        <f>IF(data!X91&gt;0,ROUND(data!X91,0),0)</f>
        <v>0</v>
      </c>
      <c r="AI23" s="222">
        <f>IF(data!X92&gt;0,ROUND(data!X92,0),0)</f>
        <v>228</v>
      </c>
      <c r="AJ23" s="222">
        <f>IF(data!X93&gt;0,ROUND(data!X93,0),0)</f>
        <v>0</v>
      </c>
      <c r="AK23" s="212">
        <f>IF(data!X94&gt;0,ROUND(data!X94,2),0)</f>
        <v>0.01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206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16594</v>
      </c>
      <c r="F24" s="212">
        <f>ROUND(data!Y60,2)</f>
        <v>10.89</v>
      </c>
      <c r="G24" s="222">
        <f>ROUND(data!Y61,0)</f>
        <v>1305686</v>
      </c>
      <c r="H24" s="222">
        <f>ROUND(data!Y62,0)</f>
        <v>281935</v>
      </c>
      <c r="I24" s="222">
        <f>ROUND(data!Y63,0)</f>
        <v>5655</v>
      </c>
      <c r="J24" s="222">
        <f>ROUND(data!Y64,0)</f>
        <v>94343</v>
      </c>
      <c r="K24" s="222">
        <f>ROUND(data!Y65,0)</f>
        <v>0</v>
      </c>
      <c r="L24" s="222">
        <f>ROUND(data!Y66,0)</f>
        <v>22148</v>
      </c>
      <c r="M24" s="66">
        <f>ROUND(data!Y67,0)</f>
        <v>298923</v>
      </c>
      <c r="N24" s="222">
        <f>ROUND(data!Y68,0)</f>
        <v>0</v>
      </c>
      <c r="O24" s="222">
        <f>ROUND(data!Y69,0)</f>
        <v>5772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5772</v>
      </c>
      <c r="AD24" s="222">
        <f>ROUND(data!Y84,0)</f>
        <v>0</v>
      </c>
      <c r="AE24" s="222">
        <f>ROUND(data!Y89,0)</f>
        <v>9999414</v>
      </c>
      <c r="AF24" s="222">
        <f>ROUND(data!Y87,0)</f>
        <v>571263</v>
      </c>
      <c r="AG24" s="222">
        <f>IF(data!Y90&gt;0,ROUND(data!Y90,0),0)</f>
        <v>6229</v>
      </c>
      <c r="AH24" s="222">
        <f>IF(data!Y91&gt;0,ROUND(data!Y91,0),0)</f>
        <v>7642</v>
      </c>
      <c r="AI24" s="222">
        <f>IF(data!Y92&gt;0,ROUND(data!Y92,0),0)</f>
        <v>2563</v>
      </c>
      <c r="AJ24" s="222">
        <f>IF(data!Y93&gt;0,ROUND(data!Y93,0),0)</f>
        <v>32852</v>
      </c>
      <c r="AK24" s="212">
        <f>IF(data!Y94&gt;0,ROUND(data!Y94,2),0)</f>
        <v>0.06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206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5086</v>
      </c>
      <c r="F25" s="212">
        <f>ROUND(data!Z60,2)</f>
        <v>8.13</v>
      </c>
      <c r="G25" s="222">
        <f>ROUND(data!Z61,0)</f>
        <v>871586</v>
      </c>
      <c r="H25" s="222">
        <f>ROUND(data!Z62,0)</f>
        <v>224214</v>
      </c>
      <c r="I25" s="222">
        <f>ROUND(data!Z63,0)</f>
        <v>442515</v>
      </c>
      <c r="J25" s="222">
        <f>ROUND(data!Z64,0)</f>
        <v>31090</v>
      </c>
      <c r="K25" s="222">
        <f>ROUND(data!Z65,0)</f>
        <v>0</v>
      </c>
      <c r="L25" s="222">
        <f>ROUND(data!Z66,0)</f>
        <v>322890</v>
      </c>
      <c r="M25" s="66">
        <f>ROUND(data!Z67,0)</f>
        <v>99281</v>
      </c>
      <c r="N25" s="222">
        <f>ROUND(data!Z68,0)</f>
        <v>0</v>
      </c>
      <c r="O25" s="222">
        <f>ROUND(data!Z69,0)</f>
        <v>11664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11664</v>
      </c>
      <c r="AD25" s="222">
        <f>ROUND(data!Z84,0)</f>
        <v>0</v>
      </c>
      <c r="AE25" s="222">
        <f>ROUND(data!Z89,0)</f>
        <v>11616633</v>
      </c>
      <c r="AF25" s="222">
        <f>ROUND(data!Z87,0)</f>
        <v>104461</v>
      </c>
      <c r="AG25" s="222">
        <f>IF(data!Z90&gt;0,ROUND(data!Z90,0),0)</f>
        <v>5547</v>
      </c>
      <c r="AH25" s="222">
        <f>IF(data!Z91&gt;0,ROUND(data!Z91,0),0)</f>
        <v>0</v>
      </c>
      <c r="AI25" s="222">
        <f>IF(data!Z92&gt;0,ROUND(data!Z92,0),0)</f>
        <v>2282</v>
      </c>
      <c r="AJ25" s="222">
        <f>IF(data!Z93&gt;0,ROUND(data!Z93,0),0)</f>
        <v>10203</v>
      </c>
      <c r="AK25" s="212">
        <f>IF(data!Z94&gt;0,ROUND(data!Z94,2),0)</f>
        <v>1.42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206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352</v>
      </c>
      <c r="F26" s="212">
        <f>ROUND(data!AA60,2)</f>
        <v>1.11</v>
      </c>
      <c r="G26" s="222">
        <f>ROUND(data!AA61,0)</f>
        <v>122407</v>
      </c>
      <c r="H26" s="222">
        <f>ROUND(data!AA62,0)</f>
        <v>36686</v>
      </c>
      <c r="I26" s="222">
        <f>ROUND(data!AA63,0)</f>
        <v>0</v>
      </c>
      <c r="J26" s="222">
        <f>ROUND(data!AA64,0)</f>
        <v>37477</v>
      </c>
      <c r="K26" s="222">
        <f>ROUND(data!AA65,0)</f>
        <v>0</v>
      </c>
      <c r="L26" s="222">
        <f>ROUND(data!AA66,0)</f>
        <v>7289</v>
      </c>
      <c r="M26" s="66">
        <f>ROUND(data!AA67,0)</f>
        <v>58653</v>
      </c>
      <c r="N26" s="222">
        <f>ROUND(data!AA68,0)</f>
        <v>0</v>
      </c>
      <c r="O26" s="222">
        <f>ROUND(data!AA69,0)</f>
        <v>42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42</v>
      </c>
      <c r="AD26" s="222">
        <f>ROUND(data!AA84,0)</f>
        <v>0</v>
      </c>
      <c r="AE26" s="222">
        <f>ROUND(data!AA89,0)</f>
        <v>1403628</v>
      </c>
      <c r="AF26" s="222">
        <f>ROUND(data!AA87,0)</f>
        <v>59620</v>
      </c>
      <c r="AG26" s="222">
        <f>IF(data!AA90&gt;0,ROUND(data!AA90,0),0)</f>
        <v>1163</v>
      </c>
      <c r="AH26" s="222">
        <f>IF(data!AA91&gt;0,ROUND(data!AA91,0),0)</f>
        <v>0</v>
      </c>
      <c r="AI26" s="222">
        <f>IF(data!AA92&gt;0,ROUND(data!AA92,0),0)</f>
        <v>479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206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7.78</v>
      </c>
      <c r="G27" s="222">
        <f>ROUND(data!AB61,0)</f>
        <v>939518</v>
      </c>
      <c r="H27" s="222">
        <f>ROUND(data!AB62,0)</f>
        <v>225641</v>
      </c>
      <c r="I27" s="222">
        <f>ROUND(data!AB63,0)</f>
        <v>0</v>
      </c>
      <c r="J27" s="222">
        <f>ROUND(data!AB64,0)</f>
        <v>4170630</v>
      </c>
      <c r="K27" s="222">
        <f>ROUND(data!AB65,0)</f>
        <v>0</v>
      </c>
      <c r="L27" s="222">
        <f>ROUND(data!AB66,0)</f>
        <v>45811</v>
      </c>
      <c r="M27" s="66">
        <f>ROUND(data!AB67,0)</f>
        <v>35935</v>
      </c>
      <c r="N27" s="222">
        <f>ROUND(data!AB68,0)</f>
        <v>98638</v>
      </c>
      <c r="O27" s="222">
        <f>ROUND(data!AB69,0)</f>
        <v>67582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67582</v>
      </c>
      <c r="AD27" s="222">
        <f>ROUND(data!AB84,0)</f>
        <v>10</v>
      </c>
      <c r="AE27" s="222">
        <f>ROUND(data!AB89,0)</f>
        <v>16371191</v>
      </c>
      <c r="AF27" s="222">
        <f>ROUND(data!AB87,0)</f>
        <v>2239970</v>
      </c>
      <c r="AG27" s="222">
        <f>IF(data!AB90&gt;0,ROUND(data!AB90,0),0)</f>
        <v>1269</v>
      </c>
      <c r="AH27" s="222">
        <f>IF(data!AB91&gt;0,ROUND(data!AB91,0),0)</f>
        <v>0</v>
      </c>
      <c r="AI27" s="222">
        <f>IF(data!AB92&gt;0,ROUND(data!AB92,0),0)</f>
        <v>446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206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10896</v>
      </c>
      <c r="F28" s="212">
        <f>ROUND(data!AC60,2)</f>
        <v>8.37</v>
      </c>
      <c r="G28" s="222">
        <f>ROUND(data!AC61,0)</f>
        <v>870512</v>
      </c>
      <c r="H28" s="222">
        <f>ROUND(data!AC62,0)</f>
        <v>232975</v>
      </c>
      <c r="I28" s="222">
        <f>ROUND(data!AC63,0)</f>
        <v>0</v>
      </c>
      <c r="J28" s="222">
        <f>ROUND(data!AC64,0)</f>
        <v>63297</v>
      </c>
      <c r="K28" s="222">
        <f>ROUND(data!AC65,0)</f>
        <v>0</v>
      </c>
      <c r="L28" s="222">
        <f>ROUND(data!AC66,0)</f>
        <v>712</v>
      </c>
      <c r="M28" s="66">
        <f>ROUND(data!AC67,0)</f>
        <v>26147</v>
      </c>
      <c r="N28" s="222">
        <f>ROUND(data!AC68,0)</f>
        <v>0</v>
      </c>
      <c r="O28" s="222">
        <f>ROUND(data!AC69,0)</f>
        <v>2940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2940</v>
      </c>
      <c r="AD28" s="222">
        <f>ROUND(data!AC84,0)</f>
        <v>0</v>
      </c>
      <c r="AE28" s="222">
        <f>ROUND(data!AC89,0)</f>
        <v>3120928</v>
      </c>
      <c r="AF28" s="222">
        <f>ROUND(data!AC87,0)</f>
        <v>819952</v>
      </c>
      <c r="AG28" s="222">
        <f>IF(data!AC90&gt;0,ROUND(data!AC90,0),0)</f>
        <v>932</v>
      </c>
      <c r="AH28" s="222">
        <f>IF(data!AC91&gt;0,ROUND(data!AC91,0),0)</f>
        <v>0</v>
      </c>
      <c r="AI28" s="222">
        <f>IF(data!AC92&gt;0,ROUND(data!AC92,0),0)</f>
        <v>327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206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206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26436</v>
      </c>
      <c r="F30" s="212">
        <f>ROUND(data!AE60,2)</f>
        <v>10.43</v>
      </c>
      <c r="G30" s="222">
        <f>ROUND(data!AE61,0)</f>
        <v>1012417</v>
      </c>
      <c r="H30" s="222">
        <f>ROUND(data!AE62,0)</f>
        <v>262387</v>
      </c>
      <c r="I30" s="222">
        <f>ROUND(data!AE63,0)</f>
        <v>0</v>
      </c>
      <c r="J30" s="222">
        <f>ROUND(data!AE64,0)</f>
        <v>9822</v>
      </c>
      <c r="K30" s="222">
        <f>ROUND(data!AE65,0)</f>
        <v>13066</v>
      </c>
      <c r="L30" s="222">
        <f>ROUND(data!AE66,0)</f>
        <v>23603</v>
      </c>
      <c r="M30" s="66">
        <f>ROUND(data!AE67,0)</f>
        <v>30252</v>
      </c>
      <c r="N30" s="222">
        <f>ROUND(data!AE68,0)</f>
        <v>13278</v>
      </c>
      <c r="O30" s="222">
        <f>ROUND(data!AE69,0)</f>
        <v>3314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3314</v>
      </c>
      <c r="AD30" s="222">
        <f>ROUND(data!AE84,0)</f>
        <v>0</v>
      </c>
      <c r="AE30" s="222">
        <f>ROUND(data!AE89,0)</f>
        <v>3996105</v>
      </c>
      <c r="AF30" s="222">
        <f>ROUND(data!AE87,0)</f>
        <v>1503854</v>
      </c>
      <c r="AG30" s="222">
        <f>IF(data!AE90&gt;0,ROUND(data!AE90,0),0)</f>
        <v>4292</v>
      </c>
      <c r="AH30" s="222">
        <f>IF(data!AE91&gt;0,ROUND(data!AE91,0),0)</f>
        <v>0</v>
      </c>
      <c r="AI30" s="222">
        <f>IF(data!AE92&gt;0,ROUND(data!AE92,0),0)</f>
        <v>1507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206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206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12940</v>
      </c>
      <c r="F32" s="212">
        <f>ROUND(data!AG60,2)</f>
        <v>25.44</v>
      </c>
      <c r="G32" s="222">
        <f>ROUND(data!AG61,0)</f>
        <v>3136911</v>
      </c>
      <c r="H32" s="222">
        <f>ROUND(data!AG62,0)</f>
        <v>674125</v>
      </c>
      <c r="I32" s="222">
        <f>ROUND(data!AG63,0)</f>
        <v>1155269</v>
      </c>
      <c r="J32" s="222">
        <f>ROUND(data!AG64,0)</f>
        <v>475504</v>
      </c>
      <c r="K32" s="222">
        <f>ROUND(data!AG65,0)</f>
        <v>0</v>
      </c>
      <c r="L32" s="222">
        <f>ROUND(data!AG66,0)</f>
        <v>45897</v>
      </c>
      <c r="M32" s="66">
        <f>ROUND(data!AG67,0)</f>
        <v>73614</v>
      </c>
      <c r="N32" s="222">
        <f>ROUND(data!AG68,0)</f>
        <v>144</v>
      </c>
      <c r="O32" s="222">
        <f>ROUND(data!AG69,0)</f>
        <v>2661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2661</v>
      </c>
      <c r="AD32" s="222">
        <f>ROUND(data!AG84,0)</f>
        <v>0</v>
      </c>
      <c r="AE32" s="222">
        <f>ROUND(data!AG89,0)</f>
        <v>35628450</v>
      </c>
      <c r="AF32" s="222">
        <f>ROUND(data!AG87,0)</f>
        <v>1372008</v>
      </c>
      <c r="AG32" s="222">
        <f>IF(data!AG90&gt;0,ROUND(data!AG90,0),0)</f>
        <v>7624</v>
      </c>
      <c r="AH32" s="222">
        <f>IF(data!AG91&gt;0,ROUND(data!AG91,0),0)</f>
        <v>938</v>
      </c>
      <c r="AI32" s="222">
        <f>IF(data!AG92&gt;0,ROUND(data!AG92,0),0)</f>
        <v>3596</v>
      </c>
      <c r="AJ32" s="222">
        <f>IF(data!AG93&gt;0,ROUND(data!AG93,0),0)</f>
        <v>69487</v>
      </c>
      <c r="AK32" s="212">
        <f>IF(data!AG94&gt;0,ROUND(data!AG94,2),0)</f>
        <v>17.4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206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206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1357</v>
      </c>
      <c r="F34" s="212">
        <f>ROUND(data!AI60,2)</f>
        <v>3.76</v>
      </c>
      <c r="G34" s="222">
        <f>ROUND(data!AI61,0)</f>
        <v>443701</v>
      </c>
      <c r="H34" s="222">
        <f>ROUND(data!AI62,0)</f>
        <v>113238</v>
      </c>
      <c r="I34" s="222">
        <f>ROUND(data!AI63,0)</f>
        <v>0</v>
      </c>
      <c r="J34" s="222">
        <f>ROUND(data!AI64,0)</f>
        <v>61238</v>
      </c>
      <c r="K34" s="222">
        <f>ROUND(data!AI65,0)</f>
        <v>0</v>
      </c>
      <c r="L34" s="222">
        <f>ROUND(data!AI66,0)</f>
        <v>4</v>
      </c>
      <c r="M34" s="66">
        <f>ROUND(data!AI67,0)</f>
        <v>2814</v>
      </c>
      <c r="N34" s="222">
        <f>ROUND(data!AI68,0)</f>
        <v>0</v>
      </c>
      <c r="O34" s="222">
        <f>ROUND(data!AI69,0)</f>
        <v>615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615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4769</v>
      </c>
      <c r="AK34" s="212">
        <f>IF(data!AI94&gt;0,ROUND(data!AI94,2),0)</f>
        <v>2.7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206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58441</v>
      </c>
      <c r="F35" s="212">
        <f>ROUND(data!AJ60,2)</f>
        <v>55.79</v>
      </c>
      <c r="G35" s="222">
        <f>ROUND(data!AJ61,0)</f>
        <v>8025448</v>
      </c>
      <c r="H35" s="222">
        <f>ROUND(data!AJ62,0)</f>
        <v>1810380</v>
      </c>
      <c r="I35" s="222">
        <f>ROUND(data!AJ63,0)</f>
        <v>0</v>
      </c>
      <c r="J35" s="222">
        <f>ROUND(data!AJ64,0)</f>
        <v>662464</v>
      </c>
      <c r="K35" s="222">
        <f>ROUND(data!AJ65,0)</f>
        <v>16383</v>
      </c>
      <c r="L35" s="222">
        <f>ROUND(data!AJ66,0)</f>
        <v>68526</v>
      </c>
      <c r="M35" s="66">
        <f>ROUND(data!AJ67,0)</f>
        <v>259473</v>
      </c>
      <c r="N35" s="222">
        <f>ROUND(data!AJ68,0)</f>
        <v>145562</v>
      </c>
      <c r="O35" s="222">
        <f>ROUND(data!AJ69,0)</f>
        <v>71255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71255</v>
      </c>
      <c r="AD35" s="222">
        <f>ROUND(data!AJ84,0)</f>
        <v>35347</v>
      </c>
      <c r="AE35" s="222">
        <f>ROUND(data!AJ89,0)</f>
        <v>19448752</v>
      </c>
      <c r="AF35" s="222">
        <f>ROUND(data!AJ87,0)</f>
        <v>966</v>
      </c>
      <c r="AG35" s="222">
        <f>IF(data!AJ90&gt;0,ROUND(data!AJ90,0),0)</f>
        <v>12680</v>
      </c>
      <c r="AH35" s="222">
        <f>IF(data!AJ91&gt;0,ROUND(data!AJ91,0),0)</f>
        <v>0</v>
      </c>
      <c r="AI35" s="222">
        <f>IF(data!AJ92&gt;0,ROUND(data!AJ92,0),0)</f>
        <v>4722</v>
      </c>
      <c r="AJ35" s="222">
        <f>IF(data!AJ93&gt;0,ROUND(data!AJ93,0),0)</f>
        <v>3005</v>
      </c>
      <c r="AK35" s="212">
        <f>IF(data!AJ94&gt;0,ROUND(data!AJ94,2),0)</f>
        <v>6.18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206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206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206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206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206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206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22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206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206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206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206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206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206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0</v>
      </c>
      <c r="G47" s="222">
        <f>ROUND(data!AV61,0)</f>
        <v>94</v>
      </c>
      <c r="H47" s="222">
        <f>ROUND(data!AV62,0)</f>
        <v>87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206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206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206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29576</v>
      </c>
      <c r="F50" s="212">
        <f>ROUND(data!AY60,2)</f>
        <v>10.38</v>
      </c>
      <c r="G50" s="222">
        <f>ROUND(data!AY61,0)</f>
        <v>535222</v>
      </c>
      <c r="H50" s="222">
        <f>ROUND(data!AY62,0)</f>
        <v>204667</v>
      </c>
      <c r="I50" s="222">
        <f>ROUND(data!AY63,0)</f>
        <v>0</v>
      </c>
      <c r="J50" s="222">
        <f>ROUND(data!AY64,0)</f>
        <v>24821</v>
      </c>
      <c r="K50" s="222">
        <f>ROUND(data!AY65,0)</f>
        <v>0</v>
      </c>
      <c r="L50" s="222">
        <f>ROUND(data!AY66,0)</f>
        <v>397525</v>
      </c>
      <c r="M50" s="66">
        <f>ROUND(data!AY67,0)</f>
        <v>45466</v>
      </c>
      <c r="N50" s="222">
        <f>ROUND(data!AY68,0)</f>
        <v>0</v>
      </c>
      <c r="O50" s="222">
        <f>ROUND(data!AY69,0)</f>
        <v>98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98</v>
      </c>
      <c r="AD50" s="222">
        <f>ROUND(data!AY84,0)</f>
        <v>1116</v>
      </c>
      <c r="AE50" s="222"/>
      <c r="AF50" s="222"/>
      <c r="AG50" s="222">
        <f>IF(data!AY90&gt;0,ROUND(data!AY90,0),0)</f>
        <v>5566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206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206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5214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980</v>
      </c>
      <c r="AH52" s="222">
        <f>IFERROR(IF(data!BA$91&gt;0,ROUND(data!BA$91,0),0),0)</f>
        <v>0</v>
      </c>
      <c r="AI52" s="222">
        <f>IFERROR(IF(data!BA$92&gt;0,ROUND(data!BA$92,0),0),0)</f>
        <v>118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206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206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206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34841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6546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206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147934</v>
      </c>
      <c r="F56" s="212">
        <f>ROUND(data!BE60,2)</f>
        <v>9.21</v>
      </c>
      <c r="G56" s="222">
        <f>ROUND(data!BE61,0)</f>
        <v>705087</v>
      </c>
      <c r="H56" s="222">
        <f>ROUND(data!BE62,0)</f>
        <v>158965</v>
      </c>
      <c r="I56" s="222">
        <f>ROUND(data!BE63,0)</f>
        <v>0</v>
      </c>
      <c r="J56" s="222">
        <f>ROUND(data!BE64,0)</f>
        <v>125927</v>
      </c>
      <c r="K56" s="222">
        <f>ROUND(data!BE65,0)</f>
        <v>803075</v>
      </c>
      <c r="L56" s="222">
        <f>ROUND(data!BE66,0)</f>
        <v>2320026</v>
      </c>
      <c r="M56" s="66">
        <f>ROUND(data!BE67,0)</f>
        <v>221833</v>
      </c>
      <c r="N56" s="222">
        <f>ROUND(data!BE68,0)</f>
        <v>1021109</v>
      </c>
      <c r="O56" s="222">
        <f>ROUND(data!BE69,0)</f>
        <v>2568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2568</v>
      </c>
      <c r="AD56" s="222">
        <f>ROUND(data!BE84,0)</f>
        <v>207362</v>
      </c>
      <c r="AE56" s="222"/>
      <c r="AF56" s="222"/>
      <c r="AG56" s="222">
        <f>IF(data!BE90&gt;0,ROUND(data!BE90,0),0)</f>
        <v>39941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206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13.39</v>
      </c>
      <c r="G57" s="222">
        <f>ROUND(data!BF61,0)</f>
        <v>581989</v>
      </c>
      <c r="H57" s="222">
        <f>ROUND(data!BF62,0)</f>
        <v>234914</v>
      </c>
      <c r="I57" s="222">
        <f>ROUND(data!BF63,0)</f>
        <v>0</v>
      </c>
      <c r="J57" s="222">
        <f>ROUND(data!BF64,0)</f>
        <v>130876</v>
      </c>
      <c r="K57" s="222">
        <f>ROUND(data!BF65,0)</f>
        <v>82769</v>
      </c>
      <c r="L57" s="222">
        <f>ROUND(data!BF66,0)</f>
        <v>45776</v>
      </c>
      <c r="M57" s="66">
        <f>ROUND(data!BF67,0)</f>
        <v>6434</v>
      </c>
      <c r="N57" s="222">
        <f>ROUND(data!BF68,0)</f>
        <v>0</v>
      </c>
      <c r="O57" s="222">
        <f>ROUND(data!BF69,0)</f>
        <v>73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73</v>
      </c>
      <c r="AD57" s="222">
        <f>ROUND(data!BF84,0)</f>
        <v>1004</v>
      </c>
      <c r="AE57" s="222"/>
      <c r="AF57" s="222"/>
      <c r="AG57" s="222">
        <f>IF(data!BF90&gt;0,ROUND(data!BF90,0),0)</f>
        <v>1209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206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206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206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16336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3069</v>
      </c>
      <c r="AH60" s="222">
        <f>IFERROR(IF(data!BI$91&gt;0,ROUND(data!BI$91,0),0),0)</f>
        <v>0</v>
      </c>
      <c r="AI60" s="222">
        <f>IFERROR(IF(data!BI$92&gt;0,ROUND(data!BI$92,0),0),0)</f>
        <v>370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206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206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206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2.24</v>
      </c>
      <c r="G63" s="222">
        <f>ROUND(data!BL61,0)</f>
        <v>122555</v>
      </c>
      <c r="H63" s="222">
        <f>ROUND(data!BL62,0)</f>
        <v>45307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206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206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16.87</v>
      </c>
      <c r="G65" s="222">
        <f>ROUND(data!BN61,0)</f>
        <v>1774733</v>
      </c>
      <c r="H65" s="222">
        <f>ROUND(data!BN62,0)</f>
        <v>479634</v>
      </c>
      <c r="I65" s="222">
        <f>ROUND(data!BN63,0)</f>
        <v>100000</v>
      </c>
      <c r="J65" s="222">
        <f>ROUND(data!BN64,0)</f>
        <v>11369</v>
      </c>
      <c r="K65" s="222">
        <f>ROUND(data!BN65,0)</f>
        <v>0</v>
      </c>
      <c r="L65" s="222">
        <f>ROUND(data!BN66,0)</f>
        <v>8410378</v>
      </c>
      <c r="M65" s="66">
        <f>ROUND(data!BN67,0)</f>
        <v>2111092</v>
      </c>
      <c r="N65" s="222">
        <f>ROUND(data!BN68,0)</f>
        <v>411067</v>
      </c>
      <c r="O65" s="222">
        <f>ROUND(data!BN69,0)</f>
        <v>37445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37445</v>
      </c>
      <c r="AD65" s="222">
        <f>ROUND(data!BN84,0)</f>
        <v>44797</v>
      </c>
      <c r="AE65" s="222"/>
      <c r="AF65" s="222"/>
      <c r="AG65" s="222">
        <f>IF(data!BN90&gt;0,ROUND(data!BN90,0),0)</f>
        <v>21426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206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206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206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206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0.07</v>
      </c>
      <c r="G69" s="222">
        <f>ROUND(data!BR61,0)</f>
        <v>10812</v>
      </c>
      <c r="H69" s="222">
        <f>ROUND(data!BR62,0)</f>
        <v>2393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3457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650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206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0.77</v>
      </c>
      <c r="G70" s="222">
        <f>ROUND(data!BS61,0)</f>
        <v>57660</v>
      </c>
      <c r="H70" s="222">
        <f>ROUND(data!BS62,0)</f>
        <v>20131</v>
      </c>
      <c r="I70" s="222">
        <f>ROUND(data!BS63,0)</f>
        <v>0</v>
      </c>
      <c r="J70" s="222">
        <f>ROUND(data!BS64,0)</f>
        <v>242</v>
      </c>
      <c r="K70" s="222">
        <f>ROUND(data!BS65,0)</f>
        <v>0</v>
      </c>
      <c r="L70" s="222">
        <f>ROUND(data!BS66,0)</f>
        <v>107</v>
      </c>
      <c r="M70" s="66">
        <f>ROUND(data!BS67,0)</f>
        <v>12291</v>
      </c>
      <c r="N70" s="222">
        <f>ROUND(data!BS68,0)</f>
        <v>0</v>
      </c>
      <c r="O70" s="222">
        <f>ROUND(data!BS69,0)</f>
        <v>264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264</v>
      </c>
      <c r="AD70" s="222">
        <f>ROUND(data!BS84,0)</f>
        <v>0</v>
      </c>
      <c r="AE70" s="222"/>
      <c r="AF70" s="222"/>
      <c r="AG70" s="222">
        <f>IF(data!BS90&gt;0,ROUND(data!BS90,0),0)</f>
        <v>2309</v>
      </c>
      <c r="AH70" s="222">
        <f>IFERROR(IF(data!BS$91&gt;0,ROUND(data!BS$91,0),0),0)</f>
        <v>0</v>
      </c>
      <c r="AI70" s="222">
        <f>IFERROR(IF(data!BS$92&gt;0,ROUND(data!BS$92,0),0),0)</f>
        <v>278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206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0.62</v>
      </c>
      <c r="G71" s="222">
        <f>ROUND(data!BT61,0)</f>
        <v>47756</v>
      </c>
      <c r="H71" s="222">
        <f>ROUND(data!BT62,0)</f>
        <v>22256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2594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2594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206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206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206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0.49</v>
      </c>
      <c r="G74" s="222">
        <f>ROUND(data!BW61,0)</f>
        <v>73064</v>
      </c>
      <c r="H74" s="222">
        <f>ROUND(data!BW62,0)</f>
        <v>7319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15668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2944</v>
      </c>
      <c r="AH74" s="222">
        <f>IF(data!BW91&gt;0,ROUND(data!BW91,0),0)</f>
        <v>0</v>
      </c>
      <c r="AI74" s="222">
        <f>IF(data!BW92&gt;0,ROUND(data!BW92,0),0)</f>
        <v>355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206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4.79</v>
      </c>
      <c r="G75" s="222">
        <f>ROUND(data!BX61,0)</f>
        <v>534896</v>
      </c>
      <c r="H75" s="222">
        <f>ROUND(data!BX62,0)</f>
        <v>127681</v>
      </c>
      <c r="I75" s="222">
        <f>ROUND(data!BX63,0)</f>
        <v>56710</v>
      </c>
      <c r="J75" s="222">
        <f>ROUND(data!BX64,0)</f>
        <v>181461</v>
      </c>
      <c r="K75" s="222">
        <f>ROUND(data!BX65,0)</f>
        <v>0</v>
      </c>
      <c r="L75" s="222">
        <f>ROUND(data!BX66,0)</f>
        <v>3474</v>
      </c>
      <c r="M75" s="66">
        <f>ROUND(data!BX67,0)</f>
        <v>0</v>
      </c>
      <c r="N75" s="222">
        <f>ROUND(data!BX68,0)</f>
        <v>99317</v>
      </c>
      <c r="O75" s="222">
        <f>ROUND(data!BX69,0)</f>
        <v>593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593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206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7.03</v>
      </c>
      <c r="G76" s="222">
        <f>ROUND(data!BY61,0)</f>
        <v>1021699</v>
      </c>
      <c r="H76" s="222">
        <f>ROUND(data!BY62,0)</f>
        <v>272800</v>
      </c>
      <c r="I76" s="222">
        <f>ROUND(data!BY63,0)</f>
        <v>0</v>
      </c>
      <c r="J76" s="222">
        <f>ROUND(data!BY64,0)</f>
        <v>3282</v>
      </c>
      <c r="K76" s="222">
        <f>ROUND(data!BY65,0)</f>
        <v>0</v>
      </c>
      <c r="L76" s="222">
        <f>ROUND(data!BY66,0)</f>
        <v>0</v>
      </c>
      <c r="M76" s="66">
        <f>ROUND(data!BY67,0)</f>
        <v>30306</v>
      </c>
      <c r="N76" s="222">
        <f>ROUND(data!BY68,0)</f>
        <v>0</v>
      </c>
      <c r="O76" s="222">
        <f>ROUND(data!BY69,0)</f>
        <v>3672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3672</v>
      </c>
      <c r="AD76" s="222">
        <f>ROUND(data!BY84,0)</f>
        <v>0</v>
      </c>
      <c r="AE76" s="222"/>
      <c r="AF76" s="222"/>
      <c r="AG76" s="222">
        <f>IF(data!BY90&gt;0,ROUND(data!BY90,0),0)</f>
        <v>518</v>
      </c>
      <c r="AH76" s="222">
        <f>IF(data!BY91&gt;0,ROUND(data!BY91,0),0)</f>
        <v>0</v>
      </c>
      <c r="AI76" s="222">
        <f>IF(data!BY92&gt;0,ROUND(data!BY92,0),0)</f>
        <v>62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206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1.59</v>
      </c>
      <c r="G77" s="222">
        <f>ROUND(data!BZ61,0)</f>
        <v>251027</v>
      </c>
      <c r="H77" s="222">
        <f>ROUND(data!BZ62,0)</f>
        <v>91671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78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78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206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206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206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-22931</v>
      </c>
      <c r="K80" s="222">
        <f>ROUND(data!CC65,0)</f>
        <v>0</v>
      </c>
      <c r="L80" s="222">
        <f>ROUND(data!CC66,0)</f>
        <v>-65150</v>
      </c>
      <c r="M80" s="66">
        <f>ROUND(data!CC67,0)</f>
        <v>159902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9987</v>
      </c>
      <c r="AE80" s="222"/>
      <c r="AF80" s="222"/>
      <c r="AG80" s="222">
        <f>IF(data!CC90&gt;0,ROUND(data!CC90,0),0)</f>
        <v>3466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PeaceHealth United General Medical Center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H-206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2000 Hospital Drive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Sedro-Woolley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206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ref="F15:F59" t="shared" si="0">IF(B15=0,"",IF(D15=0,"",B15/D15))</f>
      </c>
      <c r="G15" s="238" t="str">
        <f ref="G15:G29" t="shared" si="1">IF(C15=0,"",IF(E15=0,"",C15/E15))</f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7774085.7300000014</v>
      </c>
      <c r="D17" s="275">
        <f>'Prior Year'!E60</f>
        <v>0</v>
      </c>
      <c r="E17" s="1">
        <f>data!E59</f>
        <v>2145</v>
      </c>
      <c r="F17" s="238" t="str">
        <f t="shared" si="0"/>
      </c>
      <c r="G17" s="238">
        <f t="shared" si="1"/>
        <v>3624.2823916083921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3878299.86</v>
      </c>
      <c r="D19" s="275">
        <f>'Prior Year'!G60</f>
        <v>0</v>
      </c>
      <c r="E19" s="1">
        <f>data!G59</f>
        <v>2665</v>
      </c>
      <c r="F19" s="238" t="str">
        <f t="shared" si="0"/>
      </c>
      <c r="G19" s="238">
        <f t="shared" si="1"/>
        <v>1455.2719924953096</v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1675.5</v>
      </c>
      <c r="D24" s="275">
        <f>'Prior Year'!L60</f>
        <v>0</v>
      </c>
      <c r="E24" s="1">
        <f>data!L59</f>
        <v>3713</v>
      </c>
      <c r="F24" s="238" t="str">
        <f t="shared" si="0"/>
      </c>
      <c r="G24" s="238">
        <f t="shared" si="1"/>
        <v>0.4512523565849717</v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42111.740000000005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570198.88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1983835.24</v>
      </c>
      <c r="D28" s="275">
        <f>'Prior Year'!P60</f>
        <v>0</v>
      </c>
      <c r="E28" s="1">
        <f>data!P59</f>
        <v>62375</v>
      </c>
      <c r="F28" s="238" t="str">
        <f t="shared" si="0"/>
      </c>
      <c r="G28" s="238">
        <f t="shared" si="1"/>
        <v>31.80497378757515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501941.93</v>
      </c>
      <c r="D29" s="275">
        <f>'Prior Year'!Q60</f>
        <v>0</v>
      </c>
      <c r="E29" s="1">
        <f>data!Q59</f>
        <v>67362</v>
      </c>
      <c r="F29" s="238" t="str">
        <f t="shared" si="0"/>
      </c>
      <c r="G29" s="238">
        <f t="shared" si="1"/>
        <v>7.4514107360232771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416086.39</v>
      </c>
      <c r="D30" s="275">
        <f>'Prior Year'!R60</f>
        <v>0</v>
      </c>
      <c r="E30" s="1">
        <f>data!R59</f>
        <v>57498</v>
      </c>
      <c r="F30" s="238" t="str">
        <f t="shared" si="0"/>
      </c>
      <c r="G30" s="238">
        <f>IFERROR(IF(C30=0,"",IF(E30=0,"",C30/E30)),"")</f>
        <v>7.2365367491043173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255145.42</v>
      </c>
      <c r="D31" s="275" t="s">
        <v>317</v>
      </c>
      <c r="E31" s="4" t="s">
        <v>317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1084535.37</v>
      </c>
      <c r="D32" s="275" t="s">
        <v>317</v>
      </c>
      <c r="E32" s="4" t="s">
        <v>317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2191280.41</v>
      </c>
      <c r="D33" s="275">
        <f>'Prior Year'!U60</f>
        <v>0</v>
      </c>
      <c r="E33" s="1">
        <f>data!U59</f>
        <v>99970</v>
      </c>
      <c r="F33" s="238" t="str">
        <f t="shared" si="0"/>
      </c>
      <c r="G33" s="238">
        <f ref="G33:G69" t="shared" si="5">IF(C33=0,"",IF(E33=0,"",C33/E33))</f>
        <v>21.919379913974193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713918.99</v>
      </c>
      <c r="D35" s="275">
        <f>'Prior Year'!W60</f>
        <v>0</v>
      </c>
      <c r="E35" s="1">
        <f>data!W59</f>
        <v>1225</v>
      </c>
      <c r="F35" s="238" t="str">
        <f t="shared" si="0"/>
      </c>
      <c r="G35" s="238">
        <f t="shared" si="5"/>
        <v>582.791012244898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461323.10000000003</v>
      </c>
      <c r="D36" s="275">
        <f>'Prior Year'!X60</f>
        <v>0</v>
      </c>
      <c r="E36" s="1">
        <f>data!X59</f>
        <v>7536</v>
      </c>
      <c r="F36" s="238" t="str">
        <f t="shared" si="0"/>
      </c>
      <c r="G36" s="238">
        <f t="shared" si="5"/>
        <v>61.215910297239922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2014461.9000000001</v>
      </c>
      <c r="D37" s="275">
        <f>'Prior Year'!Y60</f>
        <v>0</v>
      </c>
      <c r="E37" s="1">
        <f>data!Y59</f>
        <v>16594</v>
      </c>
      <c r="F37" s="238" t="str">
        <f t="shared" si="0"/>
      </c>
      <c r="G37" s="238">
        <f t="shared" si="5"/>
        <v>121.39700494154515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2003241.06</v>
      </c>
      <c r="D38" s="275">
        <f>'Prior Year'!Z60</f>
        <v>0</v>
      </c>
      <c r="E38" s="1">
        <f>data!Z59</f>
        <v>5086</v>
      </c>
      <c r="F38" s="238" t="str">
        <f t="shared" si="0"/>
      </c>
      <c r="G38" s="238">
        <f t="shared" si="5"/>
        <v>393.87358631537558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262553.21</v>
      </c>
      <c r="D39" s="275">
        <f>'Prior Year'!AA60</f>
        <v>0</v>
      </c>
      <c r="E39" s="1">
        <f>data!AA59</f>
        <v>352</v>
      </c>
      <c r="F39" s="238" t="str">
        <f t="shared" si="0"/>
      </c>
      <c r="G39" s="238">
        <f t="shared" si="5"/>
        <v>745.88980113636364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5583744.9100000011</v>
      </c>
      <c r="D40" s="275" t="s">
        <v>317</v>
      </c>
      <c r="E40" s="4" t="s">
        <v>317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1196583.3699999999</v>
      </c>
      <c r="D41" s="275">
        <f>'Prior Year'!AC60</f>
        <v>0</v>
      </c>
      <c r="E41" s="1">
        <f>data!AC59</f>
        <v>10896</v>
      </c>
      <c r="F41" s="238" t="str">
        <f t="shared" si="0"/>
      </c>
      <c r="G41" s="238">
        <f t="shared" si="5"/>
        <v>109.81859122613803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1368138.9000000001</v>
      </c>
      <c r="D43" s="275">
        <f>'Prior Year'!AE60</f>
        <v>0</v>
      </c>
      <c r="E43" s="1">
        <f>data!AE59</f>
        <v>26436</v>
      </c>
      <c r="F43" s="238" t="str">
        <f t="shared" si="0"/>
      </c>
      <c r="G43" s="238">
        <f t="shared" si="5"/>
        <v>51.752871084884255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5564124.12</v>
      </c>
      <c r="D45" s="275">
        <f>'Prior Year'!AG60</f>
        <v>0</v>
      </c>
      <c r="E45" s="1">
        <f>data!AG59</f>
        <v>12940</v>
      </c>
      <c r="F45" s="238" t="str">
        <f t="shared" si="0"/>
      </c>
      <c r="G45" s="238">
        <f t="shared" si="5"/>
        <v>429.99413601236478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621609.1</v>
      </c>
      <c r="D47" s="275">
        <f>'Prior Year'!AI60</f>
        <v>0</v>
      </c>
      <c r="E47" s="1">
        <f>data!AI59</f>
        <v>1357</v>
      </c>
      <c r="F47" s="238" t="str">
        <f t="shared" si="0"/>
      </c>
      <c r="G47" s="238">
        <f t="shared" si="5"/>
        <v>458.07597641857035</v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11024144.129999999</v>
      </c>
      <c r="D48" s="275">
        <f>'Prior Year'!AJ60</f>
        <v>0</v>
      </c>
      <c r="E48" s="1">
        <f>data!AJ59</f>
        <v>58441</v>
      </c>
      <c r="F48" s="238" t="str">
        <f t="shared" si="0"/>
      </c>
      <c r="G48" s="238">
        <f t="shared" si="5"/>
        <v>188.63715764617305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</c>
      <c r="G49" s="238" t="str">
        <f t="shared" si="5"/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21.96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181.49</v>
      </c>
      <c r="D60" s="275" t="s">
        <v>317</v>
      </c>
      <c r="E60" s="4" t="s">
        <v>317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0</v>
      </c>
      <c r="D61" s="275" t="s">
        <v>317</v>
      </c>
      <c r="E61" s="4" t="s">
        <v>317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317</v>
      </c>
      <c r="E62" s="4" t="s">
        <v>317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1206682.68</v>
      </c>
      <c r="D63" s="275">
        <f>'Prior Year'!AY60</f>
        <v>0</v>
      </c>
      <c r="E63" s="1">
        <f>data!AY59</f>
        <v>29576</v>
      </c>
      <c r="F63" s="238" t="str">
        <f>IF(B63=0,"",IF(D63=0,"",B63/D63))</f>
      </c>
      <c r="G63" s="238">
        <f t="shared" si="5"/>
        <v>40.799387341087368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5214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0</v>
      </c>
      <c r="D66" s="275" t="s">
        <v>317</v>
      </c>
      <c r="E66" s="4" t="s">
        <v>317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0</v>
      </c>
      <c r="D67" s="275" t="s">
        <v>317</v>
      </c>
      <c r="E67" s="4" t="s">
        <v>317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34841</v>
      </c>
      <c r="D68" s="275" t="s">
        <v>317</v>
      </c>
      <c r="E68" s="4" t="s">
        <v>317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5151228.5299999993</v>
      </c>
      <c r="D69" s="275">
        <f>'Prior Year'!BE60</f>
        <v>0</v>
      </c>
      <c r="E69" s="1">
        <f>data!BE59</f>
        <v>147934.19000000006</v>
      </c>
      <c r="F69" s="238" t="str">
        <f>IF(B69=0,"",IF(D69=0,"",B69/D69))</f>
      </c>
      <c r="G69" s="238">
        <f t="shared" si="5"/>
        <v>34.821081793194644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1081826.99</v>
      </c>
      <c r="D70" s="275" t="s">
        <v>317</v>
      </c>
      <c r="E70" s="4" t="s">
        <v>317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0</v>
      </c>
      <c r="D71" s="275" t="s">
        <v>317</v>
      </c>
      <c r="E71" s="4" t="s">
        <v>317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0</v>
      </c>
      <c r="D72" s="275" t="s">
        <v>317</v>
      </c>
      <c r="E72" s="4" t="s">
        <v>317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16336</v>
      </c>
      <c r="D73" s="275" t="s">
        <v>317</v>
      </c>
      <c r="E73" s="4" t="s">
        <v>317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0</v>
      </c>
      <c r="D74" s="275" t="s">
        <v>317</v>
      </c>
      <c r="E74" s="4" t="s">
        <v>317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0</v>
      </c>
      <c r="D75" s="275" t="s">
        <v>317</v>
      </c>
      <c r="E75" s="4" t="s">
        <v>317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167862.12</v>
      </c>
      <c r="D76" s="275" t="s">
        <v>317</v>
      </c>
      <c r="E76" s="4" t="s">
        <v>317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317</v>
      </c>
      <c r="E77" s="4" t="s">
        <v>317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13290920.840000002</v>
      </c>
      <c r="D78" s="275" t="s">
        <v>317</v>
      </c>
      <c r="E78" s="4" t="s">
        <v>317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0</v>
      </c>
      <c r="D79" s="275" t="s">
        <v>317</v>
      </c>
      <c r="E79" s="4" t="s">
        <v>317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0</v>
      </c>
      <c r="D80" s="275" t="s">
        <v>317</v>
      </c>
      <c r="E80" s="4" t="s">
        <v>317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317</v>
      </c>
      <c r="E81" s="4" t="s">
        <v>317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16661.83</v>
      </c>
      <c r="D82" s="275" t="s">
        <v>317</v>
      </c>
      <c r="E82" s="4" t="s">
        <v>317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90694.78</v>
      </c>
      <c r="D83" s="275" t="s">
        <v>317</v>
      </c>
      <c r="E83" s="4" t="s">
        <v>317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72605.75</v>
      </c>
      <c r="D84" s="275" t="s">
        <v>317</v>
      </c>
      <c r="E84" s="4" t="s">
        <v>317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0</v>
      </c>
      <c r="D85" s="275" t="s">
        <v>317</v>
      </c>
      <c r="E85" s="4" t="s">
        <v>317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0</v>
      </c>
      <c r="D86" s="275" t="s">
        <v>317</v>
      </c>
      <c r="E86" s="4" t="s">
        <v>317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96051.29</v>
      </c>
      <c r="D87" s="275" t="s">
        <v>317</v>
      </c>
      <c r="E87" s="4" t="s">
        <v>317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1004132.44</v>
      </c>
      <c r="D88" s="275" t="s">
        <v>317</v>
      </c>
      <c r="E88" s="4" t="s">
        <v>317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1331759.9999999998</v>
      </c>
      <c r="D89" s="275" t="s">
        <v>317</v>
      </c>
      <c r="E89" s="4" t="s">
        <v>317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342776.3</v>
      </c>
      <c r="D90" s="275" t="s">
        <v>317</v>
      </c>
      <c r="E90" s="4" t="s">
        <v>317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0</v>
      </c>
      <c r="D91" s="275" t="s">
        <v>317</v>
      </c>
      <c r="E91" s="4" t="s">
        <v>317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0</v>
      </c>
      <c r="D92" s="275" t="s">
        <v>317</v>
      </c>
      <c r="E92" s="4" t="s">
        <v>317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61834.650000000023</v>
      </c>
      <c r="D93" s="275" t="s">
        <v>317</v>
      </c>
      <c r="E93" s="4" t="s">
        <v>317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1232972.1199999999</v>
      </c>
      <c r="D94" s="275" t="s">
        <v>317</v>
      </c>
      <c r="E94" s="4" t="s">
        <v>317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816</v>
      </c>
    </row>
    <row r="3">
      <c r="A3" s="11" t="s">
        <v>817</v>
      </c>
    </row>
    <row r="4">
      <c r="A4" s="330" t="s">
        <v>818</v>
      </c>
    </row>
    <row r="5">
      <c r="A5" s="331" t="s">
        <v>819</v>
      </c>
    </row>
    <row r="6">
      <c r="A6" s="329"/>
    </row>
    <row r="7">
      <c r="A7" s="330" t="s">
        <v>820</v>
      </c>
    </row>
    <row r="8">
      <c r="A8" s="331" t="s">
        <v>821</v>
      </c>
    </row>
    <row r="11">
      <c r="A11" s="13" t="s">
        <v>822</v>
      </c>
      <c r="D11" s="276">
        <f>data!C380</f>
        <v>264688.37000000005</v>
      </c>
    </row>
    <row r="12">
      <c r="A12" s="13" t="s">
        <v>823</v>
      </c>
      <c r="D12" s="276" t="str">
        <f>IF(OR(data!C380&gt;1000000,data!C380/(data!D360+data!D383)&gt;0.01),"Yes","No")</f>
        <v>No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261570.03</v>
      </c>
    </row>
    <row r="26">
      <c r="A26" s="13" t="s">
        <v>823</v>
      </c>
      <c r="D26" s="277" t="str">
        <f>IF(OR(data!C414&gt;1000000,data!C414/(data!D416)&gt;0.01),"Yes","No")</f>
        <v>No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H-206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PeaceHealth United General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98284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Skagit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Charles Prosper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Krista Touros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360-856-6021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360-856-7204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</c>
      <c r="D16" s="94" t="s">
        <v>837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  <v> X</v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748</v>
      </c>
      <c r="G23" s="81">
        <f>data!D127</f>
        <v>4810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182</v>
      </c>
      <c r="G24" s="81">
        <f>data!D128</f>
        <v>3713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0</v>
      </c>
      <c r="G26" s="81">
        <f>data!D130</f>
        <v>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0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0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25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0</v>
      </c>
      <c r="E33" s="78" t="s">
        <v>849</v>
      </c>
      <c r="F33" s="81"/>
      <c r="G33" s="81">
        <f>data!C142</f>
        <v>0</v>
      </c>
    </row>
    <row r="34" ht="20.1" customHeight="1">
      <c r="A34" s="77"/>
      <c r="B34" s="97" t="s">
        <v>850</v>
      </c>
      <c r="C34" s="81"/>
      <c r="D34" s="81">
        <f>data!C136</f>
        <v>0</v>
      </c>
      <c r="E34" s="78" t="s">
        <v>352</v>
      </c>
      <c r="F34" s="81"/>
      <c r="G34" s="81">
        <f>data!E143</f>
        <v>35</v>
      </c>
    </row>
    <row r="35" ht="20.1" customHeight="1">
      <c r="A35" s="77"/>
      <c r="B35" s="97" t="s">
        <v>851</v>
      </c>
      <c r="C35" s="81"/>
      <c r="D35" s="81">
        <f>data!C137</f>
        <v>10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353</v>
      </c>
      <c r="F36" s="81"/>
      <c r="G36" s="81">
        <f>data!C144</f>
        <v>35</v>
      </c>
    </row>
    <row r="37" ht="20.1" customHeight="1">
      <c r="A37" s="77"/>
      <c r="E37" s="78" t="s">
        <v>354</v>
      </c>
      <c r="F37" s="81"/>
      <c r="G37" s="81">
        <f>data!C145</f>
        <v>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PeaceHealth United General Medical Center</v>
      </c>
      <c r="G2" s="4" t="s">
        <v>856</v>
      </c>
    </row>
    <row r="3" ht="20.1" customHeight="1">
      <c r="G3" s="4" t="str">
        <f>"FYE: "&amp;data!C96</f>
        <v>FYE: 06/30/2022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364</v>
      </c>
      <c r="F5" s="88"/>
      <c r="G5" s="88"/>
    </row>
    <row r="6" ht="20.1" customHeight="1">
      <c r="A6" s="140" t="s">
        <v>859</v>
      </c>
      <c r="B6" s="93" t="s">
        <v>337</v>
      </c>
      <c r="C6" s="93" t="s">
        <v>860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568</v>
      </c>
      <c r="C7" s="141">
        <f>data!B155</f>
        <v>3599</v>
      </c>
      <c r="D7" s="141">
        <f>data!B156</f>
        <v>13044</v>
      </c>
      <c r="E7" s="141">
        <f>data!B157</f>
        <v>18757119.04</v>
      </c>
      <c r="F7" s="141">
        <f>data!B158</f>
        <v>71076289.06</v>
      </c>
      <c r="G7" s="141">
        <f>data!B157+data!B158</f>
        <v>89833408.1</v>
      </c>
    </row>
    <row r="8" ht="20.1" customHeight="1">
      <c r="A8" s="77" t="s">
        <v>359</v>
      </c>
      <c r="B8" s="141">
        <f>data!C154</f>
        <v>89</v>
      </c>
      <c r="C8" s="141">
        <f>data!C155</f>
        <v>486</v>
      </c>
      <c r="D8" s="141">
        <f>data!C156</f>
        <v>6788</v>
      </c>
      <c r="E8" s="141">
        <f>data!C157</f>
        <v>3704700.03</v>
      </c>
      <c r="F8" s="141">
        <f>data!C158</f>
        <v>31307947.02</v>
      </c>
      <c r="G8" s="141">
        <f>data!C157+data!C158</f>
        <v>35012647.05</v>
      </c>
    </row>
    <row r="9" ht="20.1" customHeight="1">
      <c r="A9" s="77" t="s">
        <v>861</v>
      </c>
      <c r="B9" s="141">
        <f>data!D154</f>
        <v>91</v>
      </c>
      <c r="C9" s="141">
        <f>data!D155</f>
        <v>725</v>
      </c>
      <c r="D9" s="141">
        <f>data!D156</f>
        <v>9689</v>
      </c>
      <c r="E9" s="141">
        <f>data!D157</f>
        <v>4348220</v>
      </c>
      <c r="F9" s="141">
        <f>data!D158</f>
        <v>49117021.42</v>
      </c>
      <c r="G9" s="141">
        <f>data!D157+data!D158</f>
        <v>53465241.42</v>
      </c>
    </row>
    <row r="10" ht="20.1" customHeight="1">
      <c r="A10" s="92" t="s">
        <v>230</v>
      </c>
      <c r="B10" s="141">
        <f>data!E154</f>
        <v>748</v>
      </c>
      <c r="C10" s="141">
        <f>data!E155</f>
        <v>4810</v>
      </c>
      <c r="D10" s="141">
        <f>data!E156</f>
        <v>29521</v>
      </c>
      <c r="E10" s="141">
        <f>data!E157</f>
        <v>26810039.07</v>
      </c>
      <c r="F10" s="141">
        <f>data!E158</f>
        <v>151501257.5</v>
      </c>
      <c r="G10" s="141">
        <f>E10+F10</f>
        <v>178311296.57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859</v>
      </c>
      <c r="B15" s="93" t="s">
        <v>337</v>
      </c>
      <c r="C15" s="93" t="s">
        <v>860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110</v>
      </c>
      <c r="C16" s="141">
        <f>data!B161</f>
        <v>2148</v>
      </c>
      <c r="D16" s="141">
        <f>data!B162</f>
        <v>0</v>
      </c>
      <c r="E16" s="141">
        <f>data!B163</f>
        <v>4175623.65</v>
      </c>
      <c r="F16" s="141">
        <f>data!B164</f>
        <v>0</v>
      </c>
      <c r="G16" s="141">
        <f>data!C163+data!C164</f>
        <v>3065729.35</v>
      </c>
    </row>
    <row r="17" ht="20.1" customHeight="1">
      <c r="A17" s="77" t="s">
        <v>359</v>
      </c>
      <c r="B17" s="141">
        <f>data!C160</f>
        <v>54</v>
      </c>
      <c r="C17" s="141">
        <f>data!C161</f>
        <v>1265</v>
      </c>
      <c r="D17" s="141">
        <f>data!C162</f>
        <v>0</v>
      </c>
      <c r="E17" s="141">
        <f>data!C163</f>
        <v>3065729.35</v>
      </c>
      <c r="F17" s="141">
        <f>data!C164</f>
        <v>0</v>
      </c>
      <c r="G17" s="141">
        <f>data!C163+data!C164</f>
        <v>3065729.35</v>
      </c>
    </row>
    <row r="18" ht="20.1" customHeight="1">
      <c r="A18" s="77" t="s">
        <v>861</v>
      </c>
      <c r="B18" s="141">
        <f>data!D160</f>
        <v>18</v>
      </c>
      <c r="C18" s="141">
        <f>data!D161</f>
        <v>300</v>
      </c>
      <c r="D18" s="141">
        <f>data!D162</f>
        <v>0</v>
      </c>
      <c r="E18" s="141">
        <f>data!D163</f>
        <v>648663.1</v>
      </c>
      <c r="F18" s="141">
        <f>data!D164</f>
        <v>0</v>
      </c>
      <c r="G18" s="141">
        <f>data!D163+data!D164</f>
        <v>648663.1</v>
      </c>
    </row>
    <row r="19" ht="20.1" customHeight="1">
      <c r="A19" s="92" t="s">
        <v>230</v>
      </c>
      <c r="B19" s="141">
        <f>data!E160</f>
        <v>182</v>
      </c>
      <c r="C19" s="141">
        <f>data!E161</f>
        <v>3713</v>
      </c>
      <c r="D19" s="141">
        <f>data!E162</f>
        <v>0</v>
      </c>
      <c r="E19" s="141">
        <f>data!E163</f>
        <v>7890016.1</v>
      </c>
      <c r="F19" s="141">
        <f>data!E164</f>
        <v>0</v>
      </c>
      <c r="G19" s="141">
        <f>data!E163+data!E164</f>
        <v>7890016.1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859</v>
      </c>
      <c r="B24" s="93" t="s">
        <v>337</v>
      </c>
      <c r="C24" s="93" t="s">
        <v>860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1301886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2686194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PeaceHealth United General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868</v>
      </c>
      <c r="C6" s="77">
        <f>data!C181</f>
        <v>1985139.05</v>
      </c>
    </row>
    <row r="7" ht="20.1" customHeight="1">
      <c r="A7" s="158">
        <v>3</v>
      </c>
      <c r="B7" s="97" t="s">
        <v>370</v>
      </c>
      <c r="C7" s="77">
        <f>data!C182</f>
        <v>48499.82</v>
      </c>
    </row>
    <row r="8" ht="20.1" customHeight="1">
      <c r="A8" s="158">
        <v>4</v>
      </c>
      <c r="B8" s="78" t="s">
        <v>371</v>
      </c>
      <c r="C8" s="77">
        <f>data!C183</f>
        <v>188073.6</v>
      </c>
    </row>
    <row r="9" ht="20.1" customHeight="1">
      <c r="A9" s="158">
        <v>5</v>
      </c>
      <c r="B9" s="78" t="s">
        <v>372</v>
      </c>
      <c r="C9" s="77">
        <f>data!C184</f>
        <v>3824763.94</v>
      </c>
    </row>
    <row r="10" ht="20.1" customHeight="1">
      <c r="A10" s="158">
        <v>6</v>
      </c>
      <c r="B10" s="78" t="s">
        <v>373</v>
      </c>
      <c r="C10" s="77">
        <f>data!C185</f>
        <v>23736.37</v>
      </c>
    </row>
    <row r="11" ht="20.1" customHeight="1">
      <c r="A11" s="158">
        <v>7</v>
      </c>
      <c r="B11" s="78" t="s">
        <v>374</v>
      </c>
      <c r="C11" s="77">
        <f>data!C186</f>
        <v>1413826.22</v>
      </c>
    </row>
    <row r="12" ht="20.1" customHeight="1">
      <c r="A12" s="158">
        <v>8</v>
      </c>
      <c r="B12" s="78" t="s">
        <v>375</v>
      </c>
      <c r="C12" s="77">
        <f>data!C187</f>
        <v>258433.14</v>
      </c>
    </row>
    <row r="13" ht="20.1" customHeight="1">
      <c r="A13" s="158">
        <v>9</v>
      </c>
      <c r="B13" s="78" t="s">
        <v>375</v>
      </c>
      <c r="C13" s="77">
        <f>data!C188</f>
        <v>20013.49</v>
      </c>
    </row>
    <row r="14" ht="20.1" customHeight="1">
      <c r="A14" s="158">
        <v>10</v>
      </c>
      <c r="B14" s="78" t="s">
        <v>869</v>
      </c>
      <c r="C14" s="77">
        <f>data!D189</f>
        <v>7762485.63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870</v>
      </c>
      <c r="C18" s="77">
        <f>data!C191</f>
        <v>1098276.54</v>
      </c>
    </row>
    <row r="19" ht="20.1" customHeight="1">
      <c r="A19" s="77">
        <v>13</v>
      </c>
      <c r="B19" s="78" t="s">
        <v>871</v>
      </c>
      <c r="C19" s="77">
        <f>data!C192</f>
        <v>830797.37</v>
      </c>
    </row>
    <row r="20" ht="20.1" customHeight="1">
      <c r="A20" s="77">
        <v>14</v>
      </c>
      <c r="B20" s="78" t="s">
        <v>872</v>
      </c>
      <c r="C20" s="77">
        <f>data!D193</f>
        <v>1929073.9100000002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209262.29</v>
      </c>
    </row>
    <row r="26" ht="20.1" customHeight="1">
      <c r="A26" s="77">
        <v>18</v>
      </c>
      <c r="B26" s="78" t="s">
        <v>381</v>
      </c>
      <c r="C26" s="77">
        <f>data!C196</f>
        <v>184576.9</v>
      </c>
    </row>
    <row r="27" ht="20.1" customHeight="1">
      <c r="A27" s="77">
        <v>19</v>
      </c>
      <c r="B27" s="78" t="s">
        <v>875</v>
      </c>
      <c r="C27" s="77">
        <f>data!D197</f>
        <v>393839.19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383</v>
      </c>
      <c r="C31" s="77">
        <f>data!C199</f>
        <v>80094.66</v>
      </c>
    </row>
    <row r="32" ht="20.1" customHeight="1">
      <c r="A32" s="77">
        <v>22</v>
      </c>
      <c r="B32" s="78" t="s">
        <v>877</v>
      </c>
      <c r="C32" s="77">
        <f>data!C200</f>
        <v>689558.29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769652.95000000007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387</v>
      </c>
      <c r="C39" s="77">
        <f>data!C205</f>
        <v>35582.3</v>
      </c>
    </row>
    <row r="40" ht="20.1" customHeight="1">
      <c r="A40" s="77">
        <v>28</v>
      </c>
      <c r="B40" s="78" t="s">
        <v>880</v>
      </c>
      <c r="C40" s="77">
        <f>data!D206</f>
        <v>35582.3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PeaceHealth United General Medical Center</v>
      </c>
      <c r="F3" s="156" t="str">
        <f>"FYE: "&amp;data!C96</f>
        <v>FYE: 06/30/2022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391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394</v>
      </c>
      <c r="C7" s="81">
        <f>data!B211</f>
        <v>0</v>
      </c>
      <c r="D7" s="81">
        <f>data!C225</f>
        <v>0</v>
      </c>
      <c r="E7" s="81">
        <f>data!D225</f>
        <v>0</v>
      </c>
      <c r="F7" s="81">
        <f>data!E211</f>
        <v>0</v>
      </c>
    </row>
    <row r="8" ht="20.1" customHeight="1">
      <c r="A8" s="77">
        <v>2</v>
      </c>
      <c r="B8" s="81" t="s">
        <v>395</v>
      </c>
      <c r="C8" s="81">
        <f>data!B212</f>
        <v>0</v>
      </c>
      <c r="D8" s="81">
        <f>data!C226</f>
        <v>3610.32</v>
      </c>
      <c r="E8" s="81">
        <f>data!D226</f>
        <v>0</v>
      </c>
      <c r="F8" s="81">
        <f>data!E212</f>
        <v>123782.54</v>
      </c>
    </row>
    <row r="9" ht="20.1" customHeight="1">
      <c r="A9" s="77">
        <v>3</v>
      </c>
      <c r="B9" s="81" t="s">
        <v>396</v>
      </c>
      <c r="C9" s="81">
        <f>data!B213</f>
        <v>9840510.92</v>
      </c>
      <c r="D9" s="81">
        <f>data!C227</f>
        <v>529700.98</v>
      </c>
      <c r="E9" s="81">
        <f>data!D227</f>
        <v>0</v>
      </c>
      <c r="F9" s="81">
        <f>data!E213</f>
        <v>16972955.12</v>
      </c>
    </row>
    <row r="10" ht="20.1" customHeight="1">
      <c r="A10" s="77">
        <v>4</v>
      </c>
      <c r="B10" s="81" t="s">
        <v>886</v>
      </c>
      <c r="C10" s="81">
        <f>data!B214</f>
        <v>0</v>
      </c>
      <c r="D10" s="81">
        <f>data!C228</f>
        <v>0</v>
      </c>
      <c r="E10" s="81">
        <f>data!D228</f>
        <v>0</v>
      </c>
      <c r="F10" s="81">
        <f>data!E214</f>
        <v>0</v>
      </c>
    </row>
    <row r="11" ht="20.1" customHeight="1">
      <c r="A11" s="77">
        <v>5</v>
      </c>
      <c r="B11" s="81" t="s">
        <v>887</v>
      </c>
      <c r="C11" s="81">
        <f>data!B215</f>
        <v>1920149.18</v>
      </c>
      <c r="D11" s="81">
        <f>data!C229</f>
        <v>137026.89</v>
      </c>
      <c r="E11" s="81">
        <f>data!D229</f>
        <v>0</v>
      </c>
      <c r="F11" s="81">
        <f>data!E215</f>
        <v>2517058.96</v>
      </c>
    </row>
    <row r="12" ht="20.1" customHeight="1">
      <c r="A12" s="77">
        <v>6</v>
      </c>
      <c r="B12" s="81" t="s">
        <v>888</v>
      </c>
      <c r="C12" s="81">
        <f>data!B216</f>
        <v>12047195.059999989</v>
      </c>
      <c r="D12" s="81">
        <f>data!C230</f>
        <v>1372745</v>
      </c>
      <c r="E12" s="81">
        <f>data!D230</f>
        <v>81142.44</v>
      </c>
      <c r="F12" s="81">
        <f>data!E216</f>
        <v>13726553.309999989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5082687.1</v>
      </c>
      <c r="D14" s="81">
        <f>data!C232</f>
        <v>458628.81</v>
      </c>
      <c r="E14" s="81">
        <f>data!D232</f>
        <v>0</v>
      </c>
      <c r="F14" s="81">
        <f>data!E218</f>
        <v>6589199.96</v>
      </c>
    </row>
    <row r="15" ht="20.1" customHeight="1">
      <c r="A15" s="77">
        <v>9</v>
      </c>
      <c r="B15" s="81" t="s">
        <v>890</v>
      </c>
      <c r="C15" s="81">
        <f>data!B219</f>
        <v>2865331.22</v>
      </c>
      <c r="D15" s="81">
        <f>data!C233</f>
        <v>2501712</v>
      </c>
      <c r="E15" s="81">
        <f>data!D233</f>
        <v>81142.44</v>
      </c>
      <c r="F15" s="81">
        <f>data!E219</f>
        <v>5395529.06</v>
      </c>
    </row>
    <row r="16" ht="20.1" customHeight="1">
      <c r="A16" s="77">
        <v>10</v>
      </c>
      <c r="B16" s="81" t="s">
        <v>615</v>
      </c>
      <c r="C16" s="81">
        <f>data!B220</f>
        <v>31755873.479999989</v>
      </c>
      <c r="D16" s="81">
        <f>data!C234</f>
        <v>0</v>
      </c>
      <c r="E16" s="81">
        <f>data!D234</f>
        <v>0</v>
      </c>
      <c r="F16" s="81">
        <f>data!E220</f>
        <v>45325078.949999996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0</v>
      </c>
      <c r="D24" s="81">
        <f>data!C225</f>
        <v>0</v>
      </c>
      <c r="E24" s="81">
        <f>data!D225</f>
        <v>0</v>
      </c>
      <c r="F24" s="81">
        <f>data!E225</f>
        <v>0</v>
      </c>
    </row>
    <row r="25" ht="20.1" customHeight="1">
      <c r="A25" s="77">
        <v>13</v>
      </c>
      <c r="B25" s="81" t="s">
        <v>396</v>
      </c>
      <c r="C25" s="81">
        <f>data!B226</f>
        <v>0</v>
      </c>
      <c r="D25" s="81">
        <f>data!C226</f>
        <v>3610.32</v>
      </c>
      <c r="E25" s="81">
        <f>data!D226</f>
        <v>0</v>
      </c>
      <c r="F25" s="81">
        <f>data!E226</f>
        <v>3610.32</v>
      </c>
    </row>
    <row r="26" ht="20.1" customHeight="1">
      <c r="A26" s="77">
        <v>14</v>
      </c>
      <c r="B26" s="81" t="s">
        <v>886</v>
      </c>
      <c r="C26" s="81">
        <f>data!B227</f>
        <v>2232883</v>
      </c>
      <c r="D26" s="81">
        <f>data!C227</f>
        <v>529700.98</v>
      </c>
      <c r="E26" s="81">
        <f>data!D227</f>
        <v>0</v>
      </c>
      <c r="F26" s="81">
        <f>data!E227</f>
        <v>2762583.98</v>
      </c>
    </row>
    <row r="27" ht="20.1" customHeight="1">
      <c r="A27" s="77">
        <v>15</v>
      </c>
      <c r="B27" s="81" t="s">
        <v>887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ht="20.1" customHeight="1">
      <c r="A28" s="77">
        <v>16</v>
      </c>
      <c r="B28" s="81" t="s">
        <v>888</v>
      </c>
      <c r="C28" s="81">
        <f>data!B229</f>
        <v>160604.21</v>
      </c>
      <c r="D28" s="81">
        <f>data!C229</f>
        <v>137026.89</v>
      </c>
      <c r="E28" s="81">
        <f>data!D229</f>
        <v>0</v>
      </c>
      <c r="F28" s="81">
        <f>data!E229</f>
        <v>297631.1</v>
      </c>
    </row>
    <row r="29" ht="20.1" customHeight="1">
      <c r="A29" s="77">
        <v>17</v>
      </c>
      <c r="B29" s="81" t="s">
        <v>889</v>
      </c>
      <c r="C29" s="81">
        <f>data!B230</f>
        <v>5812393.2800000031</v>
      </c>
      <c r="D29" s="81">
        <f>data!C230</f>
        <v>1372745</v>
      </c>
      <c r="E29" s="81">
        <f>data!D230</f>
        <v>81142.44</v>
      </c>
      <c r="F29" s="81">
        <f>data!E230</f>
        <v>7103995.8400000026</v>
      </c>
    </row>
    <row r="30" ht="20.1" customHeight="1">
      <c r="A30" s="77">
        <v>18</v>
      </c>
      <c r="B30" s="81" t="s">
        <v>401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ht="20.1" customHeight="1">
      <c r="A31" s="77">
        <v>19</v>
      </c>
      <c r="B31" s="81" t="s">
        <v>890</v>
      </c>
      <c r="C31" s="81">
        <f>data!B232</f>
        <v>808311.86</v>
      </c>
      <c r="D31" s="81">
        <f>data!C232</f>
        <v>458628.81</v>
      </c>
      <c r="E31" s="81">
        <f>data!D232</f>
        <v>0</v>
      </c>
      <c r="F31" s="81">
        <f>data!E232</f>
        <v>1266940.67</v>
      </c>
    </row>
    <row r="32" ht="20.1" customHeight="1">
      <c r="A32" s="77">
        <v>20</v>
      </c>
      <c r="B32" s="81" t="s">
        <v>615</v>
      </c>
      <c r="C32" s="81">
        <f>data!B233</f>
        <v>9014192.3500000034</v>
      </c>
      <c r="D32" s="81">
        <f>data!C233</f>
        <v>2501712</v>
      </c>
      <c r="E32" s="81">
        <f>data!D233</f>
        <v>81142.44</v>
      </c>
      <c r="F32" s="81">
        <f>data!E233</f>
        <v>11434761.910000002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PeaceHealth United General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1778408.3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53364430.93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27254620.55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898631.29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5019049.76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15348180.35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507911</v>
      </c>
    </row>
    <row r="13" ht="20.1" customHeight="1">
      <c r="A13" s="77">
        <v>9</v>
      </c>
      <c r="B13" s="81"/>
      <c r="C13" s="81" t="s">
        <v>897</v>
      </c>
      <c r="D13" s="81">
        <f>data!D245</f>
        <v>102392823.88000001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5126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376480.57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2801027.5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3177508.07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-84897.17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-84897.17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2022-12-30T00:11:26Z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