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47D49CFA-CD54-40DD-A207-3C1E39348754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414" i="24"/>
  <c r="BN83" i="24"/>
  <c r="BH83" i="24"/>
  <c r="CE83" i="24" s="1"/>
  <c r="AF83" i="24"/>
  <c r="H83" i="24"/>
  <c r="B28" i="27"/>
  <c r="CE85" i="25"/>
  <c r="CE84" i="24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E58" i="32" l="1"/>
  <c r="F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C12" i="32" l="1"/>
  <c r="H4" i="31"/>
  <c r="H63" i="31"/>
  <c r="G236" i="32"/>
  <c r="I76" i="32"/>
  <c r="H48" i="31"/>
  <c r="H12" i="31"/>
  <c r="H35" i="31"/>
  <c r="H45" i="31"/>
  <c r="H74" i="31"/>
  <c r="H8" i="31"/>
  <c r="H76" i="31"/>
  <c r="D44" i="32"/>
  <c r="D332" i="32"/>
  <c r="G268" i="32"/>
  <c r="I172" i="32"/>
  <c r="C44" i="32"/>
  <c r="AV52" i="24"/>
  <c r="AV67" i="24" s="1"/>
  <c r="AV85" i="24" s="1"/>
  <c r="C60" i="15" s="1"/>
  <c r="H23" i="31"/>
  <c r="BX52" i="24"/>
  <c r="BX67" i="24" s="1"/>
  <c r="BX85" i="24" s="1"/>
  <c r="X52" i="24"/>
  <c r="X67" i="24" s="1"/>
  <c r="X85" i="24" s="1"/>
  <c r="C689" i="24" s="1"/>
  <c r="L52" i="24"/>
  <c r="L67" i="24" s="1"/>
  <c r="E49" i="32" s="1"/>
  <c r="H51" i="31"/>
  <c r="H17" i="31"/>
  <c r="H7" i="31"/>
  <c r="E236" i="32"/>
  <c r="F300" i="32"/>
  <c r="E76" i="32"/>
  <c r="G76" i="32"/>
  <c r="H71" i="31"/>
  <c r="D300" i="32"/>
  <c r="C300" i="32"/>
  <c r="H37" i="31"/>
  <c r="H39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M23" i="31" l="1"/>
  <c r="C113" i="32"/>
  <c r="M47" i="31"/>
  <c r="E17" i="32"/>
  <c r="M61" i="31"/>
  <c r="F337" i="32"/>
  <c r="E85" i="24"/>
  <c r="C670" i="24" s="1"/>
  <c r="F209" i="32"/>
  <c r="M75" i="31"/>
  <c r="M11" i="31"/>
  <c r="L85" i="24"/>
  <c r="E53" i="32" s="1"/>
  <c r="S85" i="24"/>
  <c r="C31" i="15" s="1"/>
  <c r="G31" i="15" s="1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36" i="15" s="1"/>
  <c r="I36" i="15" s="1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M53" i="31"/>
  <c r="E241" i="32"/>
  <c r="BB85" i="24"/>
  <c r="F31" i="15"/>
  <c r="F37" i="15"/>
  <c r="F53" i="15"/>
  <c r="H53" i="15"/>
  <c r="I53" i="15" s="1"/>
  <c r="C67" i="24"/>
  <c r="CE52" i="24"/>
  <c r="F70" i="15"/>
  <c r="H30" i="15"/>
  <c r="I30" i="15" s="1"/>
  <c r="F30" i="15"/>
  <c r="M62" i="31"/>
  <c r="G273" i="32"/>
  <c r="BK85" i="24"/>
  <c r="F75" i="15"/>
  <c r="F55" i="15"/>
  <c r="H55" i="15"/>
  <c r="I55" i="15" s="1"/>
  <c r="F85" i="15"/>
  <c r="H85" i="15"/>
  <c r="I85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E85" i="32" l="1"/>
  <c r="H59" i="15"/>
  <c r="I59" i="15" s="1"/>
  <c r="C17" i="15"/>
  <c r="G17" i="15" s="1"/>
  <c r="E21" i="32"/>
  <c r="C684" i="24"/>
  <c r="C677" i="24"/>
  <c r="C24" i="15"/>
  <c r="G24" i="15" s="1"/>
  <c r="H277" i="32"/>
  <c r="C42" i="15"/>
  <c r="G42" i="15" s="1"/>
  <c r="C695" i="24"/>
  <c r="C74" i="15"/>
  <c r="G74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76" i="15" l="1"/>
  <c r="I76" i="15" s="1"/>
  <c r="G72" i="15"/>
  <c r="H72" i="15" s="1"/>
  <c r="I72" i="15" s="1"/>
  <c r="H40" i="15"/>
  <c r="I40" i="15" s="1"/>
  <c r="G44" i="15"/>
  <c r="H44" i="15"/>
  <c r="I44" i="15" s="1"/>
  <c r="G71" i="15"/>
  <c r="H71" i="15"/>
  <c r="I71" i="15" s="1"/>
  <c r="H69" i="15"/>
  <c r="I69" i="15" s="1"/>
  <c r="G20" i="15"/>
  <c r="H20" i="15" s="1"/>
  <c r="I20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K686" i="25"/>
  <c r="K707" i="25"/>
  <c r="M707" i="25" s="1"/>
  <c r="K699" i="25"/>
  <c r="M699" i="25" s="1"/>
  <c r="K691" i="25"/>
  <c r="K683" i="25"/>
  <c r="K712" i="25"/>
  <c r="K704" i="25"/>
  <c r="K696" i="25"/>
  <c r="K688" i="25"/>
  <c r="K680" i="25"/>
  <c r="K709" i="25"/>
  <c r="K701" i="25"/>
  <c r="M701" i="25" s="1"/>
  <c r="K693" i="25"/>
  <c r="K685" i="25"/>
  <c r="M685" i="25" s="1"/>
  <c r="K717" i="25"/>
  <c r="K708" i="25"/>
  <c r="K700" i="25"/>
  <c r="K692" i="25"/>
  <c r="M692" i="25" s="1"/>
  <c r="K684" i="25"/>
  <c r="K714" i="25"/>
  <c r="K689" i="25"/>
  <c r="K687" i="25"/>
  <c r="K678" i="25"/>
  <c r="K670" i="25"/>
  <c r="K706" i="25"/>
  <c r="K681" i="25"/>
  <c r="K675" i="25"/>
  <c r="K698" i="25"/>
  <c r="M698" i="25" s="1"/>
  <c r="K672" i="25"/>
  <c r="K690" i="25"/>
  <c r="K677" i="25"/>
  <c r="K669" i="25"/>
  <c r="K682" i="25"/>
  <c r="K674" i="25"/>
  <c r="K679" i="25"/>
  <c r="M679" i="25" s="1"/>
  <c r="K671" i="25"/>
  <c r="M671" i="25" s="1"/>
  <c r="K713" i="25"/>
  <c r="M713" i="25" s="1"/>
  <c r="K703" i="25"/>
  <c r="K673" i="25"/>
  <c r="K697" i="25"/>
  <c r="K711" i="25"/>
  <c r="K676" i="25"/>
  <c r="K705" i="25"/>
  <c r="M705" i="25" s="1"/>
  <c r="K695" i="25"/>
  <c r="M695" i="25" s="1"/>
  <c r="M688" i="25"/>
  <c r="M672" i="25" l="1"/>
  <c r="M681" i="25"/>
  <c r="M686" i="25"/>
  <c r="M683" i="25"/>
  <c r="M670" i="25"/>
  <c r="M684" i="25"/>
  <c r="M706" i="25"/>
  <c r="M708" i="25"/>
  <c r="M697" i="25"/>
  <c r="M703" i="25"/>
  <c r="M696" i="25"/>
  <c r="M693" i="25"/>
  <c r="M674" i="25"/>
  <c r="M694" i="25"/>
  <c r="M677" i="25"/>
  <c r="M704" i="25"/>
  <c r="M691" i="25"/>
  <c r="M690" i="25"/>
  <c r="M675" i="25"/>
  <c r="M676" i="25"/>
  <c r="M680" i="25"/>
  <c r="M673" i="25"/>
  <c r="M687" i="25"/>
  <c r="M711" i="25"/>
  <c r="M700" i="25"/>
  <c r="M689" i="25"/>
  <c r="M714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<sst xmlns="http://schemas.openxmlformats.org/spreadsheetml/2006/main" count="5777" uniqueCount="1379">
  <si>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</si>
  <si>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</si>
  <si>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</si>
  <si>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</si>
  <si>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</si>
  <si>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</si>
  <si>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</si>
  <si>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</si>
  <si>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</si>
  <si>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</si>
  <si>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</si>
  <si>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</si>
  <si>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</si>
  <si>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</si>
  <si>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</si>
  <si>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</si>
  <si>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</si>
  <si>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</si>
  <si>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</si>
  <si>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</si>
  <si>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</si>
  <si>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</si>
  <si>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</si>
  <si>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</si>
  <si>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</si>
  <si>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</si>
  <si>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</si>
  <si>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</si>
  <si>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</si>
  <si>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</si>
  <si>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</si>
  <si>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</si>
  <si>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</si>
  <si>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</si>
  <si>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</si>
  <si>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</si>
  <si>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</si>
  <si>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</si>
  <si>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</si>
  <si>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</si>
  <si>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</si>
  <si>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</si>
  <si>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</si>
  <si>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</si>
  <si>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</si>
  <si>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</si>
  <si>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</si>
  <si>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</si>
  <si>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</si>
  <si>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</si>
  <si>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</si>
  <si>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</si>
  <si>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</si>
  <si>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</si>
  <si>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</si>
  <si>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</si>
  <si>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</si>
  <si>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</si>
  <si>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</si>
  <si>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</si>
  <si>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</si>
  <si>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</si>
  <si>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</si>
  <si>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</si>
  <si>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</si>
  <si>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</si>
  <si>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</si>
  <si>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</si>
  <si>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</si>
  <si>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</si>
  <si>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</si>
  <si>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</si>
  <si>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</si>
  <si>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</si>
  <si>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</si>
  <si>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</si>
  <si>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</si>
  <si>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</si>
  <si>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</si>
  <si>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</si>
  <si>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</si>
  <si>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</si>
  <si>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</si>
  <si>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</si>
  <si>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</si>
  <si>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</si>
  <si>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</si>
  <si>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</si>
  <si>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</si>
  <si>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</si>
  <si>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</si>
  <si>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</si>
  <si>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</si>
  <si>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</si>
  <si>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</si>
  <si>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</si>
  <si>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</si>
  <si>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</si>
  <si>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</si>
  <si>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</si>
  <si>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</si>
  <si>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</si>
  <si>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</si>
  <si>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</si>
  <si>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</si>
  <si>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</si>
  <si>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</si>
  <si>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</si>
  <si>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</si>
  <si>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</si>
  <si>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</si>
  <si>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</si>
  <si>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</si>
  <si>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</si>
  <si>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</si>
  <si>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</si>
  <si>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</si>
  <si>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</si>
  <si>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</si>
  <si>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</si>
  <si>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</si>
  <si>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</si>
  <si>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</si>
  <si>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</si>
  <si>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</si>
  <si>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</si>
  <si>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</si>
  <si>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</si>
  <si>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</si>
  <si>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</si>
  <si>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</si>
  <si>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</si>
  <si>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</si>
  <si>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</si>
  <si>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</si>
  <si>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</si>
  <si>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</si>
  <si>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</si>
  <si>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</si>
  <si>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</si>
  <si>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</si>
  <si>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</si>
  <si>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</si>
  <si>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</si>
  <si>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</si>
  <si>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</si>
  <si>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</si>
  <si>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</si>
  <si>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</si>
  <si>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</si>
  <si>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</si>
  <si>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</si>
  <si>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</si>
  <si>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</si>
  <si>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</si>
  <si>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</si>
  <si>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</si>
  <si>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</si>
  <si>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</si>
  <si>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</si>
  <si>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</si>
  <si>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</si>
  <si>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</si>
  <si>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</si>
  <si>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</si>
  <si>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</si>
  <si>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</si>
  <si>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</si>
  <si>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</si>
  <si>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</si>
  <si>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</si>
  <si>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</si>
  <si>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</si>
  <si>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</si>
  <si>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</si>
  <si>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</si>
  <si>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</si>
  <si>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</si>
  <si>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</si>
  <si>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</si>
  <si>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</si>
  <si>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</si>
  <si>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</si>
  <si>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</si>
  <si>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</si>
  <si>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</si>
  <si>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</si>
  <si>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</si>
  <si>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</si>
  <si>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</si>
  <si>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</si>
  <si>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</si>
  <si>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</si>
  <si>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</si>
  <si>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</si>
  <si>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</si>
  <si>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</si>
  <si>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</si>
  <si>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</si>
  <si>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</si>
  <si>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</si>
  <si>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</si>
  <si>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</si>
  <si>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</si>
  <si>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</si>
  <si>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</si>
  <si>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</si>
  <si>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</si>
  <si>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</si>
  <si>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</si>
  <si>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</si>
  <si>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</si>
  <si>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</si>
  <si>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</si>
  <si>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</si>
  <si>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</si>
  <si>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</si>
  <si>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</si>
  <si>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</si>
  <si>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</si>
  <si>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</si>
  <si>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</si>
  <si>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</si>
  <si>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</si>
  <si>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</si>
  <si>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</si>
  <si>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</si>
  <si>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</si>
  <si>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</si>
  <si>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</si>
  <si>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</si>
  <si>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</si>
  <si>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</si>
  <si>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</si>
  <si>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</si>
  <si>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</si>
  <si>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</si>
  <si>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</si>
  <si>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</si>
  <si>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</si>
  <si>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</si>
  <si>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</si>
  <si>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</si>
  <si>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</si>
  <si>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</si>
  <si>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</si>
  <si>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</si>
  <si>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</si>
  <si>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</si>
  <si>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</si>
  <si>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</si>
  <si>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</si>
  <si>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</si>
  <si>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</si>
  <si>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</si>
  <si>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</si>
  <si>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</si>
  <si>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</si>
  <si>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</si>
  <si>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</si>
  <si>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</si>
  <si>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</si>
  <si>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</si>
  <si>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</si>
  <si>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</si>
  <si>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</si>
  <si>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</si>
  <si>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</si>
  <si>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</si>
  <si>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</si>
  <si>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</si>
  <si>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</si>
  <si>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</si>
  <si>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</si>
  <si>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</si>
  <si>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</si>
  <si>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</si>
  <si>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</si>
  <si>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</si>
  <si>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</si>
  <si>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</si>
  <si>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</si>
  <si>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</si>
  <si>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</si>
  <si>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</si>
  <si>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</si>
  <si>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</si>
  <si>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</si>
  <si>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</si>
  <si>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</si>
  <si>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</si>
  <si>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</si>
  <si>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</si>
  <si>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</si>
  <si>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</si>
  <si>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</si>
  <si>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</si>
  <si>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</si>
  <si>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</si>
  <si>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</si>
  <si>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</si>
  <si>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</si>
  <si>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</si>
  <si>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</si>
  <si>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</si>
  <si>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</si>
  <si>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</si>
  <si>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</si>
  <si>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</si>
  <si>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</si>
  <si>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</si>
  <si>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</si>
  <si>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</si>
  <si>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</si>
  <si>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</si>
  <si>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</si>
  <si>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</si>
  <si>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</si>
  <si>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</si>
  <si>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</si>
  <si>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</si>
  <si>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</si>
  <si>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</si>
  <si>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</si>
  <si>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</si>
  <si>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</si>
  <si>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</si>
  <si>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</si>
  <si>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</si>
  <si>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</si>
  <si>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</si>
  <si>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</si>
  <si>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</si>
  <si>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</si>
  <si>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</si>
  <si>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</si>
  <si>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</si>
  <si>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</si>
  <si>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</si>
  <si>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</si>
  <si>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</si>
  <si>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</si>
  <si>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</si>
  <si>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</si>
  <si>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</si>
  <si>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</si>
  <si>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</si>
  <si>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</si>
  <si>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</si>
  <si>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</si>
  <si>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</si>
  <si>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</si>
  <si>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</si>
  <si>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</si>
  <si>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</si>
  <si>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</si>
  <si>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</si>
  <si>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</si>
  <si>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</si>
  <si>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</si>
  <si>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</si>
  <si>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</si>
  <si>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</si>
  <si>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</si>
  <si>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</si>
  <si>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</si>
  <si>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</si>
  <si>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</si>
  <si>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</si>
  <si>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</si>
  <si>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</si>
  <si>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</si>
  <si>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</si>
  <si>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</si>
  <si>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</si>
  <si>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</si>
  <si>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</si>
  <si>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</si>
  <si>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</si>
  <si>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</si>
  <si>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</si>
  <si>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</si>
  <si>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</si>
  <si>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</si>
  <si>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</si>
  <si>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</si>
  <si>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</si>
  <si>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</si>
  <si>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</si>
  <si>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</si>
  <si>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</si>
  <si>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</si>
  <si>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</si>
  <si>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</si>
  <si>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</si>
  <si>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</si>
  <si>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</si>
  <si>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</si>
  <si>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</si>
  <si>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</si>
  <si>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</si>
  <si>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</si>
  <si>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</si>
  <si>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</si>
  <si>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</si>
  <si>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</si>
  <si>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</si>
  <si>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</si>
  <si>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</si>
  <si>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</si>
  <si>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</si>
  <si>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</si>
  <si>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</si>
  <si>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</si>
  <si>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</si>
  <si>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</si>
  <si>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</si>
  <si>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</si>
  <si>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</si>
  <si>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</si>
  <si>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</si>
  <si>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</si>
  <si>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</si>
  <si>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</si>
  <si>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</si>
  <si>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</si>
  <si>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</si>
  <si>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</si>
  <si>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</si>
  <si>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</si>
  <si>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</si>
  <si>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</si>
  <si>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</si>
  <si>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</si>
  <si>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</si>
  <si>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</si>
  <si>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</si>
  <si>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</si>
  <si>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</si>
  <si>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</si>
  <si>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</si>
  <si>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</si>
  <si>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</si>
  <si>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</si>
  <si>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</si>
  <si>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</si>
  <si>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</si>
  <si>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</si>
  <si>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</si>
  <si>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</si>
  <si>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</si>
  <si>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</si>
  <si>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</si>
  <si>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</si>
  <si>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</si>
  <si>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</si>
  <si>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</si>
  <si>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</si>
  <si>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</si>
  <si>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</si>
  <si>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</si>
  <si>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</si>
  <si>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</si>
  <si>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</si>
  <si>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</si>
  <si>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</si>
  <si>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</si>
  <si>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</si>
  <si>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</si>
  <si>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</si>
  <si>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</si>
  <si>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</si>
  <si>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</si>
  <si>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</si>
  <si>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</si>
  <si>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</si>
  <si>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</si>
  <si>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</si>
  <si>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</si>
  <si>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</si>
  <si>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</si>
  <si>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</si>
  <si>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</si>
  <si>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</si>
  <si>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</si>
  <si>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</si>
  <si>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</si>
  <si>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</si>
  <si>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</si>
  <si>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</si>
  <si>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</si>
  <si>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</si>
  <si>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</si>
  <si>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</si>
  <si>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</si>
  <si>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</si>
  <si>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</si>
  <si>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</si>
  <si>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</si>
  <si>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</si>
  <si>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</si>
  <si>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</si>
  <si>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</si>
  <si>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</si>
  <si>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</si>
  <si>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</si>
  <si>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</si>
  <si>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</si>
  <si>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</si>
  <si>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</si>
  <si>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</si>
  <si>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</si>
  <si>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</si>
  <si>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</si>
  <si>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</si>
  <si>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</si>
  <si>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</si>
  <si>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</si>
  <si>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</si>
  <si>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</si>
  <si>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</si>
  <si>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</si>
  <si>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</si>
  <si>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</si>
  <si>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</si>
  <si>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</si>
  <si>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</si>
  <si>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</si>
  <si>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</si>
  <si>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</si>
  <si>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</si>
  <si>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</si>
  <si>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</si>
  <si>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</si>
  <si>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</si>
  <si>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</si>
  <si>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</si>
  <si>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</si>
  <si>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</si>
  <si>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</si>
  <si>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</si>
  <si>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</si>
  <si>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</si>
  <si>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</si>
  <si>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</si>
  <si>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</si>
  <si>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</si>
  <si>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</si>
  <si>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</si>
  <si>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</si>
  <si>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</si>
  <si>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</si>
  <si>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</si>
  <si>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</si>
  <si>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</si>
  <si>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</si>
  <si>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</si>
  <si>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</si>
  <si>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</si>
  <si>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</si>
  <si>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</si>
  <si>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</si>
  <si>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</si>
  <si>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</si>
  <si>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</si>
  <si>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</si>
  <si>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</si>
  <si>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</si>
  <si>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</si>
  <si>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</si>
  <si>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</si>
  <si>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</si>
  <si>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</si>
  <si>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</si>
  <si>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</si>
  <si>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</si>
  <si>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</si>
  <si>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</si>
  <si>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</si>
  <si>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</si>
  <si>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</si>
  <si>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</si>
  <si>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</si>
  <si>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</si>
  <si>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</si>
  <si>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</si>
  <si>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</si>
  <si>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</si>
  <si>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</si>
  <si>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</si>
  <si>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</si>
  <si>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</si>
  <si>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</si>
  <si>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</si>
  <si>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</si>
  <si>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</si>
  <si>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</si>
  <si>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</si>
  <si>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</si>
  <si>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</si>
  <si>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</si>
  <si>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</si>
  <si>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</si>
  <si>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</si>
  <si>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</si>
  <si>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</si>
  <si>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</si>
  <si>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</si>
  <si>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</si>
  <si>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</si>
  <si>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</si>
  <si>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</si>
  <si>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</si>
  <si>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</si>
  <si>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</si>
  <si>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</si>
  <si>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</si>
  <si>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</si>
  <si>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</si>
  <si>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</si>
  <si>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</si>
  <si>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</si>
  <si>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</si>
  <si>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</si>
  <si>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</si>
  <si>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</si>
  <si>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</si>
  <si>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</si>
  <si>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</si>
  <si>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</si>
  <si>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</si>
  <si>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</si>
  <si>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</si>
  <si>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</si>
  <si>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</si>
  <si>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</si>
  <si>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</si>
  <si>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</si>
  <si>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</si>
  <si>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</si>
  <si>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</si>
  <si>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</si>
  <si>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</si>
  <si>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</si>
  <si>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</si>
  <si>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</si>
  <si>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</si>
  <si>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</si>
  <si>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</si>
  <si>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</si>
  <si>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</si>
  <si>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</si>
  <si>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</si>
  <si>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</si>
  <si>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</si>
  <si>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</si>
  <si>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</si>
  <si>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</si>
  <si>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</si>
  <si>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</si>
  <si>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</si>
  <si>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</si>
  <si>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</si>
  <si>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</si>
  <si>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</si>
  <si>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</si>
  <si>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</si>
  <si>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</si>
  <si>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</si>
  <si>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</si>
  <si>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</si>
  <si>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</si>
  <si>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</si>
  <si>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</si>
  <si>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</si>
  <si>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</si>
  <si>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</si>
  <si>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</si>
  <si>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</si>
  <si>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</si>
  <si>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</si>
  <si>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</si>
  <si>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</si>
  <si>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</si>
  <si>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</si>
  <si>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</si>
  <si>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</si>
  <si>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</si>
  <si>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</si>
  <si>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</si>
  <si>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</si>
  <si>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</si>
  <si>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</si>
  <si>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</si>
  <si>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</si>
  <si>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</si>
  <si>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</si>
  <si>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</si>
  <si>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</si>
  <si>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</si>
  <si>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</si>
  <si>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</si>
  <si>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</si>
  <si>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</si>
  <si>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</si>
  <si>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</si>
  <si>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</si>
  <si>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</si>
  <si>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</si>
  <si>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</si>
  <si>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</si>
  <si>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</si>
  <si>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</si>
  <si>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</si>
  <si>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</si>
  <si>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</si>
  <si>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</si>
  <si>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</si>
  <si>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</si>
  <si>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</si>
  <si>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</si>
  <si>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</si>
  <si>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</si>
  <si>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</si>
  <si>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</si>
  <si>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</si>
  <si>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</si>
  <si>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</si>
  <si>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</si>
  <si>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</si>
  <si>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</si>
  <si>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</si>
  <si>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</si>
  <si>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</si>
  <si>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</si>
  <si>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</si>
  <si>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</si>
  <si>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</si>
  <si>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</si>
  <si>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</si>
  <si>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</si>
  <si>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</si>
  <si>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</si>
  <si>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</si>
  <si>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</si>
  <si>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</si>
  <si>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</si>
  <si>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</si>
  <si>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</si>
  <si>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</si>
  <si>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</si>
  <si>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</si>
  <si>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</si>
  <si>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</si>
  <si>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</si>
  <si>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</si>
  <si>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</si>
  <si>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</si>
  <si>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</si>
  <si>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</si>
  <si>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</si>
  <si>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</si>
  <si>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</si>
  <si>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</si>
  <si>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</si>
  <si>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</si>
  <si>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</si>
  <si>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</si>
  <si>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</si>
  <si>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</si>
  <si>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</si>
  <si>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</si>
  <si>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</si>
  <si>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</si>
  <si>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</si>
  <si>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</si>
  <si>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</si>
  <si>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</si>
  <si>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</si>
  <si>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</si>
  <si>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</si>
  <si>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</si>
  <si>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</si>
  <si>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</si>
  <si>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</si>
  <si>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</si>
  <si>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</si>
  <si>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</si>
  <si>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</si>
  <si>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</si>
  <si>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</si>
  <si>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</si>
  <si>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</si>
  <si>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</si>
  <si>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</si>
  <si>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</si>
  <si>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</si>
  <si>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</si>
  <si>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</si>
  <si>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</si>
  <si>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</si>
  <si>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</si>
  <si>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</si>
  <si>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</si>
  <si>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</si>
  <si>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</si>
  <si>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</si>
  <si>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</si>
  <si>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</si>
  <si>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</si>
  <si>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</si>
  <si>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</si>
  <si>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</si>
  <si>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</si>
  <si>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</si>
  <si>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</si>
  <si>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</si>
  <si>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</si>
  <si>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</si>
  <si>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</si>
  <si>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</si>
  <si>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</si>
  <si>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</si>
  <si>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</si>
  <si>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</si>
  <si>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</si>
  <si>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</si>
  <si>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</si>
  <si>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</si>
  <si>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</si>
  <si>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</si>
  <si>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</si>
  <si>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</si>
  <si>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</si>
  <si>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</si>
  <si>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</si>
  <si>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</si>
  <si>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</si>
  <si>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</si>
  <si>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</si>
  <si>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</si>
  <si>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</si>
  <si>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</si>
  <si>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</si>
  <si>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</si>
  <si>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</si>
  <si>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</si>
  <si>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</si>
  <si>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</si>
  <si>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</si>
  <si>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</si>
  <si>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</si>
  <si>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</si>
  <si>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</si>
  <si>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</si>
  <si>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</si>
  <si>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</si>
  <si>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</si>
  <si>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</si>
  <si>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</si>
  <si>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</si>
  <si>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</si>
  <si>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</si>
  <si>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</si>
  <si>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</si>
  <si>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</si>
  <si>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</si>
  <si>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</si>
  <si>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</si>
  <si>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</si>
  <si>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</si>
  <si>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</si>
  <si>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</si>
  <si>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</si>
  <si>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</si>
  <si>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</si>
  <si>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</si>
  <si>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</si>
  <si>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</si>
  <si>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</si>
  <si>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</si>
  <si>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</si>
  <si>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</si>
  <si>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</si>
  <si>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</si>
  <si>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</si>
  <si>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</si>
  <si>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</si>
  <si>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</si>
  <si>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</si>
  <si>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</si>
  <si>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</si>
  <si>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</si>
  <si>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</si>
  <si>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</si>
  <si>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</si>
  <si>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</si>
  <si>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</si>
  <si>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</si>
  <si>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</si>
  <si>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</si>
  <si>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</si>
  <si>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</si>
  <si>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</si>
  <si>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</si>
  <si>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</si>
  <si>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</si>
  <si>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</si>
  <si>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</si>
  <si>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</si>
  <si>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</si>
  <si>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</si>
  <si>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</si>
  <si>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</si>
  <si>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</si>
  <si>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</si>
  <si>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</si>
  <si>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</si>
  <si>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</si>
  <si>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</si>
  <si>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</si>
  <si>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</si>
  <si>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</si>
  <si>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</si>
  <si>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</si>
  <si>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</si>
  <si>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</si>
  <si>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</si>
  <si>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</si>
  <si>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</si>
  <si>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</si>
  <si>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</si>
  <si>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</si>
  <si>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</si>
  <si>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</si>
  <si>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</si>
  <si>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</si>
  <si>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</si>
  <si>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</si>
  <si>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</si>
  <si>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</si>
  <si>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</si>
  <si>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</si>
  <si>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</si>
  <si>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</si>
  <si>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</si>
  <si>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</si>
  <si>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</si>
  <si>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</si>
  <si>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</si>
  <si>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</si>
  <si>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</si>
  <si>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</si>
  <si>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</si>
  <si>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</si>
  <si>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</si>
  <si>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</si>
  <si>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</si>
  <si>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</si>
  <si>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</si>
  <si>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</si>
  <si>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</si>
  <si>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</si>
  <si>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</si>
  <si>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</si>
  <si>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</si>
  <si>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</si>
  <si>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</si>
  <si>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</si>
  <si>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</si>
  <si>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</si>
  <si>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</si>
  <si>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</si>
  <si>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</si>
  <si>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</si>
  <si>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</si>
  <si>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</si>
  <si>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</si>
  <si>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</si>
  <si>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</si>
  <si>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</si>
  <si>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</si>
  <si>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</si>
  <si>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</si>
  <si>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</si>
  <si>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</si>
  <si>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</si>
  <si>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</si>
  <si>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</si>
  <si>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</si>
  <si>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</si>
  <si>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</si>
  <si>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</si>
  <si>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</si>
  <si>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</si>
  <si>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</si>
  <si>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</si>
  <si>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</si>
  <si>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</si>
  <si>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</si>
  <si>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</si>
  <si>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</si>
  <si>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</si>
  <si>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</si>
  <si>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</si>
  <si>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</si>
  <si>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</si>
  <si>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</si>
  <si>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</si>
  <si>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</si>
  <si>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</si>
  <si>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</si>
  <si>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</si>
  <si>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</si>
  <si>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</si>
  <si>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</si>
  <si>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</si>
  <si>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</si>
  <si>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</si>
  <si>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</si>
  <si>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</si>
  <si>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</si>
  <si>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</si>
  <si>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</si>
  <si>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</si>
  <si>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</si>
  <si>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</si>
  <si>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</si>
  <si>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</si>
  <si>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</si>
  <si>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</si>
  <si>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</si>
  <si>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</si>
  <si>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</si>
  <si>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</si>
  <si>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</si>
  <si>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</si>
  <si>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</si>
  <si>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</si>
  <si>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</si>
  <si>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</si>
  <si>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</si>
  <si>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</si>
  <si>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</si>
  <si>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</si>
  <si>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</si>
  <si>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</si>
  <si>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</si>
  <si>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</si>
  <si>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</si>
  <si>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</si>
  <si>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</si>
  <si>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</si>
  <si>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</si>
  <si>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</si>
  <si>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</si>
  <si>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</si>
  <si>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</si>
  <si>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</si>
  <si>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</si>
  <si>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</si>
  <si>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</si>
  <si>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</si>
  <si>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</si>
  <si>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</si>
  <si>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</si>
  <si>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</si>
  <si>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</si>
  <si>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</si>
  <si>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</si>
  <si>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</si>
  <si>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</si>
  <si>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</si>
  <si>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</si>
  <si>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</si>
  <si>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</si>
  <si>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</si>
  <si>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</si>
  <si>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</si>
  <si>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</si>
  <si>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</si>
  <si>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</si>
  <si>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</si>
  <si>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</si>
  <si>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</si>
  <si>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</si>
  <si>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</si>
  <si>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</si>
  <si>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</si>
  <si>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</si>
  <si>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</si>
  <si>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</si>
  <si>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</si>
  <si>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</si>
  <si>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</si>
  <si>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</si>
  <si>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</si>
  <si>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</si>
  <si>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</si>
  <si>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</si>
  <si>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</si>
  <si>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</si>
  <si>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</si>
  <si>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</si>
  <si>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</si>
  <si>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</si>
  <si>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</si>
  <si>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</si>
  <si>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</si>
  <si>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</si>
  <si>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</si>
  <si>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</si>
  <si>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</si>
  <si>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</si>
  <si>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</si>
  <si>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</si>
  <si>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</si>
  <si>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</si>
  <si>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</si>
  <si>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</si>
  <si>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</si>
  <si>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</si>
  <si>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</si>
  <si>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</si>
  <si>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</si>
  <si>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</si>
  <si>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</si>
  <si>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</si>
  <si>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</si>
  <si>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</si>
  <si>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</si>
  <si>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</si>
  <si>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</si>
  <si>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</si>
  <si>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</si>
  <si>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</si>
  <si>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</si>
  <si>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</si>
  <si>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</si>
  <si>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</si>
  <si>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</si>
  <si>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</si>
  <si>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</si>
  <si>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</si>
  <si>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</si>
  <si>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</si>
  <si>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</si>
  <si>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</si>
  <si>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</si>
  <si>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</si>
  <si>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</si>
  <si>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</si>
  <si>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</si>
  <si>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</si>
  <si>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</si>
  <si>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</si>
  <si>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</si>
  <si>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</si>
  <si>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</si>
  <si>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</si>
  <si>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</si>
  <si>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</si>
  <si>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</si>
  <si>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</si>
  <si>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</si>
  <si>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</si>
  <si>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</si>
  <si>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</si>
  <si>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</si>
  <si>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</si>
  <si>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</si>
  <si>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</si>
  <si>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</si>
  <si>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</si>
  <si>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</si>
  <si>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</si>
  <si>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</si>
  <si>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</si>
  <si>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</si>
  <si>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</si>
  <si>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</si>
  <si>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</si>
  <si>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</si>
  <si>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</si>
  <si>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</si>
  <si>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</si>
  <si>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</si>
  <si>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</si>
  <si>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</si>
  <si>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</si>
  <si>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</si>
  <si>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</si>
  <si>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</si>
  <si>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</si>
  <si>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</si>
  <si>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</si>
  <si>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</si>
  <si>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</si>
  <si>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</si>
  <si>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</si>
  <si>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</si>
  <si>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</si>
  <si>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</si>
  <si>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</si>
  <si>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</si>
  <si>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</si>
  <si>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</si>
  <si>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</si>
  <si>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</si>
  <si>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</si>
  <si>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</si>
  <si>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</si>
  <si>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</si>
  <si>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</si>
  <si>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</si>
  <si>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</si>
  <si>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</si>
  <si>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</si>
  <si>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</si>
  <si>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</si>
  <si>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</si>
  <si>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</si>
  <si>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</si>
  <si>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</si>
  <si>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</si>
  <si>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</si>
  <si>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</si>
  <si>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</si>
  <si>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</si>
  <si>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</si>
  <si>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</si>
  <si>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</si>
  <si>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</si>
  <si>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</si>
  <si>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</si>
  <si>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</si>
  <si>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</si>
  <si>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</si>
  <si>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</si>
  <si>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</si>
  <si>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</si>
  <si>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</si>
  <si>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</si>
  <si>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</si>
  <si>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</si>
  <si>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</si>
  <si>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</si>
  <si>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</si>
  <si>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</si>
  <si>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</si>
  <si>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</si>
  <si>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</si>
  <si>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</si>
  <si>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</si>
  <si>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</si>
  <si>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</si>
  <si>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</si>
  <si>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</si>
  <si>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</si>
  <si>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</si>
  <si>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</si>
  <si>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</si>
  <si>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</si>
  <si>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</si>
  <si>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</si>
  <si>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</si>
  <si>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</si>
  <si>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</si>
  <si>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</si>
  <si>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</si>
  <si>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</si>
  <si>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</si>
  <si>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</si>
  <si>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</si>
  <si>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</si>
  <si>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</si>
  <si>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</si>
  <si>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</si>
  <si>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</si>
  <si>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</si>
  <si>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</si>
  <si>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</si>
  <si>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</si>
  <si>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</si>
  <si>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</si>
  <si>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</si>
  <si>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</si>
  <si>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</si>
  <si>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</si>
  <si>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</si>
  <si>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</si>
  <si>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</si>
  <si>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</si>
  <si>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</si>
  <si>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</si>
  <si>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</si>
  <si>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</si>
  <si>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</si>
  <si>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</si>
  <si>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</si>
  <si>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</si>
  <si>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</si>
  <si>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</si>
  <si>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</si>
  <si>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</si>
  <si>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</si>
  <si>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</si>
  <si>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</si>
  <si>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</si>
  <si>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</si>
  <si>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</si>
  <si>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</si>
  <si>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</si>
  <si>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</si>
  <si>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</si>
  <si>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</si>
  <si>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</si>
  <si>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</si>
  <si>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</si>
  <si>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</si>
  <si>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</si>
  <si>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</si>
  <si>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</si>
  <si>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</si>
  <si>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</si>
  <si>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</si>
  <si>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</si>
  <si>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</si>
  <si>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</si>
  <si>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</si>
  <si>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</si>
  <si>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</si>
  <si>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</si>
  <si>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</si>
  <si>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</si>
  <si>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</si>
  <si>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</si>
  <si>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</si>
  <si>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</si>
  <si>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</si>
  <si>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</si>
  <si>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</si>
  <si>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</si>
  <si>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</si>
  <si>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</si>
  <si>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</si>
  <si>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</si>
  <si>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</si>
  <si>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</si>
  <si>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</si>
  <si>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</si>
  <si>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</si>
  <si>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</si>
  <si>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</si>
  <si>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</si>
  <si>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</si>
  <si>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</si>
  <si>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</si>
  <si>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</si>
  <si>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</si>
  <si>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</si>
  <si>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</si>
  <si>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</si>
  <si>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12/31/2022</t>
  </si>
  <si>
    <t>Lourdes Counseling Center</t>
  </si>
  <si>
    <t>Richland</t>
  </si>
  <si>
    <t>WA</t>
  </si>
  <si>
    <t>Benton</t>
  </si>
  <si>
    <t>Erika Wier</t>
  </si>
  <si>
    <t>509-547-7704</t>
  </si>
  <si>
    <t>509-542-3070</t>
  </si>
  <si>
    <t>X</t>
  </si>
  <si>
    <t>06/30/2018</t>
  </si>
  <si>
    <t>1175 Carondelet Drive</t>
  </si>
  <si>
    <t>Rob Monical</t>
  </si>
  <si>
    <t>Charlie Pearce</t>
  </si>
  <si>
    <t>Bart Gallant</t>
  </si>
  <si>
    <t>Mark Holyoak</t>
  </si>
  <si>
    <t>anita.kauffman@lourdesonline.org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</si>
</sst>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8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8" fontId="15" fillId="4" borderId="14" xfId="0" quotePrefix="1" applyNumberFormat="1" applyFont="1" applyFill="1" applyBorder="1" applyProtection="1">
      <protection locked="0"/>
    </xf>
    <xf numFmtId="38" fontId="23" fillId="4" borderId="14" xfId="0" quotePrefix="1" applyNumberFormat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nita.kauffman@lourdesonlin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B108" sqref="B10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2001585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0</v>
      </c>
      <c r="F48" s="32">
        <f t="shared" si="0"/>
        <v>0</v>
      </c>
      <c r="G48" s="32">
        <f t="shared" si="0"/>
        <v>0</v>
      </c>
      <c r="H48" s="32">
        <f t="shared" si="0"/>
        <v>595784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0</v>
      </c>
      <c r="Q48" s="32">
        <f t="shared" si="0"/>
        <v>0</v>
      </c>
      <c r="R48" s="32">
        <f t="shared" si="0"/>
        <v>0</v>
      </c>
      <c r="S48" s="32">
        <f t="shared" si="0"/>
        <v>0</v>
      </c>
      <c r="T48" s="32">
        <f t="shared" si="0"/>
        <v>0</v>
      </c>
      <c r="U48" s="32">
        <f t="shared" si="0"/>
        <v>0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0</v>
      </c>
      <c r="Z48" s="32">
        <f t="shared" si="0"/>
        <v>0</v>
      </c>
      <c r="AA48" s="32">
        <f t="shared" si="0"/>
        <v>0</v>
      </c>
      <c r="AB48" s="32">
        <f t="shared" si="0"/>
        <v>39389</v>
      </c>
      <c r="AC48" s="32">
        <f t="shared" si="0"/>
        <v>0</v>
      </c>
      <c r="AD48" s="32">
        <f t="shared" si="0"/>
        <v>0</v>
      </c>
      <c r="AE48" s="32">
        <f t="shared" si="0"/>
        <v>0</v>
      </c>
      <c r="AF48" s="32">
        <f t="shared" si="0"/>
        <v>1216416</v>
      </c>
      <c r="AG48" s="32">
        <f t="shared" si="0"/>
        <v>0</v>
      </c>
      <c r="AH48" s="32">
        <f t="shared" si="0"/>
        <v>0</v>
      </c>
      <c r="AI48" s="32">
        <f t="shared" si="0"/>
        <v>0</v>
      </c>
      <c r="AJ48" s="32">
        <f t="shared" si="0"/>
        <v>0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3198</v>
      </c>
      <c r="AV48" s="32">
        <f t="shared" si="0"/>
        <v>24162</v>
      </c>
      <c r="AW48" s="32">
        <f t="shared" si="0"/>
        <v>0</v>
      </c>
      <c r="AX48" s="32">
        <f t="shared" si="0"/>
        <v>0</v>
      </c>
      <c r="AY48" s="32">
        <f t="shared" si="0"/>
        <v>0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0</v>
      </c>
      <c r="BE48" s="32">
        <f t="shared" si="0"/>
        <v>12653</v>
      </c>
      <c r="BF48" s="32">
        <f t="shared" si="0"/>
        <v>0</v>
      </c>
      <c r="BG48" s="32">
        <f t="shared" si="0"/>
        <v>0</v>
      </c>
      <c r="BH48" s="32">
        <f t="shared" si="0"/>
        <v>23538</v>
      </c>
      <c r="BI48" s="32">
        <f t="shared" si="0"/>
        <v>0</v>
      </c>
      <c r="BJ48" s="32">
        <f t="shared" si="0"/>
        <v>75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17847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0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13167</v>
      </c>
      <c r="BW48" s="32">
        <f t="shared" si="1"/>
        <v>0</v>
      </c>
      <c r="BX48" s="32">
        <f t="shared" si="1"/>
        <v>0</v>
      </c>
      <c r="BY48" s="32">
        <f t="shared" si="1"/>
        <v>55354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2001583</v>
      </c>
    </row>
    <row r="49" spans="1:83" x14ac:dyDescent="0.35">
      <c r="A49" s="20" t="s">
        <v>218</v>
      </c>
      <c r="B49" s="32">
        <f>B47+B48</f>
        <v>2001585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>
        <v>25568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0</v>
      </c>
      <c r="F52" s="32">
        <f t="shared" si="2"/>
        <v>0</v>
      </c>
      <c r="G52" s="32">
        <f t="shared" si="2"/>
        <v>0</v>
      </c>
      <c r="H52" s="32">
        <f t="shared" si="2"/>
        <v>10227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0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0</v>
      </c>
      <c r="Z52" s="32">
        <f t="shared" si="2"/>
        <v>0</v>
      </c>
      <c r="AA52" s="32">
        <f t="shared" si="2"/>
        <v>0</v>
      </c>
      <c r="AB52" s="32">
        <f t="shared" si="2"/>
        <v>0</v>
      </c>
      <c r="AC52" s="32">
        <f t="shared" si="2"/>
        <v>0</v>
      </c>
      <c r="AD52" s="32">
        <f t="shared" si="2"/>
        <v>0</v>
      </c>
      <c r="AE52" s="32">
        <f t="shared" si="2"/>
        <v>0</v>
      </c>
      <c r="AF52" s="32">
        <f t="shared" si="2"/>
        <v>5172</v>
      </c>
      <c r="AG52" s="32">
        <f t="shared" si="2"/>
        <v>0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935</v>
      </c>
      <c r="AZ52" s="32">
        <f t="shared" si="2"/>
        <v>0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4699</v>
      </c>
      <c r="BF52" s="32">
        <f t="shared" si="2"/>
        <v>0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4156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378</v>
      </c>
      <c r="BW52" s="32">
        <f t="shared" si="3"/>
        <v>0</v>
      </c>
      <c r="BX52" s="32">
        <f t="shared" si="3"/>
        <v>0</v>
      </c>
      <c r="BY52" s="32">
        <f t="shared" si="3"/>
        <v>0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25567</v>
      </c>
    </row>
    <row r="53" spans="1:83" x14ac:dyDescent="0.35">
      <c r="A53" s="20" t="s">
        <v>218</v>
      </c>
      <c r="B53" s="32">
        <f>B51+B52</f>
        <v>25568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/>
      <c r="F59" s="24"/>
      <c r="G59" s="24"/>
      <c r="H59" s="24">
        <v>3515</v>
      </c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48770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/>
      <c r="D60" s="315"/>
      <c r="E60" s="315"/>
      <c r="F60" s="315"/>
      <c r="G60" s="315"/>
      <c r="H60" s="315">
        <v>34.07</v>
      </c>
      <c r="I60" s="315"/>
      <c r="J60" s="315"/>
      <c r="K60" s="315"/>
      <c r="L60" s="315"/>
      <c r="M60" s="315"/>
      <c r="N60" s="315"/>
      <c r="O60" s="315"/>
      <c r="P60" s="316"/>
      <c r="Q60" s="316"/>
      <c r="R60" s="316"/>
      <c r="S60" s="317"/>
      <c r="T60" s="317"/>
      <c r="U60" s="318"/>
      <c r="V60" s="316"/>
      <c r="W60" s="316"/>
      <c r="X60" s="316"/>
      <c r="Y60" s="316"/>
      <c r="Z60" s="316"/>
      <c r="AA60" s="316"/>
      <c r="AB60" s="317">
        <v>1.28</v>
      </c>
      <c r="AC60" s="316"/>
      <c r="AD60" s="316"/>
      <c r="AE60" s="316"/>
      <c r="AF60" s="316">
        <v>63.61</v>
      </c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>
        <v>0.26</v>
      </c>
      <c r="AV60" s="317">
        <v>0.87</v>
      </c>
      <c r="AW60" s="317"/>
      <c r="AX60" s="317"/>
      <c r="AY60" s="316"/>
      <c r="AZ60" s="316"/>
      <c r="BA60" s="317"/>
      <c r="BB60" s="317"/>
      <c r="BC60" s="317"/>
      <c r="BD60" s="317"/>
      <c r="BE60" s="316">
        <v>0.79</v>
      </c>
      <c r="BF60" s="317"/>
      <c r="BG60" s="317"/>
      <c r="BH60" s="317">
        <v>2.23</v>
      </c>
      <c r="BI60" s="317"/>
      <c r="BJ60" s="317">
        <v>0.04</v>
      </c>
      <c r="BK60" s="317"/>
      <c r="BL60" s="317">
        <v>0.01</v>
      </c>
      <c r="BM60" s="317"/>
      <c r="BN60" s="317">
        <v>0.4</v>
      </c>
      <c r="BO60" s="317"/>
      <c r="BP60" s="317"/>
      <c r="BQ60" s="317"/>
      <c r="BR60" s="317"/>
      <c r="BS60" s="317"/>
      <c r="BT60" s="317"/>
      <c r="BU60" s="317"/>
      <c r="BV60" s="317">
        <v>1.63</v>
      </c>
      <c r="BW60" s="317"/>
      <c r="BX60" s="317"/>
      <c r="BY60" s="317">
        <v>2.2200000000000002</v>
      </c>
      <c r="BZ60" s="317"/>
      <c r="CA60" s="317"/>
      <c r="CB60" s="317"/>
      <c r="CC60" s="317"/>
      <c r="CD60" s="247" t="s">
        <v>233</v>
      </c>
      <c r="CE60" s="268">
        <f t="shared" ref="CE60:CE68" si="4">SUM(C60:CD60)</f>
        <v>107.41000000000004</v>
      </c>
    </row>
    <row r="61" spans="1:83" x14ac:dyDescent="0.35">
      <c r="A61" s="39" t="s">
        <v>248</v>
      </c>
      <c r="B61" s="20"/>
      <c r="C61" s="24"/>
      <c r="D61" s="24"/>
      <c r="E61" s="24"/>
      <c r="F61" s="24"/>
      <c r="G61" s="24"/>
      <c r="H61" s="24">
        <v>2314840.58</v>
      </c>
      <c r="I61" s="24"/>
      <c r="J61" s="24"/>
      <c r="K61" s="24"/>
      <c r="L61" s="24"/>
      <c r="M61" s="24"/>
      <c r="N61" s="24"/>
      <c r="O61" s="24"/>
      <c r="P61" s="30"/>
      <c r="Q61" s="30"/>
      <c r="R61" s="30"/>
      <c r="S61" s="319"/>
      <c r="T61" s="319"/>
      <c r="U61" s="31"/>
      <c r="V61" s="30"/>
      <c r="W61" s="30"/>
      <c r="X61" s="30"/>
      <c r="Y61" s="30"/>
      <c r="Z61" s="30"/>
      <c r="AA61" s="30"/>
      <c r="AB61" s="320">
        <v>153039.65</v>
      </c>
      <c r="AC61" s="30"/>
      <c r="AD61" s="30"/>
      <c r="AE61" s="30"/>
      <c r="AF61" s="30">
        <v>4726222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>
        <v>12426.29</v>
      </c>
      <c r="AV61" s="319">
        <v>93879.2</v>
      </c>
      <c r="AW61" s="319"/>
      <c r="AX61" s="319"/>
      <c r="AY61" s="30"/>
      <c r="AZ61" s="30"/>
      <c r="BA61" s="319"/>
      <c r="BB61" s="319"/>
      <c r="BC61" s="319"/>
      <c r="BD61" s="319"/>
      <c r="BE61" s="30">
        <v>49162.89</v>
      </c>
      <c r="BF61" s="319"/>
      <c r="BG61" s="319"/>
      <c r="BH61" s="319">
        <v>91454.69</v>
      </c>
      <c r="BI61" s="319"/>
      <c r="BJ61" s="319">
        <v>291.43</v>
      </c>
      <c r="BK61" s="319"/>
      <c r="BL61" s="319"/>
      <c r="BM61" s="319"/>
      <c r="BN61" s="319">
        <v>69343.12</v>
      </c>
      <c r="BO61" s="319"/>
      <c r="BP61" s="319"/>
      <c r="BQ61" s="319"/>
      <c r="BR61" s="319"/>
      <c r="BS61" s="319"/>
      <c r="BT61" s="319"/>
      <c r="BU61" s="319"/>
      <c r="BV61" s="319">
        <v>51159.9</v>
      </c>
      <c r="BW61" s="319"/>
      <c r="BX61" s="319"/>
      <c r="BY61" s="319">
        <v>215072.08</v>
      </c>
      <c r="BZ61" s="319"/>
      <c r="CA61" s="319"/>
      <c r="CB61" s="319"/>
      <c r="CC61" s="319"/>
      <c r="CD61" s="29" t="s">
        <v>233</v>
      </c>
      <c r="CE61" s="32">
        <f t="shared" si="4"/>
        <v>7776891.830000001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0</v>
      </c>
      <c r="F62" s="32">
        <f t="shared" si="5"/>
        <v>0</v>
      </c>
      <c r="G62" s="32">
        <f t="shared" si="5"/>
        <v>0</v>
      </c>
      <c r="H62" s="32">
        <f t="shared" si="5"/>
        <v>595784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0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0</v>
      </c>
      <c r="Z62" s="32">
        <f t="shared" si="5"/>
        <v>0</v>
      </c>
      <c r="AA62" s="32">
        <f t="shared" si="5"/>
        <v>0</v>
      </c>
      <c r="AB62" s="32">
        <f t="shared" si="5"/>
        <v>39389</v>
      </c>
      <c r="AC62" s="32">
        <f t="shared" si="5"/>
        <v>0</v>
      </c>
      <c r="AD62" s="32">
        <f t="shared" si="5"/>
        <v>0</v>
      </c>
      <c r="AE62" s="32">
        <f t="shared" si="5"/>
        <v>0</v>
      </c>
      <c r="AF62" s="32">
        <f t="shared" si="5"/>
        <v>1216416</v>
      </c>
      <c r="AG62" s="32">
        <f t="shared" si="5"/>
        <v>0</v>
      </c>
      <c r="AH62" s="32">
        <f t="shared" si="5"/>
        <v>0</v>
      </c>
      <c r="AI62" s="32">
        <f t="shared" si="5"/>
        <v>0</v>
      </c>
      <c r="AJ62" s="32">
        <f t="shared" si="5"/>
        <v>0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3198</v>
      </c>
      <c r="AV62" s="32">
        <f t="shared" si="5"/>
        <v>24162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12653</v>
      </c>
      <c r="BF62" s="32">
        <f t="shared" si="5"/>
        <v>0</v>
      </c>
      <c r="BG62" s="32">
        <f t="shared" si="5"/>
        <v>0</v>
      </c>
      <c r="BH62" s="32">
        <f t="shared" si="5"/>
        <v>23538</v>
      </c>
      <c r="BI62" s="32">
        <f t="shared" si="5"/>
        <v>0</v>
      </c>
      <c r="BJ62" s="32">
        <f t="shared" si="5"/>
        <v>75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17847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13167</v>
      </c>
      <c r="BW62" s="32">
        <f t="shared" si="6"/>
        <v>0</v>
      </c>
      <c r="BX62" s="32">
        <f t="shared" si="6"/>
        <v>0</v>
      </c>
      <c r="BY62" s="32">
        <f t="shared" si="6"/>
        <v>55354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2001583</v>
      </c>
    </row>
    <row r="63" spans="1:83" x14ac:dyDescent="0.35">
      <c r="A63" s="39" t="s">
        <v>249</v>
      </c>
      <c r="B63" s="20"/>
      <c r="C63" s="24"/>
      <c r="D63" s="24"/>
      <c r="E63" s="24"/>
      <c r="F63" s="24"/>
      <c r="G63" s="24"/>
      <c r="H63" s="24">
        <v>255638.53</v>
      </c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9"/>
      <c r="T63" s="319"/>
      <c r="U63" s="31"/>
      <c r="V63" s="30"/>
      <c r="W63" s="30"/>
      <c r="X63" s="30"/>
      <c r="Y63" s="30"/>
      <c r="Z63" s="30"/>
      <c r="AA63" s="30"/>
      <c r="AB63" s="320">
        <v>0</v>
      </c>
      <c r="AC63" s="30"/>
      <c r="AD63" s="30"/>
      <c r="AE63" s="30"/>
      <c r="AF63" s="30">
        <v>1005142.02</v>
      </c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/>
      <c r="CD63" s="29" t="s">
        <v>233</v>
      </c>
      <c r="CE63" s="32">
        <f t="shared" si="4"/>
        <v>1260780.55</v>
      </c>
    </row>
    <row r="64" spans="1:83" x14ac:dyDescent="0.35">
      <c r="A64" s="39" t="s">
        <v>250</v>
      </c>
      <c r="B64" s="20"/>
      <c r="C64" s="24"/>
      <c r="D64" s="24"/>
      <c r="E64" s="24"/>
      <c r="F64" s="24"/>
      <c r="G64" s="24"/>
      <c r="H64" s="24">
        <v>16975.2</v>
      </c>
      <c r="I64" s="24"/>
      <c r="J64" s="24"/>
      <c r="K64" s="24"/>
      <c r="L64" s="24"/>
      <c r="M64" s="24"/>
      <c r="N64" s="24"/>
      <c r="O64" s="24"/>
      <c r="P64" s="30"/>
      <c r="Q64" s="30"/>
      <c r="R64" s="30"/>
      <c r="S64" s="319"/>
      <c r="T64" s="319"/>
      <c r="U64" s="31">
        <v>516.28</v>
      </c>
      <c r="V64" s="30"/>
      <c r="W64" s="30"/>
      <c r="X64" s="30"/>
      <c r="Y64" s="30"/>
      <c r="Z64" s="30"/>
      <c r="AA64" s="30"/>
      <c r="AB64" s="320">
        <v>77632.5</v>
      </c>
      <c r="AC64" s="30"/>
      <c r="AD64" s="30"/>
      <c r="AE64" s="30"/>
      <c r="AF64" s="30">
        <v>41464.46</v>
      </c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9"/>
      <c r="AW64" s="319"/>
      <c r="AX64" s="319"/>
      <c r="AY64" s="30">
        <v>87336.16</v>
      </c>
      <c r="AZ64" s="30"/>
      <c r="BA64" s="319"/>
      <c r="BB64" s="319"/>
      <c r="BC64" s="319"/>
      <c r="BD64" s="319">
        <v>-5822.96</v>
      </c>
      <c r="BE64" s="30">
        <v>434.44</v>
      </c>
      <c r="BF64" s="319">
        <v>6551.41</v>
      </c>
      <c r="BG64" s="319"/>
      <c r="BH64" s="319"/>
      <c r="BI64" s="319"/>
      <c r="BJ64" s="319"/>
      <c r="BK64" s="319"/>
      <c r="BL64" s="319">
        <v>887.87</v>
      </c>
      <c r="BM64" s="319"/>
      <c r="BN64" s="319">
        <v>-13942.87</v>
      </c>
      <c r="BO64" s="319"/>
      <c r="BP64" s="319"/>
      <c r="BQ64" s="319"/>
      <c r="BR64" s="319"/>
      <c r="BS64" s="319"/>
      <c r="BT64" s="319"/>
      <c r="BU64" s="319"/>
      <c r="BV64" s="319"/>
      <c r="BW64" s="319"/>
      <c r="BX64" s="319"/>
      <c r="BY64" s="319"/>
      <c r="BZ64" s="319"/>
      <c r="CA64" s="319"/>
      <c r="CB64" s="319"/>
      <c r="CC64" s="319"/>
      <c r="CD64" s="29" t="s">
        <v>233</v>
      </c>
      <c r="CE64" s="32">
        <f t="shared" si="4"/>
        <v>212032.49000000002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>
        <v>3308.81</v>
      </c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/>
      <c r="X65" s="30"/>
      <c r="Y65" s="30"/>
      <c r="Z65" s="30"/>
      <c r="AA65" s="30"/>
      <c r="AB65" s="320">
        <v>0</v>
      </c>
      <c r="AC65" s="30"/>
      <c r="AD65" s="30"/>
      <c r="AE65" s="30"/>
      <c r="AF65" s="30">
        <v>13202.17</v>
      </c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/>
      <c r="BC65" s="319"/>
      <c r="BD65" s="319"/>
      <c r="BE65" s="30">
        <v>82756.990000000005</v>
      </c>
      <c r="BF65" s="319">
        <v>770.72</v>
      </c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100038.69</v>
      </c>
    </row>
    <row r="66" spans="1:83" x14ac:dyDescent="0.35">
      <c r="A66" s="39" t="s">
        <v>252</v>
      </c>
      <c r="B66" s="20"/>
      <c r="C66" s="24"/>
      <c r="D66" s="24"/>
      <c r="E66" s="24"/>
      <c r="F66" s="24"/>
      <c r="G66" s="24"/>
      <c r="H66" s="24">
        <v>311649.09999999998</v>
      </c>
      <c r="I66" s="24"/>
      <c r="J66" s="24"/>
      <c r="K66" s="24"/>
      <c r="L66" s="24"/>
      <c r="M66" s="24"/>
      <c r="N66" s="24"/>
      <c r="O66" s="24"/>
      <c r="P66" s="30"/>
      <c r="Q66" s="30"/>
      <c r="R66" s="30"/>
      <c r="S66" s="319"/>
      <c r="T66" s="319"/>
      <c r="U66" s="31">
        <v>66029.490000000005</v>
      </c>
      <c r="V66" s="30"/>
      <c r="W66" s="30"/>
      <c r="X66" s="30"/>
      <c r="Y66" s="30"/>
      <c r="Z66" s="30"/>
      <c r="AA66" s="30"/>
      <c r="AB66" s="320">
        <v>-1345.19</v>
      </c>
      <c r="AC66" s="30"/>
      <c r="AD66" s="30"/>
      <c r="AE66" s="30"/>
      <c r="AF66" s="30">
        <v>49293.55</v>
      </c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9"/>
      <c r="AW66" s="319"/>
      <c r="AX66" s="319"/>
      <c r="AY66" s="30">
        <v>208378.31</v>
      </c>
      <c r="AZ66" s="30"/>
      <c r="BA66" s="319"/>
      <c r="BB66" s="319"/>
      <c r="BC66" s="319"/>
      <c r="BD66" s="319"/>
      <c r="BE66" s="30">
        <v>15385.72</v>
      </c>
      <c r="BF66" s="319">
        <v>184437.7</v>
      </c>
      <c r="BG66" s="319"/>
      <c r="BH66" s="319"/>
      <c r="BI66" s="319">
        <v>426241.01</v>
      </c>
      <c r="BJ66" s="319"/>
      <c r="BK66" s="319"/>
      <c r="BL66" s="319"/>
      <c r="BM66" s="319">
        <v>963421.26</v>
      </c>
      <c r="BN66" s="319">
        <v>27097.35</v>
      </c>
      <c r="BO66" s="319"/>
      <c r="BP66" s="319"/>
      <c r="BQ66" s="319"/>
      <c r="BR66" s="319"/>
      <c r="BS66" s="319"/>
      <c r="BT66" s="319"/>
      <c r="BU66" s="319"/>
      <c r="BV66" s="319"/>
      <c r="BW66" s="319"/>
      <c r="BX66" s="319"/>
      <c r="BY66" s="319"/>
      <c r="BZ66" s="319"/>
      <c r="CA66" s="319"/>
      <c r="CB66" s="319"/>
      <c r="CC66" s="319"/>
      <c r="CD66" s="29" t="s">
        <v>233</v>
      </c>
      <c r="CE66" s="32">
        <f t="shared" si="4"/>
        <v>2250588.3000000003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10227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0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0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5172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935</v>
      </c>
      <c r="AZ67" s="32">
        <f t="shared" si="7"/>
        <v>0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4699</v>
      </c>
      <c r="BF67" s="32">
        <f t="shared" si="7"/>
        <v>0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4156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378</v>
      </c>
      <c r="BW67" s="32">
        <f t="shared" si="8"/>
        <v>0</v>
      </c>
      <c r="BX67" s="32">
        <f t="shared" si="8"/>
        <v>0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25567</v>
      </c>
    </row>
    <row r="68" spans="1:83" x14ac:dyDescent="0.35">
      <c r="A68" s="39" t="s">
        <v>253</v>
      </c>
      <c r="B68" s="32"/>
      <c r="C68" s="24"/>
      <c r="D68" s="24"/>
      <c r="E68" s="24"/>
      <c r="F68" s="24"/>
      <c r="G68" s="24"/>
      <c r="H68" s="24">
        <v>10300</v>
      </c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9"/>
      <c r="T68" s="319"/>
      <c r="U68" s="31"/>
      <c r="V68" s="30"/>
      <c r="W68" s="30"/>
      <c r="X68" s="30"/>
      <c r="Y68" s="30"/>
      <c r="Z68" s="30"/>
      <c r="AA68" s="30"/>
      <c r="AB68" s="320"/>
      <c r="AC68" s="30"/>
      <c r="AD68" s="30"/>
      <c r="AE68" s="30"/>
      <c r="AF68" s="30">
        <v>78909.63</v>
      </c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9"/>
      <c r="AW68" s="319"/>
      <c r="AX68" s="319"/>
      <c r="AY68" s="30"/>
      <c r="AZ68" s="30"/>
      <c r="BA68" s="319"/>
      <c r="BB68" s="319"/>
      <c r="BC68" s="319"/>
      <c r="BD68" s="319"/>
      <c r="BE68" s="30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29" t="s">
        <v>233</v>
      </c>
      <c r="CE68" s="32">
        <f t="shared" si="4"/>
        <v>89209.63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 t="shared" si="9"/>
        <v>433251.24000000005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2548.59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154008.35999999999</v>
      </c>
      <c r="AG69" s="32">
        <f t="shared" si="9"/>
        <v>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418.91</v>
      </c>
      <c r="AV69" s="32">
        <f t="shared" si="9"/>
        <v>117937</v>
      </c>
      <c r="AW69" s="32">
        <f t="shared" si="9"/>
        <v>0</v>
      </c>
      <c r="AX69" s="32">
        <f t="shared" si="9"/>
        <v>0</v>
      </c>
      <c r="AY69" s="32">
        <f t="shared" si="9"/>
        <v>5845.89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516.83000000000004</v>
      </c>
      <c r="BE69" s="32">
        <f t="shared" si="9"/>
        <v>38902.980000000003</v>
      </c>
      <c r="BF69" s="32">
        <f t="shared" si="9"/>
        <v>49.81</v>
      </c>
      <c r="BG69" s="32">
        <f t="shared" si="9"/>
        <v>0</v>
      </c>
      <c r="BH69" s="32">
        <f t="shared" si="9"/>
        <v>653191.93000000005</v>
      </c>
      <c r="BI69" s="32">
        <f t="shared" si="9"/>
        <v>8068</v>
      </c>
      <c r="BJ69" s="32">
        <f t="shared" si="9"/>
        <v>89255</v>
      </c>
      <c r="BK69" s="32">
        <f t="shared" si="9"/>
        <v>0</v>
      </c>
      <c r="BL69" s="32">
        <f t="shared" si="9"/>
        <v>12.41</v>
      </c>
      <c r="BM69" s="32">
        <f t="shared" si="9"/>
        <v>0</v>
      </c>
      <c r="BN69" s="32">
        <f t="shared" si="9"/>
        <v>1933203.78</v>
      </c>
      <c r="BO69" s="32">
        <f t="shared" ref="BO69:CD69" si="10">SUM(BO70:BO83)</f>
        <v>0</v>
      </c>
      <c r="BP69" s="32">
        <f t="shared" si="10"/>
        <v>50886.36</v>
      </c>
      <c r="BQ69" s="32">
        <f t="shared" si="10"/>
        <v>0</v>
      </c>
      <c r="BR69" s="32">
        <f t="shared" si="10"/>
        <v>170172</v>
      </c>
      <c r="BS69" s="32">
        <f t="shared" si="10"/>
        <v>0</v>
      </c>
      <c r="BT69" s="32">
        <f t="shared" si="10"/>
        <v>21430</v>
      </c>
      <c r="BU69" s="32">
        <f t="shared" si="10"/>
        <v>0</v>
      </c>
      <c r="BV69" s="32">
        <f t="shared" si="10"/>
        <v>116446</v>
      </c>
      <c r="BW69" s="32">
        <f t="shared" si="10"/>
        <v>20376</v>
      </c>
      <c r="BX69" s="32">
        <f t="shared" si="10"/>
        <v>0</v>
      </c>
      <c r="BY69" s="32">
        <f t="shared" si="10"/>
        <v>888</v>
      </c>
      <c r="BZ69" s="32">
        <f t="shared" si="10"/>
        <v>0</v>
      </c>
      <c r="CA69" s="32">
        <f t="shared" si="10"/>
        <v>43602.879999999997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3861011.9699999997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/>
      <c r="F83" s="30"/>
      <c r="G83" s="24"/>
      <c r="H83" s="24">
        <f>372627.46+25565.38+35058.4</f>
        <v>433251.24000000005</v>
      </c>
      <c r="I83" s="30"/>
      <c r="J83" s="30"/>
      <c r="K83" s="30"/>
      <c r="L83" s="30"/>
      <c r="M83" s="24"/>
      <c r="N83" s="24"/>
      <c r="O83" s="24"/>
      <c r="P83" s="30"/>
      <c r="Q83" s="30"/>
      <c r="R83" s="31"/>
      <c r="S83" s="30"/>
      <c r="T83" s="24"/>
      <c r="U83" s="30"/>
      <c r="V83" s="30"/>
      <c r="W83" s="24"/>
      <c r="X83" s="30"/>
      <c r="Y83" s="30"/>
      <c r="Z83" s="30"/>
      <c r="AA83" s="30"/>
      <c r="AB83" s="30">
        <v>2548.59</v>
      </c>
      <c r="AC83" s="30"/>
      <c r="AD83" s="30"/>
      <c r="AE83" s="30"/>
      <c r="AF83" s="30">
        <f>11781.28+142227.08</f>
        <v>154008.35999999999</v>
      </c>
      <c r="AG83" s="30"/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>
        <v>418.91</v>
      </c>
      <c r="AV83" s="30">
        <v>117937</v>
      </c>
      <c r="AW83" s="30"/>
      <c r="AX83" s="30"/>
      <c r="AY83" s="30">
        <v>5845.89</v>
      </c>
      <c r="AZ83" s="30"/>
      <c r="BA83" s="30"/>
      <c r="BB83" s="30"/>
      <c r="BC83" s="30"/>
      <c r="BD83" s="30">
        <v>516.83000000000004</v>
      </c>
      <c r="BE83" s="30">
        <v>38902.980000000003</v>
      </c>
      <c r="BF83" s="30">
        <v>49.81</v>
      </c>
      <c r="BG83" s="30"/>
      <c r="BH83" s="31">
        <f>807.93+652384</f>
        <v>653191.93000000005</v>
      </c>
      <c r="BI83" s="30">
        <v>8068</v>
      </c>
      <c r="BJ83" s="30">
        <v>89255</v>
      </c>
      <c r="BK83" s="30"/>
      <c r="BL83" s="30">
        <v>12.41</v>
      </c>
      <c r="BM83" s="30"/>
      <c r="BN83" s="30">
        <f>14468.85+890.66+808863.48+761287.77+347693.02</f>
        <v>1933203.78</v>
      </c>
      <c r="BO83" s="30"/>
      <c r="BP83" s="30">
        <v>50886.36</v>
      </c>
      <c r="BQ83" s="30"/>
      <c r="BR83" s="30">
        <v>170172</v>
      </c>
      <c r="BS83" s="30"/>
      <c r="BT83" s="30">
        <v>21430</v>
      </c>
      <c r="BU83" s="30"/>
      <c r="BV83" s="30">
        <v>116446</v>
      </c>
      <c r="BW83" s="30">
        <v>20376</v>
      </c>
      <c r="BX83" s="30"/>
      <c r="BY83" s="30">
        <v>888</v>
      </c>
      <c r="BZ83" s="30"/>
      <c r="CA83" s="30">
        <v>43602.879999999997</v>
      </c>
      <c r="CB83" s="30"/>
      <c r="CC83" s="30"/>
      <c r="CD83" s="35"/>
      <c r="CE83" s="32">
        <f t="shared" si="11"/>
        <v>3861011.9699999997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0</v>
      </c>
      <c r="F85" s="32">
        <f t="shared" si="12"/>
        <v>0</v>
      </c>
      <c r="G85" s="32">
        <f t="shared" si="12"/>
        <v>0</v>
      </c>
      <c r="H85" s="32">
        <f t="shared" si="12"/>
        <v>3951974.4600000004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0</v>
      </c>
      <c r="U85" s="32">
        <f t="shared" si="12"/>
        <v>66545.77</v>
      </c>
      <c r="V85" s="32">
        <f t="shared" si="12"/>
        <v>0</v>
      </c>
      <c r="W85" s="32">
        <f t="shared" si="12"/>
        <v>0</v>
      </c>
      <c r="X85" s="32">
        <f t="shared" si="12"/>
        <v>0</v>
      </c>
      <c r="Y85" s="32">
        <f t="shared" si="12"/>
        <v>0</v>
      </c>
      <c r="Z85" s="32">
        <f t="shared" si="12"/>
        <v>0</v>
      </c>
      <c r="AA85" s="32">
        <f t="shared" si="12"/>
        <v>0</v>
      </c>
      <c r="AB85" s="32">
        <f t="shared" si="12"/>
        <v>271264.55000000005</v>
      </c>
      <c r="AC85" s="32">
        <f t="shared" si="12"/>
        <v>0</v>
      </c>
      <c r="AD85" s="32">
        <f t="shared" si="12"/>
        <v>0</v>
      </c>
      <c r="AE85" s="32">
        <f t="shared" si="12"/>
        <v>0</v>
      </c>
      <c r="AF85" s="32">
        <f t="shared" si="12"/>
        <v>7289830.1899999995</v>
      </c>
      <c r="AG85" s="32">
        <f t="shared" si="12"/>
        <v>0</v>
      </c>
      <c r="AH85" s="32">
        <f t="shared" si="12"/>
        <v>0</v>
      </c>
      <c r="AI85" s="32">
        <f t="shared" si="12"/>
        <v>0</v>
      </c>
      <c r="AJ85" s="32">
        <f t="shared" si="12"/>
        <v>0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16043.2</v>
      </c>
      <c r="AV85" s="32">
        <f t="shared" si="12"/>
        <v>235978.2</v>
      </c>
      <c r="AW85" s="32">
        <f t="shared" si="12"/>
        <v>0</v>
      </c>
      <c r="AX85" s="32">
        <f t="shared" si="12"/>
        <v>0</v>
      </c>
      <c r="AY85" s="32">
        <f t="shared" si="12"/>
        <v>302495.35999999999</v>
      </c>
      <c r="AZ85" s="32">
        <f t="shared" si="12"/>
        <v>0</v>
      </c>
      <c r="BA85" s="32">
        <f t="shared" si="12"/>
        <v>0</v>
      </c>
      <c r="BB85" s="32">
        <f t="shared" si="12"/>
        <v>0</v>
      </c>
      <c r="BC85" s="32">
        <f t="shared" si="12"/>
        <v>0</v>
      </c>
      <c r="BD85" s="32">
        <f t="shared" si="12"/>
        <v>-5306.13</v>
      </c>
      <c r="BE85" s="32">
        <f t="shared" si="12"/>
        <v>203995.02000000002</v>
      </c>
      <c r="BF85" s="32">
        <f t="shared" si="12"/>
        <v>191809.64</v>
      </c>
      <c r="BG85" s="32">
        <f t="shared" si="12"/>
        <v>0</v>
      </c>
      <c r="BH85" s="32">
        <f t="shared" si="12"/>
        <v>768184.62000000011</v>
      </c>
      <c r="BI85" s="32">
        <f t="shared" si="12"/>
        <v>434309.01</v>
      </c>
      <c r="BJ85" s="32">
        <f t="shared" si="12"/>
        <v>89621.43</v>
      </c>
      <c r="BK85" s="32">
        <f t="shared" si="12"/>
        <v>0</v>
      </c>
      <c r="BL85" s="32">
        <f t="shared" si="12"/>
        <v>900.28</v>
      </c>
      <c r="BM85" s="32">
        <f t="shared" si="12"/>
        <v>963421.26</v>
      </c>
      <c r="BN85" s="32">
        <f t="shared" si="12"/>
        <v>2037704.3800000001</v>
      </c>
      <c r="BO85" s="32">
        <f t="shared" si="12"/>
        <v>0</v>
      </c>
      <c r="BP85" s="32">
        <f t="shared" ref="BP85:CD85" si="13">SUM(BP61:BP69)-BP84</f>
        <v>50886.36</v>
      </c>
      <c r="BQ85" s="32">
        <f t="shared" si="13"/>
        <v>0</v>
      </c>
      <c r="BR85" s="32">
        <f t="shared" si="13"/>
        <v>170172</v>
      </c>
      <c r="BS85" s="32">
        <f t="shared" si="13"/>
        <v>0</v>
      </c>
      <c r="BT85" s="32">
        <f t="shared" si="13"/>
        <v>21430</v>
      </c>
      <c r="BU85" s="32">
        <f t="shared" si="13"/>
        <v>0</v>
      </c>
      <c r="BV85" s="32">
        <f t="shared" si="13"/>
        <v>181150.9</v>
      </c>
      <c r="BW85" s="32">
        <f t="shared" si="13"/>
        <v>20376</v>
      </c>
      <c r="BX85" s="32">
        <f t="shared" si="13"/>
        <v>0</v>
      </c>
      <c r="BY85" s="32">
        <f t="shared" si="13"/>
        <v>271314.07999999996</v>
      </c>
      <c r="BZ85" s="32">
        <f t="shared" si="13"/>
        <v>0</v>
      </c>
      <c r="CA85" s="32">
        <f t="shared" si="13"/>
        <v>43602.879999999997</v>
      </c>
      <c r="CB85" s="32">
        <f t="shared" si="13"/>
        <v>0</v>
      </c>
      <c r="CC85" s="32">
        <f t="shared" si="13"/>
        <v>0</v>
      </c>
      <c r="CD85" s="32">
        <f t="shared" si="13"/>
        <v>0</v>
      </c>
      <c r="CE85" s="32">
        <f t="shared" si="11"/>
        <v>17577703.45999999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/>
    </row>
    <row r="87" spans="1:84" x14ac:dyDescent="0.35">
      <c r="A87" s="26" t="s">
        <v>272</v>
      </c>
      <c r="B87" s="20"/>
      <c r="C87" s="24"/>
      <c r="D87" s="24"/>
      <c r="E87" s="24"/>
      <c r="F87" s="24"/>
      <c r="G87" s="24"/>
      <c r="H87" s="24">
        <v>12603299.630000001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v>313295.62</v>
      </c>
      <c r="V87" s="24"/>
      <c r="W87" s="24"/>
      <c r="X87" s="24"/>
      <c r="Y87" s="24"/>
      <c r="Z87" s="24"/>
      <c r="AA87" s="24"/>
      <c r="AB87" s="24">
        <v>433541.89</v>
      </c>
      <c r="AC87" s="24"/>
      <c r="AD87" s="24"/>
      <c r="AE87" s="24"/>
      <c r="AF87" s="24">
        <v>237.95</v>
      </c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13350375.09</v>
      </c>
    </row>
    <row r="88" spans="1:84" x14ac:dyDescent="0.35">
      <c r="A88" s="26" t="s">
        <v>273</v>
      </c>
      <c r="B88" s="20"/>
      <c r="C88" s="24"/>
      <c r="D88" s="24"/>
      <c r="E88" s="24"/>
      <c r="F88" s="24"/>
      <c r="G88" s="24"/>
      <c r="H88" s="24">
        <v>1164114.1200000001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>
        <v>16837.349999999999</v>
      </c>
      <c r="V88" s="24"/>
      <c r="W88" s="24"/>
      <c r="X88" s="24"/>
      <c r="Y88" s="24"/>
      <c r="Z88" s="24"/>
      <c r="AA88" s="24"/>
      <c r="AB88" s="24">
        <v>151331</v>
      </c>
      <c r="AC88" s="24"/>
      <c r="AD88" s="24"/>
      <c r="AE88" s="24"/>
      <c r="AF88" s="24">
        <v>19334578.329999998</v>
      </c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>
        <v>227980.04</v>
      </c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20894840.839999996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0</v>
      </c>
      <c r="F89" s="32">
        <f t="shared" si="15"/>
        <v>0</v>
      </c>
      <c r="G89" s="32">
        <f t="shared" si="15"/>
        <v>0</v>
      </c>
      <c r="H89" s="32">
        <f t="shared" si="15"/>
        <v>13767413.75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0</v>
      </c>
      <c r="Q89" s="32">
        <f t="shared" si="15"/>
        <v>0</v>
      </c>
      <c r="R89" s="32">
        <f t="shared" si="15"/>
        <v>0</v>
      </c>
      <c r="S89" s="32">
        <f t="shared" si="15"/>
        <v>0</v>
      </c>
      <c r="T89" s="32">
        <f t="shared" si="15"/>
        <v>0</v>
      </c>
      <c r="U89" s="32">
        <f t="shared" si="15"/>
        <v>330132.96999999997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0</v>
      </c>
      <c r="Z89" s="32">
        <f t="shared" si="15"/>
        <v>0</v>
      </c>
      <c r="AA89" s="32">
        <f t="shared" si="15"/>
        <v>0</v>
      </c>
      <c r="AB89" s="32">
        <f t="shared" si="15"/>
        <v>584872.89</v>
      </c>
      <c r="AC89" s="32">
        <f t="shared" si="15"/>
        <v>0</v>
      </c>
      <c r="AD89" s="32">
        <f t="shared" si="15"/>
        <v>0</v>
      </c>
      <c r="AE89" s="32">
        <f t="shared" si="15"/>
        <v>0</v>
      </c>
      <c r="AF89" s="32">
        <f t="shared" si="15"/>
        <v>19334816.279999997</v>
      </c>
      <c r="AG89" s="32">
        <f t="shared" si="15"/>
        <v>0</v>
      </c>
      <c r="AH89" s="32">
        <f t="shared" si="15"/>
        <v>0</v>
      </c>
      <c r="AI89" s="32">
        <f t="shared" si="15"/>
        <v>0</v>
      </c>
      <c r="AJ89" s="32">
        <f t="shared" si="15"/>
        <v>0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227980.04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34245215.93</v>
      </c>
    </row>
    <row r="90" spans="1:84" x14ac:dyDescent="0.35">
      <c r="A90" s="39" t="s">
        <v>275</v>
      </c>
      <c r="B90" s="32"/>
      <c r="C90" s="24"/>
      <c r="D90" s="24"/>
      <c r="E90" s="24"/>
      <c r="F90" s="24"/>
      <c r="G90" s="24"/>
      <c r="H90" s="24">
        <v>19508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>
        <v>9866</v>
      </c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>
        <v>1784</v>
      </c>
      <c r="AZ90" s="24"/>
      <c r="BA90" s="24"/>
      <c r="BB90" s="24"/>
      <c r="BC90" s="24"/>
      <c r="BD90" s="24"/>
      <c r="BE90" s="24">
        <v>8963</v>
      </c>
      <c r="BF90" s="24"/>
      <c r="BG90" s="24"/>
      <c r="BH90" s="24"/>
      <c r="BI90" s="24"/>
      <c r="BJ90" s="24"/>
      <c r="BK90" s="24"/>
      <c r="BL90" s="24"/>
      <c r="BM90" s="24"/>
      <c r="BN90" s="24">
        <v>7928</v>
      </c>
      <c r="BO90" s="24"/>
      <c r="BP90" s="24"/>
      <c r="BQ90" s="24"/>
      <c r="BR90" s="24"/>
      <c r="BS90" s="24"/>
      <c r="BT90" s="24"/>
      <c r="BU90" s="24"/>
      <c r="BV90" s="24">
        <v>721</v>
      </c>
      <c r="BW90" s="24"/>
      <c r="BX90" s="24"/>
      <c r="BY90" s="24"/>
      <c r="BZ90" s="24"/>
      <c r="CA90" s="24"/>
      <c r="CB90" s="24"/>
      <c r="CC90" s="24"/>
      <c r="CD90" s="264" t="s">
        <v>233</v>
      </c>
      <c r="CE90" s="32">
        <f t="shared" si="14"/>
        <v>48770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0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/>
      <c r="D94" s="315"/>
      <c r="E94" s="315"/>
      <c r="F94" s="315"/>
      <c r="G94" s="315"/>
      <c r="H94" s="315">
        <v>25.4</v>
      </c>
      <c r="I94" s="315"/>
      <c r="J94" s="315"/>
      <c r="K94" s="315"/>
      <c r="L94" s="315"/>
      <c r="M94" s="315"/>
      <c r="N94" s="315"/>
      <c r="O94" s="315"/>
      <c r="P94" s="316"/>
      <c r="Q94" s="316"/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25.4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1363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>
        <v>915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1364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4" t="s">
        <v>1373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1365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1366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99352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1367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1377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1368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/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1369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1370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/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7" t="s">
        <v>1378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216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216" t="s">
        <v>1371</v>
      </c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238</v>
      </c>
      <c r="D127" s="50">
        <v>3515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20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20</v>
      </c>
    </row>
    <row r="144" spans="1:5" x14ac:dyDescent="0.35">
      <c r="A144" s="20" t="s">
        <v>325</v>
      </c>
      <c r="B144" s="46" t="s">
        <v>284</v>
      </c>
      <c r="C144" s="47">
        <v>32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52</v>
      </c>
      <c r="C154" s="50">
        <v>1</v>
      </c>
      <c r="D154" s="50">
        <v>185</v>
      </c>
      <c r="E154" s="32">
        <f>SUM(B154:D154)</f>
        <v>238</v>
      </c>
    </row>
    <row r="155" spans="1:6" x14ac:dyDescent="0.35">
      <c r="A155" s="20" t="s">
        <v>227</v>
      </c>
      <c r="B155" s="50">
        <v>954</v>
      </c>
      <c r="C155" s="50">
        <v>7</v>
      </c>
      <c r="D155" s="50">
        <v>2554</v>
      </c>
      <c r="E155" s="32">
        <f>SUM(B155:D155)</f>
        <v>3515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>
        <v>3380680.48</v>
      </c>
      <c r="C157" s="50">
        <v>19190.34</v>
      </c>
      <c r="D157" s="50">
        <v>9950504.2699999977</v>
      </c>
      <c r="E157" s="32">
        <f>SUM(B157:D157)</f>
        <v>13350375.089999998</v>
      </c>
      <c r="F157" s="18"/>
    </row>
    <row r="158" spans="1:6" x14ac:dyDescent="0.35">
      <c r="A158" s="20" t="s">
        <v>273</v>
      </c>
      <c r="B158" s="50">
        <v>1970797.25</v>
      </c>
      <c r="C158" s="50">
        <v>1077336.3400000001</v>
      </c>
      <c r="D158" s="50">
        <v>17846707.25</v>
      </c>
      <c r="E158" s="32">
        <f>SUM(B158:D158)</f>
        <v>20894840.84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511744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56124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140727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1118270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-39586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204445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9861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2001585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89209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/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89209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14468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/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14468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761288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761288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/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58459.64</v>
      </c>
      <c r="C211" s="47"/>
      <c r="D211" s="50"/>
      <c r="E211" s="32">
        <f t="shared" ref="E211:E219" si="16">SUM(B211:C211)-D211</f>
        <v>58459.64</v>
      </c>
    </row>
    <row r="212" spans="1:5" x14ac:dyDescent="0.35">
      <c r="A212" s="20" t="s">
        <v>367</v>
      </c>
      <c r="B212" s="50"/>
      <c r="C212" s="47"/>
      <c r="D212" s="50"/>
      <c r="E212" s="32">
        <f t="shared" si="16"/>
        <v>0</v>
      </c>
    </row>
    <row r="213" spans="1:5" x14ac:dyDescent="0.35">
      <c r="A213" s="20" t="s">
        <v>368</v>
      </c>
      <c r="B213" s="50">
        <v>165438.17000000001</v>
      </c>
      <c r="C213" s="47">
        <v>52891.459999999992</v>
      </c>
      <c r="D213" s="50"/>
      <c r="E213" s="32">
        <f t="shared" si="16"/>
        <v>218329.63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93082.16</v>
      </c>
      <c r="C216" s="47"/>
      <c r="D216" s="50"/>
      <c r="E216" s="32">
        <f t="shared" si="16"/>
        <v>93082.16</v>
      </c>
    </row>
    <row r="217" spans="1:5" x14ac:dyDescent="0.35">
      <c r="A217" s="20" t="s">
        <v>372</v>
      </c>
      <c r="B217" s="50">
        <v>11478.4</v>
      </c>
      <c r="C217" s="47"/>
      <c r="D217" s="50"/>
      <c r="E217" s="32">
        <f t="shared" si="16"/>
        <v>11478.4</v>
      </c>
    </row>
    <row r="218" spans="1:5" x14ac:dyDescent="0.35">
      <c r="A218" s="20" t="s">
        <v>373</v>
      </c>
      <c r="B218" s="50">
        <v>12000</v>
      </c>
      <c r="C218" s="47"/>
      <c r="D218" s="50"/>
      <c r="E218" s="32">
        <f t="shared" si="16"/>
        <v>12000</v>
      </c>
    </row>
    <row r="219" spans="1:5" x14ac:dyDescent="0.35">
      <c r="A219" s="20" t="s">
        <v>374</v>
      </c>
      <c r="B219" s="50"/>
      <c r="C219" s="47"/>
      <c r="D219" s="50"/>
      <c r="E219" s="32">
        <f t="shared" si="16"/>
        <v>0</v>
      </c>
    </row>
    <row r="220" spans="1:5" x14ac:dyDescent="0.35">
      <c r="A220" s="20" t="s">
        <v>215</v>
      </c>
      <c r="B220" s="32">
        <f>SUM(B211:B219)</f>
        <v>340458.37</v>
      </c>
      <c r="C220" s="266">
        <f>SUM(C211:C219)</f>
        <v>52891.459999999992</v>
      </c>
      <c r="D220" s="32">
        <f>SUM(D211:D219)</f>
        <v>0</v>
      </c>
      <c r="E220" s="32">
        <f>SUM(E211:E219)</f>
        <v>393349.83000000007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595.80999999999995</v>
      </c>
      <c r="C225" s="47">
        <v>178.74</v>
      </c>
      <c r="D225" s="50"/>
      <c r="E225" s="32">
        <f t="shared" ref="E225:E232" si="17">SUM(B225:C225)-D225</f>
        <v>774.55</v>
      </c>
    </row>
    <row r="226" spans="1:5" x14ac:dyDescent="0.35">
      <c r="A226" s="20" t="s">
        <v>368</v>
      </c>
      <c r="B226" s="50">
        <v>66721.850000000006</v>
      </c>
      <c r="C226" s="47">
        <v>16694.37999999999</v>
      </c>
      <c r="D226" s="50"/>
      <c r="E226" s="32">
        <f t="shared" si="17"/>
        <v>83416.23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5" x14ac:dyDescent="0.35">
      <c r="A229" s="20" t="s">
        <v>371</v>
      </c>
      <c r="B229" s="50">
        <v>2818.76</v>
      </c>
      <c r="C229" s="47">
        <v>7195.33</v>
      </c>
      <c r="D229" s="50"/>
      <c r="E229" s="32">
        <f t="shared" si="17"/>
        <v>10014.09</v>
      </c>
    </row>
    <row r="230" spans="1:5" x14ac:dyDescent="0.35">
      <c r="A230" s="20" t="s">
        <v>372</v>
      </c>
      <c r="B230" s="50">
        <v>9125.06</v>
      </c>
      <c r="C230" s="47">
        <v>1119.58</v>
      </c>
      <c r="D230" s="50"/>
      <c r="E230" s="32">
        <f t="shared" si="17"/>
        <v>10244.64</v>
      </c>
    </row>
    <row r="231" spans="1:5" x14ac:dyDescent="0.35">
      <c r="A231" s="20" t="s">
        <v>373</v>
      </c>
      <c r="B231" s="50">
        <v>10194.58</v>
      </c>
      <c r="C231" s="47">
        <v>380.30999999999949</v>
      </c>
      <c r="D231" s="50"/>
      <c r="E231" s="32">
        <f t="shared" si="17"/>
        <v>10574.89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89456.06</v>
      </c>
      <c r="C233" s="266">
        <f>SUM(C224:C232)</f>
        <v>25568.339999999989</v>
      </c>
      <c r="D233" s="32">
        <f>SUM(D224:D232)</f>
        <v>0</v>
      </c>
      <c r="E233" s="32">
        <f>SUM(E224:E232)</f>
        <v>115024.4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6" t="s">
        <v>377</v>
      </c>
      <c r="C236" s="346"/>
      <c r="D236" s="38"/>
      <c r="E236" s="38"/>
    </row>
    <row r="237" spans="1:5" x14ac:dyDescent="0.35">
      <c r="A237" s="56" t="s">
        <v>377</v>
      </c>
      <c r="B237" s="38"/>
      <c r="C237" s="47">
        <v>2314129</v>
      </c>
      <c r="D237" s="40">
        <f>C237</f>
        <v>2314129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2224051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652782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/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21010052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-44149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23842736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-23058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60184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37126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26193991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254152.7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4539089.3900000043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2436227.83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-15000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790380.05999999994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27920.55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4377.59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3164692.4600000046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216">
        <v>58459.64</v>
      </c>
      <c r="D283" s="20"/>
      <c r="E283" s="20"/>
    </row>
    <row r="284" spans="1:5" x14ac:dyDescent="0.35">
      <c r="A284" s="20" t="s">
        <v>367</v>
      </c>
      <c r="B284" s="46" t="s">
        <v>284</v>
      </c>
      <c r="C284" s="216"/>
      <c r="D284" s="20"/>
      <c r="E284" s="20"/>
    </row>
    <row r="285" spans="1:5" x14ac:dyDescent="0.35">
      <c r="A285" s="20" t="s">
        <v>368</v>
      </c>
      <c r="B285" s="46" t="s">
        <v>284</v>
      </c>
      <c r="C285" s="216">
        <v>230330.64</v>
      </c>
      <c r="D285" s="20"/>
      <c r="E285" s="20"/>
    </row>
    <row r="286" spans="1:5" x14ac:dyDescent="0.35">
      <c r="A286" s="20" t="s">
        <v>412</v>
      </c>
      <c r="B286" s="46" t="s">
        <v>284</v>
      </c>
      <c r="C286" s="216"/>
      <c r="D286" s="20"/>
      <c r="E286" s="20"/>
    </row>
    <row r="287" spans="1:5" x14ac:dyDescent="0.35">
      <c r="A287" s="20" t="s">
        <v>413</v>
      </c>
      <c r="B287" s="46" t="s">
        <v>284</v>
      </c>
      <c r="C287" s="216"/>
      <c r="D287" s="20"/>
      <c r="E287" s="20"/>
    </row>
    <row r="288" spans="1:5" x14ac:dyDescent="0.35">
      <c r="A288" s="20" t="s">
        <v>414</v>
      </c>
      <c r="B288" s="46" t="s">
        <v>284</v>
      </c>
      <c r="C288" s="216">
        <v>104560.56</v>
      </c>
      <c r="D288" s="20"/>
      <c r="E288" s="20"/>
    </row>
    <row r="289" spans="1:5" x14ac:dyDescent="0.35">
      <c r="A289" s="20" t="s">
        <v>373</v>
      </c>
      <c r="B289" s="46" t="s">
        <v>284</v>
      </c>
      <c r="C289" s="216"/>
      <c r="D289" s="20"/>
      <c r="E289" s="20"/>
    </row>
    <row r="290" spans="1:5" x14ac:dyDescent="0.35">
      <c r="A290" s="20" t="s">
        <v>374</v>
      </c>
      <c r="B290" s="46" t="s">
        <v>284</v>
      </c>
      <c r="C290" s="216">
        <v>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393350.84</v>
      </c>
      <c r="E291" s="20"/>
    </row>
    <row r="292" spans="1:5" x14ac:dyDescent="0.35">
      <c r="A292" s="20" t="s">
        <v>416</v>
      </c>
      <c r="B292" s="46" t="s">
        <v>284</v>
      </c>
      <c r="C292" s="216">
        <v>115024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278326.84000000003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216"/>
      <c r="D295" s="20"/>
      <c r="E295" s="20"/>
    </row>
    <row r="296" spans="1:5" x14ac:dyDescent="0.35">
      <c r="A296" s="20" t="s">
        <v>420</v>
      </c>
      <c r="B296" s="46" t="s">
        <v>284</v>
      </c>
      <c r="C296" s="216"/>
      <c r="D296" s="20"/>
      <c r="E296" s="20"/>
    </row>
    <row r="297" spans="1:5" x14ac:dyDescent="0.35">
      <c r="A297" s="20" t="s">
        <v>421</v>
      </c>
      <c r="B297" s="46" t="s">
        <v>284</v>
      </c>
      <c r="C297" s="216"/>
      <c r="D297" s="20"/>
      <c r="E297" s="20"/>
    </row>
    <row r="298" spans="1:5" x14ac:dyDescent="0.35">
      <c r="A298" s="20" t="s">
        <v>409</v>
      </c>
      <c r="B298" s="46" t="s">
        <v>284</v>
      </c>
      <c r="C298" s="216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3443019.3000000045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610671.42000000004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437690.77999999991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40019.569999999992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526743.53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1615125.3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>
        <v>-12398814</v>
      </c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42124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-12356690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-12356690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/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v>9278621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-1462943.6999999993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3443019.3000000045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13350375.089999998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20894840.840000004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34245215.93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2314128.63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23842734.84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37125.29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26193988.759999998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8051227.1700000018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14432443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14432443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14432443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22483670.170000002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7776891.8299999963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2001585.05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1260780.55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212032.49000000002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100038.69000000002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2250588.2999999998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25568.339999999997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89209.63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14468.849999999999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761287.77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/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1819908+372627+83856+808863</f>
        <v>3085254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3085254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17577705.499999996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4905964.6700000055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4905964.6700000055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4905964.6700000055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39807</v>
      </c>
      <c r="E612" s="258">
        <f>SUM(C624:D647)+SUM(C668:D713)</f>
        <v>15358863.447696887</v>
      </c>
      <c r="F612" s="258">
        <f>CE64-(AX64+BD64+BE64+BG64+BJ64+BN64+BP64+BQ64+CB64+CC64+CD64)</f>
        <v>231363.88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106.18000000000004</v>
      </c>
      <c r="I612" s="256">
        <f>CE92-(AX92+AY92+AZ92+BD92+BE92+BF92+BG92+BJ92+BN92+BO92+BP92+BQ92+BR92+CB92+CC92+CD92)</f>
        <v>0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34245215.93</v>
      </c>
      <c r="L612" s="262">
        <f>CE94-(AW94+AX94+AY94+AZ94+BA94+BB94+BC94+BD94+BE94+BF94+BG94+BH94+BI94+BJ94+BK94+BL94+BM94+BN94+BO94+BP94+BQ94+BR94+BS94+BT94+BU94+BV94+BW94+BX94+BY94+BZ94+CA94+CB94+CC94+CD94)</f>
        <v>25.4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203995.02000000002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203995.02000000002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89621.43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2037704.3800000001</v>
      </c>
      <c r="D619" s="256">
        <f>(D615/D612)*BN90</f>
        <v>40627.84230311252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0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50886.36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2218840.0123031125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-5306.13</v>
      </c>
      <c r="D624" s="256">
        <f>(D615/D612)*BD90</f>
        <v>0</v>
      </c>
      <c r="E624" s="258">
        <f>(E623/E612)*SUM(C624:D624)</f>
        <v>-766.55760333928765</v>
      </c>
      <c r="F624" s="258">
        <f>SUM(C624:E624)</f>
        <v>-6072.6876033392873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302495.35999999999</v>
      </c>
      <c r="D625" s="256">
        <f>(D615/D612)*AY90</f>
        <v>9142.28943854096</v>
      </c>
      <c r="E625" s="258">
        <f>(E623/E612)*SUM(C625:D625)</f>
        <v>45021.175444984765</v>
      </c>
      <c r="F625" s="258">
        <f>(F624/F612)*AY64</f>
        <v>-2292.3423317211682</v>
      </c>
      <c r="G625" s="256">
        <f>SUM(C625:F625)</f>
        <v>354366.48255180451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170172</v>
      </c>
      <c r="D626" s="256">
        <f>(D615/D612)*BR90</f>
        <v>0</v>
      </c>
      <c r="E626" s="258">
        <f>(E623/E612)*SUM(C626:D626)</f>
        <v>24584.139566021422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191809.64</v>
      </c>
      <c r="D629" s="256">
        <f>(D615/D612)*BF90</f>
        <v>0</v>
      </c>
      <c r="E629" s="258">
        <f>(E623/E612)*SUM(C629:D629)</f>
        <v>27710.051946667641</v>
      </c>
      <c r="F629" s="258">
        <f>(F624/F612)*BF64</f>
        <v>-171.95711919852417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434309.01</v>
      </c>
      <c r="D634" s="256">
        <f>(D615/D612)*BI90</f>
        <v>0</v>
      </c>
      <c r="E634" s="258">
        <f>(E623/E612)*SUM(C634:D634)</f>
        <v>62743.067699860105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768184.62000000011</v>
      </c>
      <c r="D636" s="256">
        <f>(D615/D612)*BH90</f>
        <v>0</v>
      </c>
      <c r="E636" s="258">
        <f>(E623/E612)*SUM(C636:D636)</f>
        <v>110976.88168765212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900.28</v>
      </c>
      <c r="D637" s="256">
        <f>(D615/D612)*BL90</f>
        <v>0</v>
      </c>
      <c r="E637" s="258">
        <f>(E623/E612)*SUM(C637:D637)</f>
        <v>130.06022828959973</v>
      </c>
      <c r="F637" s="258">
        <f>(F624/F612)*BL64</f>
        <v>-23.304230298942311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963421.26</v>
      </c>
      <c r="D638" s="256">
        <f>(D615/D612)*BM90</f>
        <v>0</v>
      </c>
      <c r="E638" s="258">
        <f>(E623/E612)*SUM(C638:D638)</f>
        <v>139182.02005448731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21430</v>
      </c>
      <c r="D640" s="256">
        <f>(D615/D612)*BT90</f>
        <v>0</v>
      </c>
      <c r="E640" s="258">
        <f>(E623/E612)*SUM(C640:D640)</f>
        <v>3095.9153732684526</v>
      </c>
      <c r="F640" s="258">
        <f>(F624/F612)*BT64</f>
        <v>0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181150.9</v>
      </c>
      <c r="D642" s="256">
        <f>(D615/D612)*BV90</f>
        <v>3694.8378280201973</v>
      </c>
      <c r="E642" s="258">
        <f>(E623/E612)*SUM(C642:D642)</f>
        <v>26704.001933033953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20376</v>
      </c>
      <c r="D643" s="256">
        <f>(D615/D612)*BW90</f>
        <v>0</v>
      </c>
      <c r="E643" s="258">
        <f>(E623/E612)*SUM(C643:D643)</f>
        <v>2943.6477669490428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271314.07999999996</v>
      </c>
      <c r="D645" s="256">
        <f>(D615/D612)*BY90</f>
        <v>0</v>
      </c>
      <c r="E645" s="258">
        <f>(E623/E612)*SUM(C645:D645)</f>
        <v>39195.773740372686</v>
      </c>
      <c r="F645" s="258">
        <f>(F624/F612)*BY64</f>
        <v>0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43602.879999999997</v>
      </c>
      <c r="D647" s="256">
        <f>(D615/D612)*CA90</f>
        <v>0</v>
      </c>
      <c r="E647" s="258">
        <f>(E623/E612)*SUM(C647:D647)</f>
        <v>6299.1519603723536</v>
      </c>
      <c r="F647" s="258">
        <f>(F624/F612)*CA64</f>
        <v>0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5746067.0900000008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18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8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0</v>
      </c>
      <c r="D670" s="256">
        <f>(D615/D612)*E90</f>
        <v>0</v>
      </c>
      <c r="E670" s="258">
        <f>(E623/E612)*SUM(C670:D670)</f>
        <v>0</v>
      </c>
      <c r="F670" s="258">
        <f>(F624/F612)*E64</f>
        <v>0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8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8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8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3951974.4600000004</v>
      </c>
      <c r="D673" s="256">
        <f>(D615/D612)*H90</f>
        <v>99970.730026377278</v>
      </c>
      <c r="E673" s="258">
        <f>(E623/E612)*SUM(C673:D673)</f>
        <v>585370.01425309491</v>
      </c>
      <c r="F673" s="258">
        <f>(F624/F612)*H64</f>
        <v>-445.55393263721663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8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8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8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8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8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8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8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8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0</v>
      </c>
      <c r="D681" s="256">
        <f>(D615/D612)*P90</f>
        <v>0</v>
      </c>
      <c r="E681" s="258">
        <f>(E623/E612)*SUM(C681:D681)</f>
        <v>0</v>
      </c>
      <c r="F681" s="258">
        <f>(F624/F612)*P64</f>
        <v>0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8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8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8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0</v>
      </c>
      <c r="D684" s="256">
        <f>(D615/D612)*S90</f>
        <v>0</v>
      </c>
      <c r="E684" s="258">
        <f>(E623/E612)*SUM(C684:D684)</f>
        <v>0</v>
      </c>
      <c r="F684" s="258">
        <f>(F624/F612)*S64</f>
        <v>0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8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8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66545.77</v>
      </c>
      <c r="D686" s="256">
        <f>(D615/D612)*U90</f>
        <v>0</v>
      </c>
      <c r="E686" s="258">
        <f>(E623/E612)*SUM(C686:D686)</f>
        <v>9613.6291352770222</v>
      </c>
      <c r="F686" s="258">
        <f>(F624/F612)*U64</f>
        <v>-13.550979331138496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8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8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8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8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0</v>
      </c>
      <c r="D690" s="256">
        <f>(D615/D612)*Y90</f>
        <v>0</v>
      </c>
      <c r="E690" s="258">
        <f>(E623/E612)*SUM(C690:D690)</f>
        <v>0</v>
      </c>
      <c r="F690" s="258">
        <f>(F624/F612)*Y64</f>
        <v>0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8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8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8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271264.55000000005</v>
      </c>
      <c r="D693" s="256">
        <f>(D615/D612)*AB90</f>
        <v>0</v>
      </c>
      <c r="E693" s="258">
        <f>(E623/E612)*SUM(C693:D693)</f>
        <v>39188.618318607041</v>
      </c>
      <c r="F693" s="258">
        <f>(F624/F612)*AB64</f>
        <v>-2037.6470189133984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8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0</v>
      </c>
      <c r="D694" s="256">
        <f>(D615/D612)*AC90</f>
        <v>0</v>
      </c>
      <c r="E694" s="258">
        <f>(E623/E612)*SUM(C694:D694)</f>
        <v>0</v>
      </c>
      <c r="F694" s="258">
        <f>(F624/F612)*AC64</f>
        <v>0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8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8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0</v>
      </c>
      <c r="D696" s="256">
        <f>(D615/D612)*AE90</f>
        <v>0</v>
      </c>
      <c r="E696" s="258">
        <f>(E623/E612)*SUM(C696:D696)</f>
        <v>0</v>
      </c>
      <c r="F696" s="258">
        <f>(F624/F612)*AE64</f>
        <v>0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8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7289830.1899999995</v>
      </c>
      <c r="D697" s="256">
        <f>(D615/D612)*AF90</f>
        <v>50559.320403949052</v>
      </c>
      <c r="E697" s="258">
        <f>(E623/E612)*SUM(C697:D697)</f>
        <v>1060439.791462346</v>
      </c>
      <c r="F697" s="258">
        <f>(F624/F612)*AF64</f>
        <v>-1088.3319912388993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8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0</v>
      </c>
      <c r="D698" s="256">
        <f>(D615/D612)*AG90</f>
        <v>0</v>
      </c>
      <c r="E698" s="258">
        <f>(E623/E612)*SUM(C698:D698)</f>
        <v>0</v>
      </c>
      <c r="F698" s="258">
        <f>(F624/F612)*AG64</f>
        <v>0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8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8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8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0</v>
      </c>
      <c r="D701" s="256">
        <f>(D615/D612)*AJ90</f>
        <v>0</v>
      </c>
      <c r="E701" s="258">
        <f>(E623/E612)*SUM(C701:D701)</f>
        <v>0</v>
      </c>
      <c r="F701" s="258">
        <f>(F624/F612)*AJ64</f>
        <v>0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8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8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8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8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8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8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8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8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8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8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8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16043.2</v>
      </c>
      <c r="D712" s="256">
        <f>(D615/D612)*AU90</f>
        <v>0</v>
      </c>
      <c r="E712" s="258">
        <f>(E623/E612)*SUM(C712:D712)</f>
        <v>2317.7036638553636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8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235978.2</v>
      </c>
      <c r="D713" s="256">
        <f>(D615/D612)*AV90</f>
        <v>0</v>
      </c>
      <c r="E713" s="258">
        <f>(E623/E612)*SUM(C713:D713)</f>
        <v>34090.925671312063</v>
      </c>
      <c r="F713" s="258">
        <f>(F624/F612)*AV64</f>
        <v>0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8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17577703.459999997</v>
      </c>
      <c r="D715" s="231">
        <f>SUM(D616:D647)+SUM(D668:D713)</f>
        <v>203995.02</v>
      </c>
      <c r="E715" s="231">
        <f>SUM(E624:E647)+SUM(E668:E713)</f>
        <v>2218840.0123031125</v>
      </c>
      <c r="F715" s="231">
        <f>SUM(F625:F648)+SUM(F668:F713)</f>
        <v>-6072.6876033392873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17577703.45999999</v>
      </c>
      <c r="D716" s="231">
        <f>D615</f>
        <v>203995.02000000002</v>
      </c>
      <c r="E716" s="231">
        <f>E623</f>
        <v>2218840.0123031125</v>
      </c>
      <c r="F716" s="231">
        <f>F624</f>
        <v>-6072.6876033392873</v>
      </c>
      <c r="G716" s="231">
        <f>G625</f>
        <v>354366.48255180451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5746067.0900000008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CBCE8780-ED87-4FD0-AC00-2DE95B7647ED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Lourdes Counseling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254152.7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4539089.3900000043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2436227.83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-15000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790380.05999999994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27920.55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4377.59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3164692.4600000046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58459.64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0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230330.64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104560.56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115024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278326.84000000003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3443019.3000000045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Lourdes Counseling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610671.42000000004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437690.77999999991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40019.569999999992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526743.53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1615125.3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-12398814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42124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-12356690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-12356690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9278621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9278621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3443019.3000000045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Lourdes Counseling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13350375.089999998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20894840.840000004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34245215.93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2314128.63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23842734.84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37125.29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26193988.759999998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8051227.1700000018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14432443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14432443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22483670.170000002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7776891.8299999963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2001585.05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1260780.55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212032.49000000002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100038.69000000002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2250588.2999999998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25568.339999999997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89209.63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14468.849999999999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761287.77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3085254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17577705.499999996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4905964.6700000055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4905964.6700000055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4905964.6700000055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Lourdes Counseling Center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0</v>
      </c>
      <c r="F9" s="287">
        <f>data!F59</f>
        <v>0</v>
      </c>
      <c r="G9" s="287">
        <f>data!G59</f>
        <v>0</v>
      </c>
      <c r="H9" s="287">
        <f>data!H59</f>
        <v>3515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0</v>
      </c>
      <c r="F10" s="294">
        <f>data!F60</f>
        <v>0</v>
      </c>
      <c r="G10" s="294">
        <f>data!G60</f>
        <v>0</v>
      </c>
      <c r="H10" s="294">
        <f>data!H60</f>
        <v>34.07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0</v>
      </c>
      <c r="F11" s="287">
        <f>data!F61</f>
        <v>0</v>
      </c>
      <c r="G11" s="287">
        <f>data!G61</f>
        <v>0</v>
      </c>
      <c r="H11" s="287">
        <f>data!H61</f>
        <v>2314840.58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0</v>
      </c>
      <c r="F12" s="287">
        <f>data!F62</f>
        <v>0</v>
      </c>
      <c r="G12" s="287">
        <f>data!G62</f>
        <v>0</v>
      </c>
      <c r="H12" s="287">
        <f>data!H62</f>
        <v>595784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255638.53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0</v>
      </c>
      <c r="F14" s="287">
        <f>data!F64</f>
        <v>0</v>
      </c>
      <c r="G14" s="287">
        <f>data!G64</f>
        <v>0</v>
      </c>
      <c r="H14" s="287">
        <f>data!H64</f>
        <v>16975.2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3308.81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0</v>
      </c>
      <c r="F16" s="287">
        <f>data!F66</f>
        <v>0</v>
      </c>
      <c r="G16" s="287">
        <f>data!G66</f>
        <v>0</v>
      </c>
      <c r="H16" s="287">
        <f>data!H66</f>
        <v>311649.09999999998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0</v>
      </c>
      <c r="F17" s="287">
        <f>data!F67</f>
        <v>0</v>
      </c>
      <c r="G17" s="287">
        <f>data!G67</f>
        <v>0</v>
      </c>
      <c r="H17" s="287">
        <f>data!H67</f>
        <v>10227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10300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0</v>
      </c>
      <c r="F19" s="287">
        <f>data!F69</f>
        <v>0</v>
      </c>
      <c r="G19" s="287">
        <f>data!G69</f>
        <v>0</v>
      </c>
      <c r="H19" s="287">
        <f>data!H69</f>
        <v>433251.24000000005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0</v>
      </c>
      <c r="D21" s="287">
        <f>data!D85</f>
        <v>0</v>
      </c>
      <c r="E21" s="287">
        <f>data!E85</f>
        <v>0</v>
      </c>
      <c r="F21" s="287">
        <f>data!F85</f>
        <v>0</v>
      </c>
      <c r="G21" s="287">
        <f>data!G85</f>
        <v>0</v>
      </c>
      <c r="H21" s="287">
        <f>data!H85</f>
        <v>3951974.4600000004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0</v>
      </c>
      <c r="F24" s="287">
        <f>data!F87</f>
        <v>0</v>
      </c>
      <c r="G24" s="287">
        <f>data!G87</f>
        <v>0</v>
      </c>
      <c r="H24" s="287">
        <f>data!H87</f>
        <v>12603299.630000001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0</v>
      </c>
      <c r="F25" s="287">
        <f>data!F88</f>
        <v>0</v>
      </c>
      <c r="G25" s="287">
        <f>data!G88</f>
        <v>0</v>
      </c>
      <c r="H25" s="287">
        <f>data!H88</f>
        <v>1164114.1200000001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0</v>
      </c>
      <c r="F26" s="287">
        <f>data!F89</f>
        <v>0</v>
      </c>
      <c r="G26" s="287">
        <f>data!G89</f>
        <v>0</v>
      </c>
      <c r="H26" s="287">
        <f>data!H89</f>
        <v>13767413.75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0</v>
      </c>
      <c r="F28" s="287">
        <f>data!F90</f>
        <v>0</v>
      </c>
      <c r="G28" s="287">
        <f>data!G90</f>
        <v>0</v>
      </c>
      <c r="H28" s="287">
        <f>data!H90</f>
        <v>19508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0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0</v>
      </c>
      <c r="F32" s="294">
        <f>data!F94</f>
        <v>0</v>
      </c>
      <c r="G32" s="294">
        <f>data!G94</f>
        <v>0</v>
      </c>
      <c r="H32" s="294">
        <f>data!H94</f>
        <v>25.4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Lourdes Counseling Center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0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0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0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0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0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0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0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0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0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0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0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0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Lourdes Counseling Center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0</v>
      </c>
      <c r="F74" s="294">
        <f>data!T60</f>
        <v>0</v>
      </c>
      <c r="G74" s="294">
        <f>data!U60</f>
        <v>0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0</v>
      </c>
      <c r="E75" s="287">
        <f>data!S61</f>
        <v>0</v>
      </c>
      <c r="F75" s="287">
        <f>data!T61</f>
        <v>0</v>
      </c>
      <c r="G75" s="287">
        <f>data!U61</f>
        <v>0</v>
      </c>
      <c r="H75" s="287">
        <f>data!V61</f>
        <v>0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0</v>
      </c>
      <c r="F76" s="287">
        <f>data!T62</f>
        <v>0</v>
      </c>
      <c r="G76" s="287">
        <f>data!U62</f>
        <v>0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0</v>
      </c>
      <c r="E78" s="287">
        <f>data!S64</f>
        <v>0</v>
      </c>
      <c r="F78" s="287">
        <f>data!T64</f>
        <v>0</v>
      </c>
      <c r="G78" s="287">
        <f>data!U64</f>
        <v>516.28</v>
      </c>
      <c r="H78" s="287">
        <f>data!V64</f>
        <v>0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0</v>
      </c>
      <c r="F80" s="287">
        <f>data!T66</f>
        <v>0</v>
      </c>
      <c r="G80" s="287">
        <f>data!U66</f>
        <v>66029.490000000005</v>
      </c>
      <c r="H80" s="287">
        <f>data!V66</f>
        <v>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0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0</v>
      </c>
      <c r="E83" s="287">
        <f>data!S69</f>
        <v>0</v>
      </c>
      <c r="F83" s="287">
        <f>data!T69</f>
        <v>0</v>
      </c>
      <c r="G83" s="287">
        <f>data!U69</f>
        <v>0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0</v>
      </c>
      <c r="E85" s="287">
        <f>data!S85</f>
        <v>0</v>
      </c>
      <c r="F85" s="287">
        <f>data!T85</f>
        <v>0</v>
      </c>
      <c r="G85" s="287">
        <f>data!U85</f>
        <v>66545.77</v>
      </c>
      <c r="H85" s="287">
        <f>data!V85</f>
        <v>0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0</v>
      </c>
      <c r="E88" s="287">
        <f>data!S87</f>
        <v>0</v>
      </c>
      <c r="F88" s="287">
        <f>data!T87</f>
        <v>0</v>
      </c>
      <c r="G88" s="287">
        <f>data!U87</f>
        <v>313295.62</v>
      </c>
      <c r="H88" s="287">
        <f>data!V87</f>
        <v>0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0</v>
      </c>
      <c r="E89" s="287">
        <f>data!S88</f>
        <v>0</v>
      </c>
      <c r="F89" s="287">
        <f>data!T88</f>
        <v>0</v>
      </c>
      <c r="G89" s="287">
        <f>data!U88</f>
        <v>16837.349999999999</v>
      </c>
      <c r="H89" s="287">
        <f>data!V88</f>
        <v>0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0</v>
      </c>
      <c r="E90" s="287">
        <f>data!S89</f>
        <v>0</v>
      </c>
      <c r="F90" s="287">
        <f>data!T89</f>
        <v>0</v>
      </c>
      <c r="G90" s="287">
        <f>data!U89</f>
        <v>330132.96999999997</v>
      </c>
      <c r="H90" s="287">
        <f>data!V89</f>
        <v>0</v>
      </c>
      <c r="I90" s="287">
        <f>data!W89</f>
        <v>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0</v>
      </c>
      <c r="E92" s="287">
        <f>data!S90</f>
        <v>0</v>
      </c>
      <c r="F92" s="287">
        <f>data!T90</f>
        <v>0</v>
      </c>
      <c r="G92" s="287">
        <f>data!U90</f>
        <v>0</v>
      </c>
      <c r="H92" s="287">
        <f>data!V90</f>
        <v>0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Lourdes Counseling Center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0</v>
      </c>
      <c r="E106" s="294">
        <f>data!Z60</f>
        <v>0</v>
      </c>
      <c r="F106" s="294">
        <f>data!AA60</f>
        <v>0</v>
      </c>
      <c r="G106" s="294">
        <f>data!AB60</f>
        <v>1.28</v>
      </c>
      <c r="H106" s="294">
        <f>data!AC60</f>
        <v>0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0</v>
      </c>
      <c r="E107" s="287">
        <f>data!Z61</f>
        <v>0</v>
      </c>
      <c r="F107" s="287">
        <f>data!AA61</f>
        <v>0</v>
      </c>
      <c r="G107" s="287">
        <f>data!AB61</f>
        <v>153039.65</v>
      </c>
      <c r="H107" s="287">
        <f>data!AC61</f>
        <v>0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0</v>
      </c>
      <c r="E108" s="287">
        <f>data!Z62</f>
        <v>0</v>
      </c>
      <c r="F108" s="287">
        <f>data!AA62</f>
        <v>0</v>
      </c>
      <c r="G108" s="287">
        <f>data!AB62</f>
        <v>39389</v>
      </c>
      <c r="H108" s="287">
        <f>data!AC62</f>
        <v>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0</v>
      </c>
      <c r="E110" s="287">
        <f>data!Z64</f>
        <v>0</v>
      </c>
      <c r="F110" s="287">
        <f>data!AA64</f>
        <v>0</v>
      </c>
      <c r="G110" s="287">
        <f>data!AB64</f>
        <v>77632.5</v>
      </c>
      <c r="H110" s="287">
        <f>data!AC64</f>
        <v>0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0</v>
      </c>
      <c r="E112" s="287">
        <f>data!Z66</f>
        <v>0</v>
      </c>
      <c r="F112" s="287">
        <f>data!AA66</f>
        <v>0</v>
      </c>
      <c r="G112" s="287">
        <f>data!AB66</f>
        <v>-1345.19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0</v>
      </c>
      <c r="E113" s="287">
        <f>data!Z67</f>
        <v>0</v>
      </c>
      <c r="F113" s="287">
        <f>data!AA67</f>
        <v>0</v>
      </c>
      <c r="G113" s="287">
        <f>data!AB67</f>
        <v>0</v>
      </c>
      <c r="H113" s="287">
        <f>data!AC67</f>
        <v>0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0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0</v>
      </c>
      <c r="E115" s="287">
        <f>data!Z69</f>
        <v>0</v>
      </c>
      <c r="F115" s="287">
        <f>data!AA69</f>
        <v>0</v>
      </c>
      <c r="G115" s="287">
        <f>data!AB69</f>
        <v>2548.59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0</v>
      </c>
      <c r="D117" s="287">
        <f>data!Y85</f>
        <v>0</v>
      </c>
      <c r="E117" s="287">
        <f>data!Z85</f>
        <v>0</v>
      </c>
      <c r="F117" s="287">
        <f>data!AA85</f>
        <v>0</v>
      </c>
      <c r="G117" s="287">
        <f>data!AB85</f>
        <v>271264.55000000005</v>
      </c>
      <c r="H117" s="287">
        <f>data!AC85</f>
        <v>0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0</v>
      </c>
      <c r="D120" s="287">
        <f>data!Y87</f>
        <v>0</v>
      </c>
      <c r="E120" s="287">
        <f>data!Z87</f>
        <v>0</v>
      </c>
      <c r="F120" s="287">
        <f>data!AA87</f>
        <v>0</v>
      </c>
      <c r="G120" s="287">
        <f>data!AB87</f>
        <v>433541.89</v>
      </c>
      <c r="H120" s="287">
        <f>data!AC87</f>
        <v>0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0</v>
      </c>
      <c r="D121" s="287">
        <f>data!Y88</f>
        <v>0</v>
      </c>
      <c r="E121" s="287">
        <f>data!Z88</f>
        <v>0</v>
      </c>
      <c r="F121" s="287">
        <f>data!AA88</f>
        <v>0</v>
      </c>
      <c r="G121" s="287">
        <f>data!AB88</f>
        <v>151331</v>
      </c>
      <c r="H121" s="287">
        <f>data!AC88</f>
        <v>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0</v>
      </c>
      <c r="D122" s="287">
        <f>data!Y89</f>
        <v>0</v>
      </c>
      <c r="E122" s="287">
        <f>data!Z89</f>
        <v>0</v>
      </c>
      <c r="F122" s="287">
        <f>data!AA89</f>
        <v>0</v>
      </c>
      <c r="G122" s="287">
        <f>data!AB89</f>
        <v>584872.89</v>
      </c>
      <c r="H122" s="287">
        <f>data!AC89</f>
        <v>0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0</v>
      </c>
      <c r="E124" s="287">
        <f>data!Z90</f>
        <v>0</v>
      </c>
      <c r="F124" s="287">
        <f>data!AA90</f>
        <v>0</v>
      </c>
      <c r="G124" s="287">
        <f>data!AB90</f>
        <v>0</v>
      </c>
      <c r="H124" s="287">
        <f>data!AC90</f>
        <v>0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0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Lourdes Counseling Center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0</v>
      </c>
      <c r="D138" s="294">
        <f>data!AF60</f>
        <v>63.61</v>
      </c>
      <c r="E138" s="294">
        <f>data!AG60</f>
        <v>0</v>
      </c>
      <c r="F138" s="294">
        <f>data!AH60</f>
        <v>0</v>
      </c>
      <c r="G138" s="294">
        <f>data!AI60</f>
        <v>0</v>
      </c>
      <c r="H138" s="294">
        <f>data!AJ60</f>
        <v>0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0</v>
      </c>
      <c r="D139" s="287">
        <f>data!AF61</f>
        <v>4726222</v>
      </c>
      <c r="E139" s="287">
        <f>data!AG61</f>
        <v>0</v>
      </c>
      <c r="F139" s="287">
        <f>data!AH61</f>
        <v>0</v>
      </c>
      <c r="G139" s="287">
        <f>data!AI61</f>
        <v>0</v>
      </c>
      <c r="H139" s="287">
        <f>data!AJ61</f>
        <v>0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0</v>
      </c>
      <c r="D140" s="287">
        <f>data!AF62</f>
        <v>1216416</v>
      </c>
      <c r="E140" s="287">
        <f>data!AG62</f>
        <v>0</v>
      </c>
      <c r="F140" s="287">
        <f>data!AH62</f>
        <v>0</v>
      </c>
      <c r="G140" s="287">
        <f>data!AI62</f>
        <v>0</v>
      </c>
      <c r="H140" s="287">
        <f>data!AJ62</f>
        <v>0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1005142.02</v>
      </c>
      <c r="E141" s="287">
        <f>data!AG63</f>
        <v>0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0</v>
      </c>
      <c r="D142" s="287">
        <f>data!AF64</f>
        <v>41464.46</v>
      </c>
      <c r="E142" s="287">
        <f>data!AG64</f>
        <v>0</v>
      </c>
      <c r="F142" s="287">
        <f>data!AH64</f>
        <v>0</v>
      </c>
      <c r="G142" s="287">
        <f>data!AI64</f>
        <v>0</v>
      </c>
      <c r="H142" s="287">
        <f>data!AJ64</f>
        <v>0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13202.17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0</v>
      </c>
      <c r="D144" s="287">
        <f>data!AF66</f>
        <v>49293.55</v>
      </c>
      <c r="E144" s="287">
        <f>data!AG66</f>
        <v>0</v>
      </c>
      <c r="F144" s="287">
        <f>data!AH66</f>
        <v>0</v>
      </c>
      <c r="G144" s="287">
        <f>data!AI66</f>
        <v>0</v>
      </c>
      <c r="H144" s="287">
        <f>data!AJ66</f>
        <v>0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0</v>
      </c>
      <c r="D145" s="287">
        <f>data!AF67</f>
        <v>5172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78909.63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0</v>
      </c>
      <c r="D147" s="287">
        <f>data!AF69</f>
        <v>154008.35999999999</v>
      </c>
      <c r="E147" s="287">
        <f>data!AG69</f>
        <v>0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0</v>
      </c>
      <c r="D149" s="287">
        <f>data!AF85</f>
        <v>7289830.1899999995</v>
      </c>
      <c r="E149" s="287">
        <f>data!AG85</f>
        <v>0</v>
      </c>
      <c r="F149" s="287">
        <f>data!AH85</f>
        <v>0</v>
      </c>
      <c r="G149" s="287">
        <f>data!AI85</f>
        <v>0</v>
      </c>
      <c r="H149" s="287">
        <f>data!AJ85</f>
        <v>0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0</v>
      </c>
      <c r="D152" s="287">
        <f>data!AF87</f>
        <v>237.95</v>
      </c>
      <c r="E152" s="287">
        <f>data!AG87</f>
        <v>0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0</v>
      </c>
      <c r="D153" s="287">
        <f>data!AF88</f>
        <v>19334578.329999998</v>
      </c>
      <c r="E153" s="287">
        <f>data!AG88</f>
        <v>0</v>
      </c>
      <c r="F153" s="287">
        <f>data!AH88</f>
        <v>0</v>
      </c>
      <c r="G153" s="287">
        <f>data!AI88</f>
        <v>0</v>
      </c>
      <c r="H153" s="287">
        <f>data!AJ88</f>
        <v>0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0</v>
      </c>
      <c r="D154" s="287">
        <f>data!AF89</f>
        <v>19334816.279999997</v>
      </c>
      <c r="E154" s="287">
        <f>data!AG89</f>
        <v>0</v>
      </c>
      <c r="F154" s="287">
        <f>data!AH89</f>
        <v>0</v>
      </c>
      <c r="G154" s="287">
        <f>data!AI89</f>
        <v>0</v>
      </c>
      <c r="H154" s="287">
        <f>data!AJ89</f>
        <v>0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0</v>
      </c>
      <c r="D156" s="287">
        <f>data!AF90</f>
        <v>9866</v>
      </c>
      <c r="E156" s="287">
        <f>data!AG90</f>
        <v>0</v>
      </c>
      <c r="F156" s="287">
        <f>data!AH90</f>
        <v>0</v>
      </c>
      <c r="G156" s="287">
        <f>data!AI90</f>
        <v>0</v>
      </c>
      <c r="H156" s="287">
        <f>data!AJ90</f>
        <v>0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0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0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Lourdes Counseling Center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Lourdes Counseling Center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0.26</v>
      </c>
      <c r="F202" s="294">
        <f>data!AV60</f>
        <v>0.87</v>
      </c>
      <c r="G202" s="294">
        <f>data!AW60</f>
        <v>0</v>
      </c>
      <c r="H202" s="294">
        <f>data!AX60</f>
        <v>0</v>
      </c>
      <c r="I202" s="294">
        <f>data!AY60</f>
        <v>0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12426.29</v>
      </c>
      <c r="F203" s="287">
        <f>data!AV61</f>
        <v>93879.2</v>
      </c>
      <c r="G203" s="287">
        <f>data!AW61</f>
        <v>0</v>
      </c>
      <c r="H203" s="287">
        <f>data!AX61</f>
        <v>0</v>
      </c>
      <c r="I203" s="287">
        <f>data!AY61</f>
        <v>0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3198</v>
      </c>
      <c r="F204" s="287">
        <f>data!AV62</f>
        <v>24162</v>
      </c>
      <c r="G204" s="287">
        <f>data!AW62</f>
        <v>0</v>
      </c>
      <c r="H204" s="287">
        <f>data!AX62</f>
        <v>0</v>
      </c>
      <c r="I204" s="287">
        <f>data!AY62</f>
        <v>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87336.16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208378.31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935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418.91</v>
      </c>
      <c r="F211" s="287">
        <f>data!AV69</f>
        <v>117937</v>
      </c>
      <c r="G211" s="287">
        <f>data!AW69</f>
        <v>0</v>
      </c>
      <c r="H211" s="287">
        <f>data!AX69</f>
        <v>0</v>
      </c>
      <c r="I211" s="287">
        <f>data!AY69</f>
        <v>5845.89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16043.2</v>
      </c>
      <c r="F213" s="287">
        <f>data!AV85</f>
        <v>235978.2</v>
      </c>
      <c r="G213" s="287">
        <f>data!AW85</f>
        <v>0</v>
      </c>
      <c r="H213" s="287">
        <f>data!AX85</f>
        <v>0</v>
      </c>
      <c r="I213" s="287">
        <f>data!AY85</f>
        <v>302495.35999999999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227980.04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227980.04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1784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Lourdes Counseling Center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48770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0.79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49162.89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12653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-5822.96</v>
      </c>
      <c r="H238" s="287">
        <f>data!BE64</f>
        <v>434.44</v>
      </c>
      <c r="I238" s="287">
        <f>data!BF64</f>
        <v>6551.41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82756.990000000005</v>
      </c>
      <c r="I239" s="287">
        <f>data!BF65</f>
        <v>770.72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15385.72</v>
      </c>
      <c r="I240" s="287">
        <f>data!BF66</f>
        <v>184437.7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4699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516.83000000000004</v>
      </c>
      <c r="H243" s="287">
        <f>data!BE69</f>
        <v>38902.980000000003</v>
      </c>
      <c r="I243" s="287">
        <f>data!BF69</f>
        <v>49.81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0</v>
      </c>
      <c r="E245" s="287">
        <f>data!BB85</f>
        <v>0</v>
      </c>
      <c r="F245" s="287">
        <f>data!BC85</f>
        <v>0</v>
      </c>
      <c r="G245" s="287">
        <f>data!BD85</f>
        <v>-5306.13</v>
      </c>
      <c r="H245" s="287">
        <f>data!BE85</f>
        <v>203995.02000000002</v>
      </c>
      <c r="I245" s="287">
        <f>data!BF85</f>
        <v>191809.64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8963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Lourdes Counseling Center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2.23</v>
      </c>
      <c r="E266" s="294">
        <f>data!BI60</f>
        <v>0</v>
      </c>
      <c r="F266" s="294">
        <f>data!BJ60</f>
        <v>0.04</v>
      </c>
      <c r="G266" s="294">
        <f>data!BK60</f>
        <v>0</v>
      </c>
      <c r="H266" s="294">
        <f>data!BL60</f>
        <v>0.01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91454.69</v>
      </c>
      <c r="E267" s="287">
        <f>data!BI61</f>
        <v>0</v>
      </c>
      <c r="F267" s="287">
        <f>data!BJ61</f>
        <v>291.43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23538</v>
      </c>
      <c r="E268" s="287">
        <f>data!BI62</f>
        <v>0</v>
      </c>
      <c r="F268" s="287">
        <f>data!BJ62</f>
        <v>75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887.87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426241.01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963421.26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653191.93000000005</v>
      </c>
      <c r="E275" s="287">
        <f>data!BI69</f>
        <v>8068</v>
      </c>
      <c r="F275" s="287">
        <f>data!BJ69</f>
        <v>89255</v>
      </c>
      <c r="G275" s="287">
        <f>data!BK69</f>
        <v>0</v>
      </c>
      <c r="H275" s="287">
        <f>data!BL69</f>
        <v>12.41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768184.62000000011</v>
      </c>
      <c r="E277" s="287">
        <f>data!BI85</f>
        <v>434309.01</v>
      </c>
      <c r="F277" s="287">
        <f>data!BJ85</f>
        <v>89621.43</v>
      </c>
      <c r="G277" s="287">
        <f>data!BK85</f>
        <v>0</v>
      </c>
      <c r="H277" s="287">
        <f>data!BL85</f>
        <v>900.28</v>
      </c>
      <c r="I277" s="287">
        <f>data!BM85</f>
        <v>963421.26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Lourdes Counseling Center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0.4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69343.12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17847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-13942.87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27097.35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4156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0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1933203.78</v>
      </c>
      <c r="D307" s="287">
        <f>data!BO69</f>
        <v>0</v>
      </c>
      <c r="E307" s="287">
        <f>data!BP69</f>
        <v>50886.36</v>
      </c>
      <c r="F307" s="287">
        <f>data!BQ69</f>
        <v>0</v>
      </c>
      <c r="G307" s="287">
        <f>data!BR69</f>
        <v>170172</v>
      </c>
      <c r="H307" s="287">
        <f>data!BS69</f>
        <v>0</v>
      </c>
      <c r="I307" s="287">
        <f>data!BT69</f>
        <v>21430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2037704.3800000001</v>
      </c>
      <c r="D309" s="287">
        <f>data!BO85</f>
        <v>0</v>
      </c>
      <c r="E309" s="287">
        <f>data!BP85</f>
        <v>50886.36</v>
      </c>
      <c r="F309" s="287">
        <f>data!BQ85</f>
        <v>0</v>
      </c>
      <c r="G309" s="287">
        <f>data!BR85</f>
        <v>170172</v>
      </c>
      <c r="H309" s="287">
        <f>data!BS85</f>
        <v>0</v>
      </c>
      <c r="I309" s="287">
        <f>data!BT85</f>
        <v>21430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7928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Lourdes Counseling Center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1.63</v>
      </c>
      <c r="E330" s="294">
        <f>data!BW60</f>
        <v>0</v>
      </c>
      <c r="F330" s="294">
        <f>data!BX60</f>
        <v>0</v>
      </c>
      <c r="G330" s="294">
        <f>data!BY60</f>
        <v>2.2200000000000002</v>
      </c>
      <c r="H330" s="294">
        <f>data!BZ60</f>
        <v>0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51159.9</v>
      </c>
      <c r="E331" s="306">
        <f>data!BW61</f>
        <v>0</v>
      </c>
      <c r="F331" s="306">
        <f>data!BX61</f>
        <v>0</v>
      </c>
      <c r="G331" s="306">
        <f>data!BY61</f>
        <v>215072.08</v>
      </c>
      <c r="H331" s="306">
        <f>data!BZ61</f>
        <v>0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13167</v>
      </c>
      <c r="E332" s="306">
        <f>data!BW62</f>
        <v>0</v>
      </c>
      <c r="F332" s="306">
        <f>data!BX62</f>
        <v>0</v>
      </c>
      <c r="G332" s="306">
        <f>data!BY62</f>
        <v>55354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0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378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116446</v>
      </c>
      <c r="E339" s="306">
        <f>data!BW69</f>
        <v>20376</v>
      </c>
      <c r="F339" s="306">
        <f>data!BX69</f>
        <v>0</v>
      </c>
      <c r="G339" s="306">
        <f>data!BY69</f>
        <v>888</v>
      </c>
      <c r="H339" s="306">
        <f>data!BZ69</f>
        <v>0</v>
      </c>
      <c r="I339" s="306">
        <f>data!CA69</f>
        <v>43602.879999999997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181150.9</v>
      </c>
      <c r="E341" s="287">
        <f>data!BW85</f>
        <v>20376</v>
      </c>
      <c r="F341" s="287">
        <f>data!BX85</f>
        <v>0</v>
      </c>
      <c r="G341" s="287">
        <f>data!BY85</f>
        <v>271314.07999999996</v>
      </c>
      <c r="H341" s="287">
        <f>data!BZ85</f>
        <v>0</v>
      </c>
      <c r="I341" s="287">
        <f>data!CA85</f>
        <v>43602.879999999997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721</v>
      </c>
      <c r="E348" s="303">
        <f>data!BW90</f>
        <v>0</v>
      </c>
      <c r="F348" s="303">
        <f>data!BX90</f>
        <v>0</v>
      </c>
      <c r="G348" s="303">
        <f>data!BY90</f>
        <v>0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Lourdes Counseling Center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107.41000000000004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7776891.830000001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2001583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1260780.55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0</v>
      </c>
      <c r="E366" s="311"/>
      <c r="F366" s="311"/>
      <c r="G366" s="311"/>
      <c r="H366" s="311"/>
      <c r="I366" s="306">
        <f>data!CE64</f>
        <v>212032.49000000002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100038.69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2250588.3000000003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25567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89209.63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0</v>
      </c>
      <c r="E371" s="306">
        <f>data!CD69</f>
        <v>0</v>
      </c>
      <c r="F371" s="311"/>
      <c r="G371" s="311"/>
      <c r="H371" s="311"/>
      <c r="I371" s="306">
        <f>data!CE69</f>
        <v>3861011.9699999997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0</v>
      </c>
      <c r="E373" s="306">
        <f>data!CD85</f>
        <v>0</v>
      </c>
      <c r="F373" s="311"/>
      <c r="G373" s="311"/>
      <c r="H373" s="311"/>
      <c r="I373" s="287">
        <f>data!CE85</f>
        <v>17577703.45999999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13350375.09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20894840.839999996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34245215.93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48770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0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25.4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46" transitionEvaluation="1" transitionEntry="1" codeName="Sheet12">
    <tabColor rgb="FF92D050"/>
    <pageSetUpPr autoPageBreaks="0" fitToPage="1"/>
  </sheetPr>
  <dimension ref="A1:CF717"/>
  <sheetViews>
    <sheetView topLeftCell="A40" zoomScaleNormal="100" workbookViewId="0">
      <pane xSplit="1" ySplit="6" topLeftCell="B46" activePane="bottomRight" state="frozen"/>
      <selection activeCell="A40" sqref="A40"/>
      <selection pane="topRight" activeCell="B40" sqref="B40"/>
      <selection pane="bottomLeft" activeCell="A46" sqref="A46"/>
      <selection pane="bottomRight" activeCell="B46" sqref="B46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3936369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0</v>
      </c>
      <c r="F49" s="270">
        <f t="shared" si="0"/>
        <v>0</v>
      </c>
      <c r="G49" s="270">
        <f t="shared" si="0"/>
        <v>0</v>
      </c>
      <c r="H49" s="270">
        <f t="shared" si="0"/>
        <v>1187717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0</v>
      </c>
      <c r="Q49" s="270">
        <f t="shared" si="0"/>
        <v>0</v>
      </c>
      <c r="R49" s="270">
        <f t="shared" si="0"/>
        <v>0</v>
      </c>
      <c r="S49" s="270">
        <f t="shared" si="0"/>
        <v>0</v>
      </c>
      <c r="T49" s="270">
        <f t="shared" si="0"/>
        <v>0</v>
      </c>
      <c r="U49" s="270">
        <f t="shared" si="0"/>
        <v>0</v>
      </c>
      <c r="V49" s="270">
        <f t="shared" si="0"/>
        <v>0</v>
      </c>
      <c r="W49" s="270">
        <f t="shared" si="0"/>
        <v>0</v>
      </c>
      <c r="X49" s="270">
        <f t="shared" si="0"/>
        <v>0</v>
      </c>
      <c r="Y49" s="270">
        <f t="shared" si="0"/>
        <v>0</v>
      </c>
      <c r="Z49" s="270">
        <f t="shared" si="0"/>
        <v>0</v>
      </c>
      <c r="AA49" s="270">
        <f t="shared" si="0"/>
        <v>0</v>
      </c>
      <c r="AB49" s="270">
        <f t="shared" si="0"/>
        <v>30651</v>
      </c>
      <c r="AC49" s="270">
        <f t="shared" si="0"/>
        <v>0</v>
      </c>
      <c r="AD49" s="270">
        <f t="shared" si="0"/>
        <v>0</v>
      </c>
      <c r="AE49" s="270">
        <f t="shared" si="0"/>
        <v>0</v>
      </c>
      <c r="AF49" s="270">
        <f t="shared" si="0"/>
        <v>2243243</v>
      </c>
      <c r="AG49" s="270">
        <f t="shared" si="0"/>
        <v>0</v>
      </c>
      <c r="AH49" s="270">
        <f t="shared" si="0"/>
        <v>0</v>
      </c>
      <c r="AI49" s="270">
        <f t="shared" si="0"/>
        <v>0</v>
      </c>
      <c r="AJ49" s="270">
        <f t="shared" si="0"/>
        <v>0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79092</v>
      </c>
      <c r="AV49" s="270">
        <f t="shared" si="0"/>
        <v>0</v>
      </c>
      <c r="AW49" s="270">
        <f t="shared" si="0"/>
        <v>0</v>
      </c>
      <c r="AX49" s="270">
        <f t="shared" si="0"/>
        <v>0</v>
      </c>
      <c r="AY49" s="270">
        <f t="shared" si="0"/>
        <v>0</v>
      </c>
      <c r="AZ49" s="270">
        <f t="shared" si="0"/>
        <v>0</v>
      </c>
      <c r="BA49" s="270">
        <f t="shared" si="0"/>
        <v>0</v>
      </c>
      <c r="BB49" s="270">
        <f t="shared" si="0"/>
        <v>0</v>
      </c>
      <c r="BC49" s="270">
        <f t="shared" si="0"/>
        <v>0</v>
      </c>
      <c r="BD49" s="270">
        <f t="shared" si="0"/>
        <v>0</v>
      </c>
      <c r="BE49" s="270">
        <f t="shared" si="0"/>
        <v>44711</v>
      </c>
      <c r="BF49" s="270">
        <f t="shared" si="0"/>
        <v>0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276285</v>
      </c>
      <c r="BM49" s="270">
        <f t="shared" si="0"/>
        <v>0</v>
      </c>
      <c r="BN49" s="270">
        <f t="shared" si="0"/>
        <v>11433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63236</v>
      </c>
      <c r="BW49" s="270">
        <f t="shared" si="1"/>
        <v>0</v>
      </c>
      <c r="BX49" s="270">
        <f t="shared" si="1"/>
        <v>0</v>
      </c>
      <c r="BY49" s="270">
        <f t="shared" si="1"/>
        <v>0</v>
      </c>
      <c r="BZ49" s="270">
        <f t="shared" si="1"/>
        <v>0</v>
      </c>
      <c r="CA49" s="270">
        <f t="shared" si="1"/>
        <v>0</v>
      </c>
      <c r="CB49" s="270">
        <f t="shared" si="1"/>
        <v>0</v>
      </c>
      <c r="CC49" s="270">
        <f t="shared" si="1"/>
        <v>0</v>
      </c>
      <c r="CD49" s="270">
        <f t="shared" si="1"/>
        <v>0</v>
      </c>
      <c r="CE49" s="32">
        <f>SUM(C49:CD49)</f>
        <v>3936368</v>
      </c>
    </row>
    <row r="50" spans="1:83" x14ac:dyDescent="0.35">
      <c r="A50" s="20" t="s">
        <v>218</v>
      </c>
      <c r="B50" s="270">
        <f>B48+B49</f>
        <v>3936369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>
        <v>330298</v>
      </c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>
        <v>52921</v>
      </c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>
        <v>1050</v>
      </c>
      <c r="AZ52" s="213"/>
      <c r="BA52" s="213"/>
      <c r="BB52" s="213"/>
      <c r="BC52" s="213"/>
      <c r="BD52" s="213"/>
      <c r="BE52" s="213">
        <v>156841</v>
      </c>
      <c r="BF52" s="213"/>
      <c r="BG52" s="213"/>
      <c r="BH52" s="213">
        <v>7512</v>
      </c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>
        <v>758</v>
      </c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549380</v>
      </c>
    </row>
    <row r="53" spans="1:83" x14ac:dyDescent="0.3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/>
      <c r="F60" s="213"/>
      <c r="G60" s="213"/>
      <c r="H60" s="213">
        <v>6124</v>
      </c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>
        <v>4598</v>
      </c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>
        <v>98369</v>
      </c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36630</v>
      </c>
      <c r="AZ60" s="214"/>
      <c r="BA60" s="263"/>
      <c r="BB60" s="263"/>
      <c r="BC60" s="263"/>
      <c r="BD60" s="263"/>
      <c r="BE60" s="214">
        <v>48770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/>
      <c r="D61" s="243"/>
      <c r="E61" s="243"/>
      <c r="F61" s="243"/>
      <c r="G61" s="243"/>
      <c r="H61" s="243">
        <v>79.02</v>
      </c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>
        <v>1.82</v>
      </c>
      <c r="V61" s="244"/>
      <c r="W61" s="244"/>
      <c r="X61" s="244"/>
      <c r="Y61" s="244"/>
      <c r="Z61" s="244"/>
      <c r="AA61" s="244"/>
      <c r="AB61" s="245">
        <v>119.12</v>
      </c>
      <c r="AC61" s="244"/>
      <c r="AD61" s="244"/>
      <c r="AE61" s="244"/>
      <c r="AF61" s="244">
        <v>309.35000000000002</v>
      </c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>
        <v>36.71</v>
      </c>
      <c r="AV61" s="245"/>
      <c r="AW61" s="245"/>
      <c r="AX61" s="245"/>
      <c r="AY61" s="244">
        <v>20.440000000000001</v>
      </c>
      <c r="AZ61" s="244"/>
      <c r="BA61" s="245"/>
      <c r="BB61" s="245"/>
      <c r="BC61" s="245"/>
      <c r="BD61" s="245"/>
      <c r="BE61" s="244">
        <v>43.17</v>
      </c>
      <c r="BF61" s="245">
        <v>40.659999999999997</v>
      </c>
      <c r="BG61" s="245"/>
      <c r="BH61" s="245"/>
      <c r="BI61" s="245"/>
      <c r="BJ61" s="245"/>
      <c r="BK61" s="245"/>
      <c r="BL61" s="245">
        <v>26.8</v>
      </c>
      <c r="BM61" s="245"/>
      <c r="BN61" s="245"/>
      <c r="BO61" s="245"/>
      <c r="BP61" s="245"/>
      <c r="BQ61" s="245"/>
      <c r="BR61" s="245"/>
      <c r="BS61" s="245"/>
      <c r="BT61" s="245"/>
      <c r="BU61" s="245"/>
      <c r="BV61" s="245">
        <v>161.65</v>
      </c>
      <c r="BW61" s="245"/>
      <c r="BX61" s="245"/>
      <c r="BY61" s="245"/>
      <c r="BZ61" s="245"/>
      <c r="CA61" s="245"/>
      <c r="CB61" s="245"/>
      <c r="CC61" s="245"/>
      <c r="CD61" s="247" t="s">
        <v>233</v>
      </c>
      <c r="CE61" s="268">
        <f t="shared" ref="CE61:CE69" si="4">SUM(C61:CD61)</f>
        <v>838.7399999999999</v>
      </c>
    </row>
    <row r="62" spans="1:83" x14ac:dyDescent="0.35">
      <c r="A62" s="39" t="s">
        <v>248</v>
      </c>
      <c r="B62" s="20"/>
      <c r="C62" s="213"/>
      <c r="D62" s="213"/>
      <c r="E62" s="213"/>
      <c r="F62" s="213"/>
      <c r="G62" s="213"/>
      <c r="H62" s="213">
        <v>4374269</v>
      </c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30">
        <v>112885</v>
      </c>
      <c r="AC62" s="214"/>
      <c r="AD62" s="214"/>
      <c r="AE62" s="214"/>
      <c r="AF62" s="214">
        <v>8261692</v>
      </c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>
        <v>291290</v>
      </c>
      <c r="AV62" s="228"/>
      <c r="AW62" s="228"/>
      <c r="AX62" s="228"/>
      <c r="AY62" s="214"/>
      <c r="AZ62" s="214"/>
      <c r="BA62" s="228"/>
      <c r="BB62" s="228"/>
      <c r="BC62" s="228"/>
      <c r="BD62" s="228"/>
      <c r="BE62" s="214">
        <v>164668</v>
      </c>
      <c r="BF62" s="228"/>
      <c r="BG62" s="228"/>
      <c r="BH62" s="228"/>
      <c r="BI62" s="228"/>
      <c r="BJ62" s="228"/>
      <c r="BK62" s="228"/>
      <c r="BL62" s="228">
        <v>1017538</v>
      </c>
      <c r="BM62" s="228"/>
      <c r="BN62" s="228">
        <v>42108</v>
      </c>
      <c r="BO62" s="228"/>
      <c r="BP62" s="228"/>
      <c r="BQ62" s="228"/>
      <c r="BR62" s="228"/>
      <c r="BS62" s="228"/>
      <c r="BT62" s="228"/>
      <c r="BU62" s="228"/>
      <c r="BV62" s="228">
        <v>232893</v>
      </c>
      <c r="BW62" s="228"/>
      <c r="BX62" s="228"/>
      <c r="BY62" s="228"/>
      <c r="BZ62" s="228"/>
      <c r="CA62" s="228"/>
      <c r="CB62" s="228"/>
      <c r="CC62" s="228"/>
      <c r="CD62" s="29" t="s">
        <v>233</v>
      </c>
      <c r="CE62" s="32">
        <f t="shared" si="4"/>
        <v>14497343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1187717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30651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2243243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79092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44711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276285</v>
      </c>
      <c r="BM63" s="269">
        <f t="shared" si="5"/>
        <v>0</v>
      </c>
      <c r="BN63" s="269">
        <f t="shared" si="5"/>
        <v>11433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63236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233</v>
      </c>
      <c r="CE63" s="32">
        <f t="shared" si="4"/>
        <v>3936368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>
        <v>125470</v>
      </c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>
        <v>61</v>
      </c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>
        <v>0</v>
      </c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125531</v>
      </c>
    </row>
    <row r="65" spans="1:83" x14ac:dyDescent="0.35">
      <c r="A65" s="39" t="s">
        <v>250</v>
      </c>
      <c r="B65" s="20"/>
      <c r="C65" s="213"/>
      <c r="D65" s="213"/>
      <c r="E65" s="213"/>
      <c r="F65" s="213"/>
      <c r="G65" s="213"/>
      <c r="H65" s="213">
        <v>441123</v>
      </c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30">
        <v>143558</v>
      </c>
      <c r="AC65" s="214"/>
      <c r="AD65" s="214"/>
      <c r="AE65" s="214"/>
      <c r="AF65" s="214">
        <v>145814</v>
      </c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>
        <v>1929</v>
      </c>
      <c r="AV65" s="228"/>
      <c r="AW65" s="228"/>
      <c r="AX65" s="228"/>
      <c r="AY65" s="214">
        <v>623</v>
      </c>
      <c r="AZ65" s="214"/>
      <c r="BA65" s="228">
        <v>192</v>
      </c>
      <c r="BB65" s="228"/>
      <c r="BC65" s="228"/>
      <c r="BD65" s="228"/>
      <c r="BE65" s="214">
        <v>1974</v>
      </c>
      <c r="BF65" s="228">
        <v>2289</v>
      </c>
      <c r="BG65" s="228"/>
      <c r="BH65" s="228"/>
      <c r="BI65" s="228"/>
      <c r="BJ65" s="228"/>
      <c r="BK65" s="228"/>
      <c r="BL65" s="228">
        <v>11954</v>
      </c>
      <c r="BM65" s="228"/>
      <c r="BN65" s="228"/>
      <c r="BO65" s="228"/>
      <c r="BP65" s="228"/>
      <c r="BQ65" s="228"/>
      <c r="BR65" s="228"/>
      <c r="BS65" s="228"/>
      <c r="BT65" s="228"/>
      <c r="BU65" s="228"/>
      <c r="BV65" s="228">
        <v>1571</v>
      </c>
      <c r="BW65" s="228"/>
      <c r="BX65" s="228"/>
      <c r="BY65" s="228"/>
      <c r="BZ65" s="228"/>
      <c r="CA65" s="228"/>
      <c r="CB65" s="228"/>
      <c r="CC65" s="228"/>
      <c r="CD65" s="29" t="s">
        <v>233</v>
      </c>
      <c r="CE65" s="32">
        <f t="shared" si="4"/>
        <v>751027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>
        <v>1694</v>
      </c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>
        <v>104512</v>
      </c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100979</v>
      </c>
      <c r="BF66" s="228">
        <v>2095</v>
      </c>
      <c r="BG66" s="228"/>
      <c r="BH66" s="228"/>
      <c r="BI66" s="228"/>
      <c r="BJ66" s="228"/>
      <c r="BK66" s="228"/>
      <c r="BL66" s="228"/>
      <c r="BM66" s="228"/>
      <c r="BN66" s="228">
        <v>27960</v>
      </c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237240</v>
      </c>
    </row>
    <row r="67" spans="1:83" x14ac:dyDescent="0.35">
      <c r="A67" s="39" t="s">
        <v>252</v>
      </c>
      <c r="B67" s="20"/>
      <c r="C67" s="213"/>
      <c r="D67" s="213"/>
      <c r="E67" s="213"/>
      <c r="F67" s="213"/>
      <c r="G67" s="213"/>
      <c r="H67" s="213">
        <v>34065</v>
      </c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>
        <v>126398</v>
      </c>
      <c r="V67" s="227"/>
      <c r="W67" s="214"/>
      <c r="X67" s="214"/>
      <c r="Y67" s="214"/>
      <c r="Z67" s="214"/>
      <c r="AA67" s="214"/>
      <c r="AB67" s="240">
        <v>341</v>
      </c>
      <c r="AC67" s="214"/>
      <c r="AD67" s="214"/>
      <c r="AE67" s="214"/>
      <c r="AF67" s="214">
        <v>198608</v>
      </c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394845</v>
      </c>
      <c r="AZ67" s="214"/>
      <c r="BA67" s="228"/>
      <c r="BB67" s="228"/>
      <c r="BC67" s="228"/>
      <c r="BD67" s="228"/>
      <c r="BE67" s="214">
        <v>32511</v>
      </c>
      <c r="BF67" s="228">
        <v>214883</v>
      </c>
      <c r="BG67" s="228"/>
      <c r="BH67" s="228"/>
      <c r="BI67" s="228"/>
      <c r="BJ67" s="228"/>
      <c r="BK67" s="228"/>
      <c r="BL67" s="228">
        <v>236</v>
      </c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233</v>
      </c>
      <c r="CE67" s="32">
        <f t="shared" si="4"/>
        <v>1001887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330298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52921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1050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156841</v>
      </c>
      <c r="BF68" s="32">
        <f t="shared" si="7"/>
        <v>0</v>
      </c>
      <c r="BG68" s="32">
        <f t="shared" si="7"/>
        <v>0</v>
      </c>
      <c r="BH68" s="32">
        <f t="shared" si="7"/>
        <v>7512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758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549380</v>
      </c>
    </row>
    <row r="69" spans="1:83" x14ac:dyDescent="0.35">
      <c r="A69" s="39" t="s">
        <v>253</v>
      </c>
      <c r="B69" s="32"/>
      <c r="C69" s="213"/>
      <c r="D69" s="213"/>
      <c r="E69" s="213"/>
      <c r="F69" s="213"/>
      <c r="G69" s="213"/>
      <c r="H69" s="213">
        <v>4070</v>
      </c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>
        <v>131289</v>
      </c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30860</v>
      </c>
      <c r="BF69" s="228"/>
      <c r="BG69" s="228">
        <v>13013</v>
      </c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179232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2176165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11294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223825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4039256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60272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35305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72919</v>
      </c>
      <c r="BF70" s="32">
        <f t="shared" si="9"/>
        <v>16031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157208</v>
      </c>
      <c r="BM70" s="32">
        <f t="shared" si="9"/>
        <v>0</v>
      </c>
      <c r="BN70" s="32">
        <f t="shared" si="9"/>
        <v>201570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94906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285854</v>
      </c>
      <c r="CE70" s="32">
        <f>SUM(CE71:CE85)</f>
        <v>7744021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/>
      <c r="F84" s="30"/>
      <c r="G84" s="24"/>
      <c r="H84" s="24">
        <v>2176165</v>
      </c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>
        <v>11294</v>
      </c>
      <c r="V84" s="30"/>
      <c r="W84" s="24"/>
      <c r="X84" s="30"/>
      <c r="Y84" s="30"/>
      <c r="Z84" s="30"/>
      <c r="AA84" s="30"/>
      <c r="AB84" s="30">
        <v>223825</v>
      </c>
      <c r="AC84" s="30"/>
      <c r="AD84" s="30"/>
      <c r="AE84" s="30"/>
      <c r="AF84" s="30">
        <v>4039256</v>
      </c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>
        <v>60272</v>
      </c>
      <c r="AV84" s="30"/>
      <c r="AW84" s="30"/>
      <c r="AX84" s="30"/>
      <c r="AY84" s="30">
        <v>35305</v>
      </c>
      <c r="AZ84" s="30"/>
      <c r="BA84" s="30"/>
      <c r="BB84" s="30"/>
      <c r="BC84" s="30"/>
      <c r="BD84" s="30"/>
      <c r="BE84" s="30">
        <v>72919</v>
      </c>
      <c r="BF84" s="30">
        <v>16031</v>
      </c>
      <c r="BG84" s="30"/>
      <c r="BH84" s="31"/>
      <c r="BI84" s="30"/>
      <c r="BJ84" s="30"/>
      <c r="BK84" s="30"/>
      <c r="BL84" s="30">
        <v>157208</v>
      </c>
      <c r="BM84" s="30"/>
      <c r="BN84" s="30">
        <v>201570</v>
      </c>
      <c r="BO84" s="30"/>
      <c r="BP84" s="30"/>
      <c r="BQ84" s="30"/>
      <c r="BR84" s="30"/>
      <c r="BS84" s="30"/>
      <c r="BT84" s="30"/>
      <c r="BU84" s="30"/>
      <c r="BV84" s="30">
        <v>94906</v>
      </c>
      <c r="BW84" s="30"/>
      <c r="BX84" s="30"/>
      <c r="BY84" s="30"/>
      <c r="BZ84" s="30"/>
      <c r="CA84" s="30"/>
      <c r="CB84" s="30"/>
      <c r="CC84" s="30"/>
      <c r="CD84" s="35">
        <v>285854</v>
      </c>
      <c r="CE84" s="32">
        <f t="shared" si="11"/>
        <v>7374605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>
        <v>4448</v>
      </c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>
        <v>362464</v>
      </c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>
        <v>2504</v>
      </c>
      <c r="CE85" s="32">
        <f t="shared" si="11"/>
        <v>369416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8670423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137692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>SUM(AB62:AB70)-AB85</f>
        <v>511260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14814932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432583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431823</v>
      </c>
      <c r="AZ86" s="32">
        <f t="shared" si="12"/>
        <v>0</v>
      </c>
      <c r="BA86" s="32">
        <f t="shared" si="12"/>
        <v>192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605463</v>
      </c>
      <c r="BF86" s="32">
        <f t="shared" si="12"/>
        <v>235298</v>
      </c>
      <c r="BG86" s="32">
        <f t="shared" si="12"/>
        <v>13013</v>
      </c>
      <c r="BH86" s="32">
        <f t="shared" si="12"/>
        <v>7512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1463221</v>
      </c>
      <c r="BM86" s="32">
        <f t="shared" si="12"/>
        <v>0</v>
      </c>
      <c r="BN86" s="32">
        <f t="shared" si="12"/>
        <v>283071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393364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283350</v>
      </c>
      <c r="CE86" s="32">
        <f t="shared" si="11"/>
        <v>28283197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/>
      <c r="D88" s="213"/>
      <c r="E88" s="213"/>
      <c r="F88" s="213"/>
      <c r="G88" s="213"/>
      <c r="H88" s="213">
        <v>20092652</v>
      </c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>
        <v>330083</v>
      </c>
      <c r="V88" s="213"/>
      <c r="W88" s="213"/>
      <c r="X88" s="213"/>
      <c r="Y88" s="213"/>
      <c r="Z88" s="213"/>
      <c r="AA88" s="213"/>
      <c r="AB88" s="213">
        <v>983060</v>
      </c>
      <c r="AC88" s="213"/>
      <c r="AD88" s="213"/>
      <c r="AE88" s="213"/>
      <c r="AF88" s="213">
        <v>0</v>
      </c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>
        <v>1</v>
      </c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21405796</v>
      </c>
    </row>
    <row r="89" spans="1:84" x14ac:dyDescent="0.35">
      <c r="A89" s="26" t="s">
        <v>273</v>
      </c>
      <c r="B89" s="20"/>
      <c r="C89" s="213"/>
      <c r="D89" s="213"/>
      <c r="E89" s="213"/>
      <c r="F89" s="213"/>
      <c r="G89" s="213"/>
      <c r="H89" s="213">
        <v>8265862</v>
      </c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>
        <v>76100</v>
      </c>
      <c r="V89" s="213"/>
      <c r="W89" s="213"/>
      <c r="X89" s="213"/>
      <c r="Y89" s="213"/>
      <c r="Z89" s="213"/>
      <c r="AA89" s="213"/>
      <c r="AB89" s="213">
        <v>533720</v>
      </c>
      <c r="AC89" s="213"/>
      <c r="AD89" s="213"/>
      <c r="AE89" s="213"/>
      <c r="AF89" s="213">
        <v>27621816</v>
      </c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>
        <v>742903</v>
      </c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37240401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28358514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406183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1516780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27621816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742904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58646197</v>
      </c>
    </row>
    <row r="91" spans="1:84" x14ac:dyDescent="0.35">
      <c r="A91" s="39" t="s">
        <v>275</v>
      </c>
      <c r="B91" s="32"/>
      <c r="C91" s="213"/>
      <c r="D91" s="213"/>
      <c r="E91" s="213"/>
      <c r="F91" s="213"/>
      <c r="G91" s="213"/>
      <c r="H91" s="24"/>
      <c r="I91" s="24">
        <v>1784</v>
      </c>
      <c r="J91" s="24"/>
      <c r="K91" s="24"/>
      <c r="L91" s="24"/>
      <c r="M91" s="24"/>
      <c r="N91" s="24"/>
      <c r="O91" s="24">
        <v>8963</v>
      </c>
      <c r="P91" s="24"/>
      <c r="Q91" s="24"/>
      <c r="R91" s="24"/>
      <c r="S91" s="24"/>
      <c r="T91" s="24"/>
      <c r="U91" s="24"/>
      <c r="V91" s="24"/>
      <c r="W91" s="24"/>
      <c r="X91" s="24">
        <v>7928</v>
      </c>
      <c r="Y91" s="24"/>
      <c r="Z91" s="24"/>
      <c r="AA91" s="24"/>
      <c r="AB91" s="24"/>
      <c r="AC91" s="24"/>
      <c r="AD91" s="24"/>
      <c r="AE91" s="24"/>
      <c r="AF91" s="24">
        <v>721</v>
      </c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33" t="s">
        <v>233</v>
      </c>
      <c r="CE91" s="32">
        <f t="shared" si="14"/>
        <v>19396</v>
      </c>
      <c r="CF91" s="32">
        <f>BE60-CE91</f>
        <v>29374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>
        <v>21253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>
        <v>21253</v>
      </c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42506</v>
      </c>
      <c r="CF92" s="32">
        <f>AY60-CE92</f>
        <v>-5876</v>
      </c>
    </row>
    <row r="93" spans="1:84" x14ac:dyDescent="0.35">
      <c r="A93" s="26" t="s">
        <v>277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>
        <v>7110</v>
      </c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7110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>
        <v>41515</v>
      </c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41515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/>
      <c r="F95" s="243"/>
      <c r="G95" s="243"/>
      <c r="H95" s="243">
        <v>35.770000000000003</v>
      </c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>
        <v>14.67</v>
      </c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50.440000000000005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1372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>
        <v>915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345" t="s">
        <v>1373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1365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1366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99352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1367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1374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1375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1376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1369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1370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 t="s">
        <v>1371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527</v>
      </c>
      <c r="D128" s="220">
        <v>6124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20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20</v>
      </c>
    </row>
    <row r="145" spans="1:6" x14ac:dyDescent="0.35">
      <c r="A145" s="20" t="s">
        <v>325</v>
      </c>
      <c r="B145" s="46" t="s">
        <v>284</v>
      </c>
      <c r="C145" s="47">
        <v>32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135</v>
      </c>
      <c r="C155" s="50">
        <v>270</v>
      </c>
      <c r="D155" s="50">
        <v>122</v>
      </c>
      <c r="E155" s="32">
        <f>SUM(B155:D155)</f>
        <v>527</v>
      </c>
    </row>
    <row r="156" spans="1:6" x14ac:dyDescent="0.35">
      <c r="A156" s="20" t="s">
        <v>227</v>
      </c>
      <c r="B156" s="50">
        <v>1823</v>
      </c>
      <c r="C156" s="50">
        <v>3155</v>
      </c>
      <c r="D156" s="50">
        <v>1146</v>
      </c>
      <c r="E156" s="32">
        <f>SUM(B156:D156)</f>
        <v>6124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>
        <v>5650215</v>
      </c>
      <c r="C158" s="50">
        <v>12159447</v>
      </c>
      <c r="D158" s="50">
        <v>3596134</v>
      </c>
      <c r="E158" s="32">
        <f>SUM(B158:D158)</f>
        <v>21405796</v>
      </c>
      <c r="F158" s="18"/>
    </row>
    <row r="159" spans="1:6" x14ac:dyDescent="0.35">
      <c r="A159" s="20" t="s">
        <v>273</v>
      </c>
      <c r="B159" s="50">
        <v>1680449</v>
      </c>
      <c r="C159" s="50">
        <v>25885160</v>
      </c>
      <c r="D159" s="50">
        <v>9674792</v>
      </c>
      <c r="E159" s="32">
        <f>SUM(B159:D159)</f>
        <v>37240401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1011180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/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-19507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2281261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-111806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574070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201171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3936369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150063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29170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179233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16003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269738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285741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113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113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328685</v>
      </c>
      <c r="C212" s="216"/>
      <c r="D212" s="220"/>
      <c r="E212" s="32">
        <f t="shared" ref="E212:E220" si="16">SUM(B212:C212)-D212</f>
        <v>328685</v>
      </c>
    </row>
    <row r="213" spans="1:5" x14ac:dyDescent="0.35">
      <c r="A213" s="20" t="s">
        <v>367</v>
      </c>
      <c r="B213" s="220">
        <v>299441</v>
      </c>
      <c r="C213" s="216"/>
      <c r="D213" s="220"/>
      <c r="E213" s="32">
        <f t="shared" si="16"/>
        <v>299441</v>
      </c>
    </row>
    <row r="214" spans="1:5" x14ac:dyDescent="0.35">
      <c r="A214" s="20" t="s">
        <v>368</v>
      </c>
      <c r="B214" s="220">
        <v>4233732</v>
      </c>
      <c r="C214" s="216">
        <v>1005406</v>
      </c>
      <c r="D214" s="220"/>
      <c r="E214" s="32">
        <f t="shared" si="16"/>
        <v>5239138</v>
      </c>
    </row>
    <row r="215" spans="1:5" x14ac:dyDescent="0.35">
      <c r="A215" s="20" t="s">
        <v>369</v>
      </c>
      <c r="B215" s="220">
        <v>381946</v>
      </c>
      <c r="C215" s="216"/>
      <c r="D215" s="220"/>
      <c r="E215" s="32">
        <f t="shared" si="16"/>
        <v>381946</v>
      </c>
    </row>
    <row r="216" spans="1:5" x14ac:dyDescent="0.35">
      <c r="A216" s="20" t="s">
        <v>370</v>
      </c>
      <c r="B216" s="220">
        <v>122815</v>
      </c>
      <c r="C216" s="216"/>
      <c r="D216" s="220"/>
      <c r="E216" s="32">
        <f t="shared" si="16"/>
        <v>122815</v>
      </c>
    </row>
    <row r="217" spans="1:5" x14ac:dyDescent="0.35">
      <c r="A217" s="20" t="s">
        <v>371</v>
      </c>
      <c r="B217" s="220">
        <v>26362</v>
      </c>
      <c r="C217" s="216"/>
      <c r="D217" s="220"/>
      <c r="E217" s="32">
        <f t="shared" si="16"/>
        <v>26362</v>
      </c>
    </row>
    <row r="218" spans="1:5" x14ac:dyDescent="0.35">
      <c r="A218" s="20" t="s">
        <v>372</v>
      </c>
      <c r="B218" s="220">
        <v>48060</v>
      </c>
      <c r="C218" s="216"/>
      <c r="D218" s="220"/>
      <c r="E218" s="32">
        <f t="shared" si="16"/>
        <v>48060</v>
      </c>
    </row>
    <row r="219" spans="1:5" x14ac:dyDescent="0.35">
      <c r="A219" s="20" t="s">
        <v>373</v>
      </c>
      <c r="B219" s="220">
        <v>163764</v>
      </c>
      <c r="C219" s="216"/>
      <c r="D219" s="220"/>
      <c r="E219" s="32">
        <f t="shared" si="16"/>
        <v>163764</v>
      </c>
    </row>
    <row r="220" spans="1:5" x14ac:dyDescent="0.35">
      <c r="A220" s="20" t="s">
        <v>374</v>
      </c>
      <c r="B220" s="220">
        <v>825314</v>
      </c>
      <c r="C220" s="216">
        <v>717</v>
      </c>
      <c r="D220" s="220"/>
      <c r="E220" s="32">
        <f t="shared" si="16"/>
        <v>826031</v>
      </c>
    </row>
    <row r="221" spans="1:5" x14ac:dyDescent="0.35">
      <c r="A221" s="20" t="s">
        <v>215</v>
      </c>
      <c r="B221" s="32">
        <f>SUM(B212:B220)</f>
        <v>6430119</v>
      </c>
      <c r="C221" s="266">
        <f>SUM(C212:C220)</f>
        <v>1006123</v>
      </c>
      <c r="D221" s="32">
        <f>SUM(D212:D220)</f>
        <v>0</v>
      </c>
      <c r="E221" s="32">
        <f>SUM(E212:E220)</f>
        <v>7436242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66723</v>
      </c>
      <c r="C226" s="216">
        <v>28907</v>
      </c>
      <c r="D226" s="220"/>
      <c r="E226" s="32">
        <f t="shared" ref="E226:E233" si="17">SUM(B226:C226)-D226</f>
        <v>95630</v>
      </c>
    </row>
    <row r="227" spans="1:5" x14ac:dyDescent="0.35">
      <c r="A227" s="20" t="s">
        <v>368</v>
      </c>
      <c r="B227" s="220">
        <v>2035472</v>
      </c>
      <c r="C227" s="216">
        <v>453245</v>
      </c>
      <c r="D227" s="220"/>
      <c r="E227" s="32">
        <f t="shared" si="17"/>
        <v>2488717</v>
      </c>
    </row>
    <row r="228" spans="1:5" x14ac:dyDescent="0.35">
      <c r="A228" s="20" t="s">
        <v>369</v>
      </c>
      <c r="B228" s="220">
        <v>14276</v>
      </c>
      <c r="C228" s="216">
        <v>20340</v>
      </c>
      <c r="D228" s="220"/>
      <c r="E228" s="32">
        <f t="shared" si="17"/>
        <v>34616</v>
      </c>
    </row>
    <row r="229" spans="1:5" x14ac:dyDescent="0.35">
      <c r="A229" s="20" t="s">
        <v>370</v>
      </c>
      <c r="B229" s="220">
        <v>63226</v>
      </c>
      <c r="C229" s="216">
        <v>10197</v>
      </c>
      <c r="D229" s="220"/>
      <c r="E229" s="32">
        <f t="shared" si="17"/>
        <v>73423</v>
      </c>
    </row>
    <row r="230" spans="1:5" x14ac:dyDescent="0.35">
      <c r="A230" s="20" t="s">
        <v>371</v>
      </c>
      <c r="B230" s="220">
        <v>12209</v>
      </c>
      <c r="C230" s="216">
        <v>6590</v>
      </c>
      <c r="D230" s="220"/>
      <c r="E230" s="32">
        <f t="shared" si="17"/>
        <v>18799</v>
      </c>
    </row>
    <row r="231" spans="1:5" x14ac:dyDescent="0.35">
      <c r="A231" s="20" t="s">
        <v>372</v>
      </c>
      <c r="B231" s="220">
        <v>8763</v>
      </c>
      <c r="C231" s="216">
        <v>7512.4</v>
      </c>
      <c r="D231" s="220"/>
      <c r="E231" s="32">
        <f t="shared" si="17"/>
        <v>16275.4</v>
      </c>
    </row>
    <row r="232" spans="1:5" x14ac:dyDescent="0.35">
      <c r="A232" s="20" t="s">
        <v>373</v>
      </c>
      <c r="B232" s="220">
        <v>69647</v>
      </c>
      <c r="C232" s="216">
        <v>22588.400000000001</v>
      </c>
      <c r="D232" s="220"/>
      <c r="E232" s="32">
        <f t="shared" si="17"/>
        <v>92235.4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2270316</v>
      </c>
      <c r="C234" s="266">
        <f>SUM(C225:C233)</f>
        <v>549379.80000000005</v>
      </c>
      <c r="D234" s="32">
        <f>SUM(D225:D233)</f>
        <v>0</v>
      </c>
      <c r="E234" s="32">
        <f>SUM(E225:E233)</f>
        <v>2819695.8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6" t="s">
        <v>377</v>
      </c>
      <c r="C237" s="346"/>
      <c r="D237" s="38"/>
      <c r="E237" s="38"/>
    </row>
    <row r="238" spans="1:5" x14ac:dyDescent="0.35">
      <c r="A238" s="56" t="s">
        <v>377</v>
      </c>
      <c r="B238" s="38"/>
      <c r="C238" s="216">
        <v>88851</v>
      </c>
      <c r="D238" s="40">
        <f>C238</f>
        <v>88851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5014120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19657915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4388413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29060448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107605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66703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174308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390792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390792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29714399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120986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5495720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4389468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17248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565256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75207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6596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1891545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328685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299441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5239138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381946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122815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74422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163764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826030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7436241</v>
      </c>
      <c r="E292" s="20"/>
    </row>
    <row r="293" spans="1:5" x14ac:dyDescent="0.35">
      <c r="A293" s="20" t="s">
        <v>416</v>
      </c>
      <c r="B293" s="46" t="s">
        <v>284</v>
      </c>
      <c r="C293" s="47">
        <v>3594333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3841908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350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350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>
        <v>74265</v>
      </c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74265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5808068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187503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791705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613001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>
        <v>1868</v>
      </c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2181342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3775419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>
        <v>2373874</v>
      </c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2373874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25000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25000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25000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-366225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5808068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5808068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21405796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37240401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58646197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88851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29060448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174308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390792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29714399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28931798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369417</v>
      </c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369417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369417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29301215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14497344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3936369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125531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751028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237239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1001887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549380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179232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/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285741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113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7088749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7088749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28652613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648602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648602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648602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19396</v>
      </c>
      <c r="E613" s="258">
        <f>SUM(C625:D648)+SUM(C669:D714)</f>
        <v>27987113</v>
      </c>
      <c r="F613" s="258">
        <f>CE65-(AX65+BD65+BE65+BG65+BJ65+BN65+BP65+BQ65+CB65+CC65+CD65)</f>
        <v>749053</v>
      </c>
      <c r="G613" s="256">
        <f>CE92-(AX92+AY92+BD92+BE92+BG92+BJ92+BN92+BP92+BQ92+CB92+CC92+CD92)</f>
        <v>42506</v>
      </c>
      <c r="H613" s="261">
        <f>CE61-(AX61+AY61+AZ61+BD61+BE61+BG61+BJ61+BN61+BO61+BP61+BQ61+BR61+CB61+CC61+CD61)</f>
        <v>775.12999999999988</v>
      </c>
      <c r="I613" s="256">
        <f>CE93-(AX93+AY93+AZ93+BD93+BE93+BF93+BG93+BJ93+BN93+BO93+BP93+BQ93+BR93+CB93+CC93+CD93)</f>
        <v>7110</v>
      </c>
      <c r="J613" s="256">
        <f>CE94-(AX94+AY94+AZ94+BA94+BD94+BE94+BF94+BG94+BJ94+BN94+BO94+BP94+BQ94+BR94+CB94+CC94+CD94)</f>
        <v>41515</v>
      </c>
      <c r="K613" s="256">
        <f>CE90-(AW90+AX90+AY90+AZ90+BA90+BB90+BC90+BD90+BE90+BF90+BG90+BH90+BI90+BJ90+BK90+BL90+BM90+BN90+BO90+BP90+BQ90+BR90+BS90+BT90+BU90+BV90+BW90+BX90+CB90+CC90+CD90)</f>
        <v>58646197</v>
      </c>
      <c r="L613" s="262">
        <f>CE95-(AW95+AX95+AY95+AZ95+BA95+BB95+BC95+BD95+BE95+BF95+BG95+BH95+BI95+BJ95+BK95+BL95+BM95+BN95+BO95+BP95+BQ95+BR95+BS95+BT95+BU95+BV95+BW95+BX95+BY95+BZ95+CA95+CB95+CC95+CD95)</f>
        <v>50.440000000000005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605463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283350</v>
      </c>
      <c r="D616" s="256">
        <f>SUM(C615:C616)</f>
        <v>888813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13013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283071</v>
      </c>
      <c r="D620" s="256">
        <f>(D616/D613)*BN91</f>
        <v>0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0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296084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0</v>
      </c>
      <c r="D625" s="256">
        <f>(D616/D613)*BD91</f>
        <v>0</v>
      </c>
      <c r="E625" s="258">
        <f>(E624/E613)*SUM(C625:D625)</f>
        <v>0</v>
      </c>
      <c r="F625" s="258">
        <f>SUM(C625:E625)</f>
        <v>0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431823</v>
      </c>
      <c r="D626" s="256">
        <f>(D616/D613)*AY91</f>
        <v>0</v>
      </c>
      <c r="E626" s="258">
        <f>(E624/E613)*SUM(C626:D626)</f>
        <v>4568.3840677671897</v>
      </c>
      <c r="F626" s="258">
        <f>(F625/F613)*AY65</f>
        <v>0</v>
      </c>
      <c r="G626" s="256">
        <f>SUM(C626:F626)</f>
        <v>436391.38406776718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0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235298</v>
      </c>
      <c r="D630" s="256">
        <f>(D616/D613)*BF91</f>
        <v>0</v>
      </c>
      <c r="E630" s="258">
        <f>(E624/E613)*SUM(C630:D630)</f>
        <v>2489.287588612659</v>
      </c>
      <c r="F630" s="258">
        <f>(F625/F613)*BF65</f>
        <v>0</v>
      </c>
      <c r="G630" s="256">
        <f>(G626/G613)*BF92</f>
        <v>0</v>
      </c>
      <c r="H630" s="258">
        <f>(H629/H613)*BF61</f>
        <v>0</v>
      </c>
      <c r="I630" s="256">
        <f>SUM(C630:H630)</f>
        <v>237787.28758861267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192</v>
      </c>
      <c r="D631" s="256">
        <f>(D616/D613)*BA91</f>
        <v>0</v>
      </c>
      <c r="E631" s="258">
        <f>(E624/E613)*SUM(C631:D631)</f>
        <v>2.0312251570928375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194.03122515709285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237787.28758861267</v>
      </c>
      <c r="J635" s="256">
        <f>(J631/J613)*BI94</f>
        <v>194.03122515709285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7512</v>
      </c>
      <c r="D637" s="256">
        <f>(D616/D613)*BH91</f>
        <v>0</v>
      </c>
      <c r="E637" s="258">
        <f>(E624/E613)*SUM(C637:D637)</f>
        <v>79.471684271257274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1463221</v>
      </c>
      <c r="D638" s="256">
        <f>(D616/D613)*BL91</f>
        <v>0</v>
      </c>
      <c r="E638" s="258">
        <f>(E624/E613)*SUM(C638:D638)</f>
        <v>15479.850549929892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393364</v>
      </c>
      <c r="D643" s="256">
        <f>(D616/D613)*BV91</f>
        <v>0</v>
      </c>
      <c r="E643" s="258">
        <f>(E624/E613)*SUM(C643:D643)</f>
        <v>4161.514857784724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2121799.1559057557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0</v>
      </c>
      <c r="D646" s="256">
        <f>(D616/D613)*BY91</f>
        <v>0</v>
      </c>
      <c r="E646" s="258">
        <f>(E624/E613)*SUM(C646:D646)</f>
        <v>0</v>
      </c>
      <c r="F646" s="258">
        <f>(F625/F613)*BY65</f>
        <v>0</v>
      </c>
      <c r="G646" s="256">
        <f>(G626/G613)*BY92</f>
        <v>0</v>
      </c>
      <c r="H646" s="258">
        <f>(H629/H613)*BY61</f>
        <v>0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0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3716307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0</v>
      </c>
      <c r="D671" s="256">
        <f>(D616/D613)*E91</f>
        <v>0</v>
      </c>
      <c r="E671" s="258">
        <f>(E624/E613)*SUM(C671:D671)</f>
        <v>0</v>
      </c>
      <c r="F671" s="258">
        <f>(F625/F613)*E65</f>
        <v>0</v>
      </c>
      <c r="G671" s="256">
        <f>(G626/G613)*E92</f>
        <v>0</v>
      </c>
      <c r="H671" s="258">
        <f>(H629/H613)*E61</f>
        <v>0</v>
      </c>
      <c r="I671" s="256">
        <f>(I630/I613)*E93</f>
        <v>0</v>
      </c>
      <c r="J671" s="256">
        <f>(J631/J613)*E94</f>
        <v>0</v>
      </c>
      <c r="K671" s="256">
        <f>(K645/K613)*E90</f>
        <v>0</v>
      </c>
      <c r="L671" s="256">
        <f>(L648/L613)*E95</f>
        <v>0</v>
      </c>
      <c r="M671" s="231">
        <f t="shared" si="18"/>
        <v>0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8670423</v>
      </c>
      <c r="D674" s="256">
        <f>(D616/D613)*H91</f>
        <v>0</v>
      </c>
      <c r="E674" s="258">
        <f>(E624/E613)*SUM(C674:D674)</f>
        <v>91726.986042897668</v>
      </c>
      <c r="F674" s="258">
        <f>(F625/F613)*H65</f>
        <v>0</v>
      </c>
      <c r="G674" s="256">
        <f>(G626/G613)*H92</f>
        <v>218195.69203388362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1026001.2438307219</v>
      </c>
      <c r="L674" s="256">
        <f>(L648/L613)*H95</f>
        <v>0</v>
      </c>
      <c r="M674" s="231">
        <f t="shared" si="18"/>
        <v>1335924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81750.999793771916</v>
      </c>
      <c r="E675" s="258">
        <f>(E624/E613)*SUM(C675:D675)</f>
        <v>864.86816353437973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82616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410725.45468137763</v>
      </c>
      <c r="E681" s="258">
        <f>(E624/E613)*SUM(C681:D681)</f>
        <v>4345.1868552458773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415071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0</v>
      </c>
      <c r="D682" s="256">
        <f>(D616/D613)*P91</f>
        <v>0</v>
      </c>
      <c r="E682" s="258">
        <f>(E624/E613)*SUM(C682:D682)</f>
        <v>0</v>
      </c>
      <c r="F682" s="258">
        <f>(F625/F613)*P65</f>
        <v>0</v>
      </c>
      <c r="G682" s="256">
        <f>(G626/G613)*P92</f>
        <v>0</v>
      </c>
      <c r="H682" s="258">
        <f>(H629/H613)*P61</f>
        <v>0</v>
      </c>
      <c r="I682" s="256">
        <f>(I630/I613)*P93</f>
        <v>0</v>
      </c>
      <c r="J682" s="256">
        <f>(J631/J613)*P94</f>
        <v>0</v>
      </c>
      <c r="K682" s="256">
        <f>(K645/K613)*P90</f>
        <v>0</v>
      </c>
      <c r="L682" s="256">
        <f>(L648/L613)*P95</f>
        <v>0</v>
      </c>
      <c r="M682" s="231">
        <f t="shared" si="18"/>
        <v>0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8"/>
        <v>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0</v>
      </c>
      <c r="D684" s="256">
        <f>(D616/D613)*R91</f>
        <v>0</v>
      </c>
      <c r="E684" s="258">
        <f>(E624/E613)*SUM(C684:D684)</f>
        <v>0</v>
      </c>
      <c r="F684" s="258">
        <f>(F625/F613)*R65</f>
        <v>0</v>
      </c>
      <c r="G684" s="256">
        <f>(G626/G613)*R92</f>
        <v>0</v>
      </c>
      <c r="H684" s="258">
        <f>(H629/H613)*R61</f>
        <v>0</v>
      </c>
      <c r="I684" s="256">
        <f>(I630/I613)*R93</f>
        <v>0</v>
      </c>
      <c r="J684" s="256">
        <f>(J631/J613)*R94</f>
        <v>0</v>
      </c>
      <c r="K684" s="256">
        <f>(K645/K613)*R90</f>
        <v>0</v>
      </c>
      <c r="L684" s="256">
        <f>(L648/L613)*R95</f>
        <v>0</v>
      </c>
      <c r="M684" s="231">
        <f t="shared" si="18"/>
        <v>0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0</v>
      </c>
      <c r="D685" s="256">
        <f>(D616/D613)*S91</f>
        <v>0</v>
      </c>
      <c r="E685" s="258">
        <f>(E624/E613)*SUM(C685:D685)</f>
        <v>0</v>
      </c>
      <c r="F685" s="258">
        <f>(F625/F613)*S65</f>
        <v>0</v>
      </c>
      <c r="G685" s="256">
        <f>(G626/G613)*S92</f>
        <v>0</v>
      </c>
      <c r="H685" s="258">
        <f>(H629/H613)*S61</f>
        <v>0</v>
      </c>
      <c r="I685" s="256">
        <f>(I630/I613)*S93</f>
        <v>0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0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137692</v>
      </c>
      <c r="D687" s="256">
        <f>(D616/D613)*U91</f>
        <v>0</v>
      </c>
      <c r="E687" s="258">
        <f>(E624/E613)*SUM(C687:D687)</f>
        <v>1456.6846579709741</v>
      </c>
      <c r="F687" s="258">
        <f>(F625/F613)*U65</f>
        <v>0</v>
      </c>
      <c r="G687" s="256">
        <f>(G626/G613)*U92</f>
        <v>0</v>
      </c>
      <c r="H687" s="258">
        <f>(H629/H613)*U61</f>
        <v>0</v>
      </c>
      <c r="I687" s="256">
        <f>(I630/I613)*U93</f>
        <v>0</v>
      </c>
      <c r="J687" s="256">
        <f>(J631/J613)*U94</f>
        <v>0</v>
      </c>
      <c r="K687" s="256">
        <f>(K645/K613)*U90</f>
        <v>14695.560677928828</v>
      </c>
      <c r="L687" s="256">
        <f>(L648/L613)*U95</f>
        <v>0</v>
      </c>
      <c r="M687" s="231">
        <f t="shared" si="18"/>
        <v>16152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0</v>
      </c>
      <c r="L688" s="256">
        <f>(L648/L613)*V95</f>
        <v>0</v>
      </c>
      <c r="M688" s="231">
        <f t="shared" si="18"/>
        <v>0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>
        <f>(G626/G613)*W92</f>
        <v>0</v>
      </c>
      <c r="H689" s="258">
        <f>(H629/H613)*W61</f>
        <v>0</v>
      </c>
      <c r="I689" s="256">
        <f>(I630/I613)*W93</f>
        <v>0</v>
      </c>
      <c r="J689" s="256">
        <f>(J631/J613)*W94</f>
        <v>0</v>
      </c>
      <c r="K689" s="256">
        <f>(K645/K613)*W90</f>
        <v>0</v>
      </c>
      <c r="L689" s="256">
        <f>(L648/L613)*W95</f>
        <v>0</v>
      </c>
      <c r="M689" s="231">
        <f t="shared" si="18"/>
        <v>0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363297.04392658279</v>
      </c>
      <c r="E690" s="258">
        <f>(E624/E613)*SUM(C690:D690)</f>
        <v>3843.42757875592</v>
      </c>
      <c r="F690" s="258">
        <f>(F625/F613)*X65</f>
        <v>0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0</v>
      </c>
      <c r="L690" s="256">
        <f>(L648/L613)*X95</f>
        <v>0</v>
      </c>
      <c r="M690" s="231">
        <f t="shared" si="18"/>
        <v>367140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0</v>
      </c>
      <c r="D691" s="256">
        <f>(D616/D613)*Y91</f>
        <v>0</v>
      </c>
      <c r="E691" s="258">
        <f>(E624/E613)*SUM(C691:D691)</f>
        <v>0</v>
      </c>
      <c r="F691" s="258">
        <f>(F625/F613)*Y65</f>
        <v>0</v>
      </c>
      <c r="G691" s="256">
        <f>(G626/G613)*Y92</f>
        <v>0</v>
      </c>
      <c r="H691" s="258">
        <f>(H629/H613)*Y61</f>
        <v>0</v>
      </c>
      <c r="I691" s="256">
        <f>(I630/I613)*Y93</f>
        <v>0</v>
      </c>
      <c r="J691" s="256">
        <f>(J631/J613)*Y94</f>
        <v>0</v>
      </c>
      <c r="K691" s="256">
        <f>(K645/K613)*Y90</f>
        <v>0</v>
      </c>
      <c r="L691" s="256">
        <f>(L648/L613)*Y95</f>
        <v>0</v>
      </c>
      <c r="M691" s="231">
        <f t="shared" si="18"/>
        <v>0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0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511260</v>
      </c>
      <c r="D694" s="256">
        <f>(D616/D613)*AB91</f>
        <v>0</v>
      </c>
      <c r="E694" s="258">
        <f>(E624/E613)*SUM(C694:D694)</f>
        <v>5408.7717386212717</v>
      </c>
      <c r="F694" s="258">
        <f>(F625/F613)*AB65</f>
        <v>0</v>
      </c>
      <c r="G694" s="256">
        <f>(G626/G613)*AB92</f>
        <v>0</v>
      </c>
      <c r="H694" s="258">
        <f>(H629/H613)*AB61</f>
        <v>0</v>
      </c>
      <c r="I694" s="256">
        <f>(I630/I613)*AB93</f>
        <v>0</v>
      </c>
      <c r="J694" s="256">
        <f>(J631/J613)*AB94</f>
        <v>0</v>
      </c>
      <c r="K694" s="256">
        <f>(K645/K613)*AB90</f>
        <v>54876.576629422911</v>
      </c>
      <c r="L694" s="256">
        <f>(L648/L613)*AB95</f>
        <v>0</v>
      </c>
      <c r="M694" s="231">
        <f t="shared" si="18"/>
        <v>60285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0</v>
      </c>
      <c r="D695" s="256">
        <f>(D616/D613)*AC91</f>
        <v>0</v>
      </c>
      <c r="E695" s="258">
        <f>(E624/E613)*SUM(C695:D695)</f>
        <v>0</v>
      </c>
      <c r="F695" s="258">
        <f>(F625/F613)*AC65</f>
        <v>0</v>
      </c>
      <c r="G695" s="256">
        <f>(G626/G613)*AC92</f>
        <v>0</v>
      </c>
      <c r="H695" s="258">
        <f>(H629/H613)*AC61</f>
        <v>0</v>
      </c>
      <c r="I695" s="256">
        <f>(I630/I613)*AC93</f>
        <v>0</v>
      </c>
      <c r="J695" s="256">
        <f>(J631/J613)*AC94</f>
        <v>0</v>
      </c>
      <c r="K695" s="256">
        <f>(K645/K613)*AC90</f>
        <v>0</v>
      </c>
      <c r="L695" s="256">
        <f>(L648/L613)*AC95</f>
        <v>0</v>
      </c>
      <c r="M695" s="231">
        <f t="shared" si="18"/>
        <v>0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0</v>
      </c>
      <c r="D697" s="256">
        <f>(D616/D613)*AE91</f>
        <v>0</v>
      </c>
      <c r="E697" s="258">
        <f>(E624/E613)*SUM(C697:D697)</f>
        <v>0</v>
      </c>
      <c r="F697" s="258">
        <f>(F625/F613)*AE65</f>
        <v>0</v>
      </c>
      <c r="G697" s="256">
        <f>(G626/G613)*AE92</f>
        <v>0</v>
      </c>
      <c r="H697" s="258">
        <f>(H629/H613)*AE61</f>
        <v>0</v>
      </c>
      <c r="I697" s="256">
        <f>(I630/I613)*AE93</f>
        <v>0</v>
      </c>
      <c r="J697" s="256">
        <f>(J631/J613)*AE94</f>
        <v>0</v>
      </c>
      <c r="K697" s="256">
        <f>(K645/K613)*AE90</f>
        <v>0</v>
      </c>
      <c r="L697" s="256">
        <f>(L648/L613)*AE95</f>
        <v>0</v>
      </c>
      <c r="M697" s="231">
        <f t="shared" si="18"/>
        <v>0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14814932</v>
      </c>
      <c r="D698" s="256">
        <f>(D616/D613)*AF91</f>
        <v>33039.501598267685</v>
      </c>
      <c r="E698" s="258">
        <f>(E624/E613)*SUM(C698:D698)</f>
        <v>157081.11065543708</v>
      </c>
      <c r="F698" s="258">
        <f>(F625/F613)*AF65</f>
        <v>0</v>
      </c>
      <c r="G698" s="256">
        <f>(G626/G613)*AF92</f>
        <v>218195.69203388362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999347.76458538475</v>
      </c>
      <c r="L698" s="256">
        <f>(L648/L613)*AF95</f>
        <v>0</v>
      </c>
      <c r="M698" s="231">
        <f t="shared" si="18"/>
        <v>1407664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0</v>
      </c>
      <c r="D699" s="256">
        <f>(D616/D613)*AG91</f>
        <v>0</v>
      </c>
      <c r="E699" s="258">
        <f>(E624/E613)*SUM(C699:D699)</f>
        <v>0</v>
      </c>
      <c r="F699" s="258">
        <f>(F625/F613)*AG65</f>
        <v>0</v>
      </c>
      <c r="G699" s="256">
        <f>(G626/G613)*AG92</f>
        <v>0</v>
      </c>
      <c r="H699" s="258">
        <f>(H629/H613)*AG61</f>
        <v>0</v>
      </c>
      <c r="I699" s="256">
        <f>(I630/I613)*AG93</f>
        <v>0</v>
      </c>
      <c r="J699" s="256">
        <f>(J631/J613)*AG94</f>
        <v>0</v>
      </c>
      <c r="K699" s="256">
        <f>(K645/K613)*AG90</f>
        <v>0</v>
      </c>
      <c r="L699" s="256">
        <f>(L648/L613)*AG95</f>
        <v>0</v>
      </c>
      <c r="M699" s="231">
        <f t="shared" si="18"/>
        <v>0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0</v>
      </c>
      <c r="D702" s="256">
        <f>(D616/D613)*AJ91</f>
        <v>0</v>
      </c>
      <c r="E702" s="258">
        <f>(E624/E613)*SUM(C702:D702)</f>
        <v>0</v>
      </c>
      <c r="F702" s="258">
        <f>(F625/F613)*AJ65</f>
        <v>0</v>
      </c>
      <c r="G702" s="256">
        <f>(G626/G613)*AJ92</f>
        <v>0</v>
      </c>
      <c r="H702" s="258">
        <f>(H629/H613)*AJ61</f>
        <v>0</v>
      </c>
      <c r="I702" s="256">
        <f>(I630/I613)*AJ93</f>
        <v>0</v>
      </c>
      <c r="J702" s="256">
        <f>(J631/J613)*AJ94</f>
        <v>0</v>
      </c>
      <c r="K702" s="256">
        <f>(K645/K613)*AJ90</f>
        <v>0</v>
      </c>
      <c r="L702" s="256">
        <f>(L648/L613)*AJ95</f>
        <v>0</v>
      </c>
      <c r="M702" s="231">
        <f t="shared" si="18"/>
        <v>0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432583</v>
      </c>
      <c r="D713" s="256">
        <f>(D616/D613)*AU91</f>
        <v>0</v>
      </c>
      <c r="E713" s="258">
        <f>(E624/E613)*SUM(C713:D713)</f>
        <v>4576.4243340140156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26878.010182297236</v>
      </c>
      <c r="L713" s="256">
        <f>(L648/L613)*AU95</f>
        <v>0</v>
      </c>
      <c r="M713" s="231">
        <f t="shared" si="18"/>
        <v>31454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0</v>
      </c>
      <c r="D714" s="256">
        <f>(D616/D613)*AV91</f>
        <v>0</v>
      </c>
      <c r="E714" s="258">
        <f>(E624/E613)*SUM(C714:D714)</f>
        <v>0</v>
      </c>
      <c r="F714" s="258">
        <f>(F625/F613)*AV65</f>
        <v>0</v>
      </c>
      <c r="G714" s="256">
        <f>(G626/G613)*AV92</f>
        <v>0</v>
      </c>
      <c r="H714" s="258">
        <f>(H629/H613)*AV61</f>
        <v>0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0</v>
      </c>
      <c r="M714" s="231">
        <f t="shared" si="18"/>
        <v>0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28283197</v>
      </c>
      <c r="D716" s="231">
        <f>SUM(D617:D648)+SUM(D669:D714)</f>
        <v>888813</v>
      </c>
      <c r="E716" s="231">
        <f>SUM(E625:E648)+SUM(E669:E714)</f>
        <v>296084</v>
      </c>
      <c r="F716" s="231">
        <f>SUM(F626:F649)+SUM(F669:F714)</f>
        <v>0</v>
      </c>
      <c r="G716" s="231">
        <f>SUM(G627:G648)+SUM(G669:G714)</f>
        <v>436391.38406776724</v>
      </c>
      <c r="H716" s="231">
        <f>SUM(H630:H648)+SUM(H669:H714)</f>
        <v>0</v>
      </c>
      <c r="I716" s="231">
        <f>SUM(I631:I648)+SUM(I669:I714)</f>
        <v>237787.28758861267</v>
      </c>
      <c r="J716" s="231">
        <f>SUM(J632:J648)+SUM(J669:J714)</f>
        <v>194.03122515709285</v>
      </c>
      <c r="K716" s="231">
        <f>SUM(K669:K714)</f>
        <v>2121799.1559057557</v>
      </c>
      <c r="L716" s="231">
        <f>SUM(L669:L714)</f>
        <v>0</v>
      </c>
      <c r="M716" s="231">
        <f>SUM(M669:M714)</f>
        <v>3716306</v>
      </c>
      <c r="N716" s="250" t="s">
        <v>669</v>
      </c>
    </row>
    <row r="717" spans="1:14" s="231" customFormat="1" ht="12.65" customHeight="1" x14ac:dyDescent="0.3">
      <c r="C717" s="253">
        <f>CE86</f>
        <v>28283197</v>
      </c>
      <c r="D717" s="231">
        <f>D616</f>
        <v>888813</v>
      </c>
      <c r="E717" s="231">
        <f>E624</f>
        <v>296084</v>
      </c>
      <c r="F717" s="231">
        <f>F625</f>
        <v>0</v>
      </c>
      <c r="G717" s="231">
        <f>G626</f>
        <v>436391.38406776718</v>
      </c>
      <c r="H717" s="231">
        <f>H629</f>
        <v>0</v>
      </c>
      <c r="I717" s="231">
        <f>I630</f>
        <v>237787.28758861267</v>
      </c>
      <c r="J717" s="231">
        <f>J631</f>
        <v>194.03122515709285</v>
      </c>
      <c r="K717" s="231">
        <f>K645</f>
        <v>2121799.1559057557</v>
      </c>
      <c r="L717" s="231">
        <f>L648</f>
        <v>0</v>
      </c>
      <c r="M717" s="231">
        <f>C649</f>
        <v>3716307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L3" sqref="L3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915</v>
      </c>
      <c r="C2" s="12" t="str">
        <f>SUBSTITUTE(LEFT(data!C98,49),",","")</f>
        <v>Lourdes Counseling Center</v>
      </c>
      <c r="D2" s="12" t="str">
        <f>LEFT(data!C99,49)</f>
        <v>1175 Carondelet Drive</v>
      </c>
      <c r="E2" s="12" t="str">
        <f>RIGHT(data!C100,100)</f>
        <v>Richland</v>
      </c>
      <c r="F2" s="12" t="str">
        <f>RIGHT(data!C101,100)</f>
        <v>WA</v>
      </c>
      <c r="G2" s="12" t="str">
        <f>RIGHT(data!C102,100)</f>
        <v>99352</v>
      </c>
      <c r="H2" s="12" t="str">
        <f>RIGHT(data!C103,100)</f>
        <v>Benton</v>
      </c>
      <c r="I2" s="12" t="str">
        <f>LEFT(data!C104,49)</f>
        <v>Mark Holyoak</v>
      </c>
      <c r="J2" s="12" t="str">
        <f>LEFT(data!C105,49)</f>
        <v>Erika Wier</v>
      </c>
      <c r="K2" s="12" t="str">
        <f>LEFT(data!C107,49)</f>
        <v>509-547-7704</v>
      </c>
      <c r="L2" s="12" t="str">
        <f>LEFT(data!C108,49)</f>
        <v>509-542-3070</v>
      </c>
      <c r="M2" s="12" t="str">
        <f>LEFT(data!C109,49)</f>
        <v/>
      </c>
      <c r="N2" s="12" t="str">
        <f>LEFT(data!C110,49)</f>
        <v>anita.kauffman@lourdesonline.org</v>
      </c>
    </row>
  </sheetData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915</v>
      </c>
      <c r="B2" s="224" t="str">
        <f>RIGHT(data!C96,4)</f>
        <v>2022</v>
      </c>
      <c r="C2" s="16" t="s">
        <v>1123</v>
      </c>
      <c r="D2" s="223">
        <f>ROUND(data!C181,0)</f>
        <v>511744</v>
      </c>
      <c r="E2" s="223">
        <f>ROUND(data!C182,0)</f>
        <v>56124</v>
      </c>
      <c r="F2" s="223">
        <f>ROUND(data!C183,0)</f>
        <v>140727</v>
      </c>
      <c r="G2" s="223">
        <f>ROUND(data!C184,0)</f>
        <v>1118270</v>
      </c>
      <c r="H2" s="223">
        <f>ROUND(data!C185,0)</f>
        <v>-39586</v>
      </c>
      <c r="I2" s="223">
        <f>ROUND(data!C186,0)</f>
        <v>204445</v>
      </c>
      <c r="J2" s="223">
        <f>ROUND(data!C187+data!C188,0)</f>
        <v>9861</v>
      </c>
      <c r="K2" s="223">
        <f>ROUND(data!C191,0)</f>
        <v>89209</v>
      </c>
      <c r="L2" s="223">
        <f>ROUND(data!C192,0)</f>
        <v>0</v>
      </c>
      <c r="M2" s="223">
        <f>ROUND(data!C195,0)</f>
        <v>14468</v>
      </c>
      <c r="N2" s="223">
        <f>ROUND(data!C196,0)</f>
        <v>0</v>
      </c>
      <c r="O2" s="223">
        <f>ROUND(data!C199,0)</f>
        <v>0</v>
      </c>
      <c r="P2" s="223">
        <f>ROUND(data!C200,0)</f>
        <v>761288</v>
      </c>
      <c r="Q2" s="223">
        <f>ROUND(data!C201,0)</f>
        <v>0</v>
      </c>
      <c r="R2" s="223">
        <f>ROUND(data!C204,0)</f>
        <v>0</v>
      </c>
      <c r="S2" s="223">
        <f>ROUND(data!C205,0)</f>
        <v>0</v>
      </c>
      <c r="T2" s="223">
        <f>ROUND(data!B211,0)</f>
        <v>58460</v>
      </c>
      <c r="U2" s="223">
        <f>ROUND(data!C211,0)</f>
        <v>0</v>
      </c>
      <c r="V2" s="223">
        <f>ROUND(data!D211,0)</f>
        <v>0</v>
      </c>
      <c r="W2" s="223">
        <f>ROUND(data!B212,0)</f>
        <v>0</v>
      </c>
      <c r="X2" s="223">
        <f>ROUND(data!C212,0)</f>
        <v>0</v>
      </c>
      <c r="Y2" s="223">
        <f>ROUND(data!D212,0)</f>
        <v>0</v>
      </c>
      <c r="Z2" s="223">
        <f>ROUND(data!B213,0)</f>
        <v>165438</v>
      </c>
      <c r="AA2" s="223">
        <f>ROUND(data!C213,0)</f>
        <v>52891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93082</v>
      </c>
      <c r="AJ2" s="223">
        <f>ROUND(data!C216,0)</f>
        <v>0</v>
      </c>
      <c r="AK2" s="223">
        <f>ROUND(data!D216,0)</f>
        <v>0</v>
      </c>
      <c r="AL2" s="223">
        <f>ROUND(data!B217,0)</f>
        <v>11478</v>
      </c>
      <c r="AM2" s="223">
        <f>ROUND(data!C217,0)</f>
        <v>0</v>
      </c>
      <c r="AN2" s="223">
        <f>ROUND(data!D217,0)</f>
        <v>0</v>
      </c>
      <c r="AO2" s="223">
        <f>ROUND(data!B218,0)</f>
        <v>12000</v>
      </c>
      <c r="AP2" s="223">
        <f>ROUND(data!C218,0)</f>
        <v>0</v>
      </c>
      <c r="AQ2" s="223">
        <f>ROUND(data!D218,0)</f>
        <v>0</v>
      </c>
      <c r="AR2" s="223">
        <f>ROUND(data!B219,0)</f>
        <v>0</v>
      </c>
      <c r="AS2" s="223">
        <f>ROUND(data!C219,0)</f>
        <v>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596</v>
      </c>
      <c r="AY2" s="223">
        <f>ROUND(data!C225,0)</f>
        <v>179</v>
      </c>
      <c r="AZ2" s="223">
        <f>ROUND(data!D225,0)</f>
        <v>0</v>
      </c>
      <c r="BA2" s="223">
        <f>ROUND(data!B226,0)</f>
        <v>66722</v>
      </c>
      <c r="BB2" s="223">
        <f>ROUND(data!C226,0)</f>
        <v>16694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2819</v>
      </c>
      <c r="BK2" s="223">
        <f>ROUND(data!C229,0)</f>
        <v>7195</v>
      </c>
      <c r="BL2" s="223">
        <f>ROUND(data!D229,0)</f>
        <v>0</v>
      </c>
      <c r="BM2" s="223">
        <f>ROUND(data!B230,0)</f>
        <v>9125</v>
      </c>
      <c r="BN2" s="223">
        <f>ROUND(data!C230,0)</f>
        <v>1120</v>
      </c>
      <c r="BO2" s="223">
        <f>ROUND(data!D230,0)</f>
        <v>0</v>
      </c>
      <c r="BP2" s="223">
        <f>ROUND(data!B231,0)</f>
        <v>10195</v>
      </c>
      <c r="BQ2" s="223">
        <f>ROUND(data!C231,0)</f>
        <v>380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2224051</v>
      </c>
      <c r="BW2" s="223">
        <f>ROUND(data!C240,0)</f>
        <v>652782</v>
      </c>
      <c r="BX2" s="223">
        <f>ROUND(data!C241,0)</f>
        <v>0</v>
      </c>
      <c r="BY2" s="223">
        <f>ROUND(data!C242,0)</f>
        <v>0</v>
      </c>
      <c r="BZ2" s="223">
        <f>ROUND(data!C243,0)</f>
        <v>21010052</v>
      </c>
      <c r="CA2" s="223">
        <f>ROUND(data!C244,0)</f>
        <v>-44149</v>
      </c>
      <c r="CB2" s="223">
        <f>ROUND(data!C247,0)</f>
        <v>0</v>
      </c>
      <c r="CC2" s="223">
        <f>ROUND(data!C249,0)</f>
        <v>-23058</v>
      </c>
      <c r="CD2" s="223">
        <f>ROUND(data!C250,0)</f>
        <v>60184</v>
      </c>
      <c r="CE2" s="223">
        <f>ROUND(data!C254+data!C255,0)</f>
        <v>0</v>
      </c>
      <c r="CF2" s="223">
        <f>data!D237</f>
        <v>2314129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915</v>
      </c>
      <c r="B2" s="16" t="str">
        <f>RIGHT(data!C96,4)</f>
        <v>2022</v>
      </c>
      <c r="C2" s="16" t="s">
        <v>1123</v>
      </c>
      <c r="D2" s="222">
        <f>ROUND(data!C127,0)</f>
        <v>238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3515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20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32</v>
      </c>
      <c r="X2" s="222">
        <f>ROUND(data!C145,0)</f>
        <v>0</v>
      </c>
      <c r="Y2" s="222">
        <f>ROUND(data!B154,0)</f>
        <v>52</v>
      </c>
      <c r="Z2" s="222">
        <f>ROUND(data!B155,0)</f>
        <v>954</v>
      </c>
      <c r="AA2" s="222">
        <f>ROUND(data!B156,0)</f>
        <v>0</v>
      </c>
      <c r="AB2" s="222">
        <f>ROUND(data!B157,0)</f>
        <v>3380680</v>
      </c>
      <c r="AC2" s="222">
        <f>ROUND(data!B158,0)</f>
        <v>1970797</v>
      </c>
      <c r="AD2" s="222">
        <f>ROUND(data!C154,0)</f>
        <v>1</v>
      </c>
      <c r="AE2" s="222">
        <f>ROUND(data!C155,0)</f>
        <v>7</v>
      </c>
      <c r="AF2" s="222">
        <f>ROUND(data!C156,0)</f>
        <v>0</v>
      </c>
      <c r="AG2" s="222">
        <f>ROUND(data!C157,0)</f>
        <v>19190</v>
      </c>
      <c r="AH2" s="222">
        <f>ROUND(data!C158,0)</f>
        <v>1077336</v>
      </c>
      <c r="AI2" s="222">
        <f>ROUND(data!D154,0)</f>
        <v>185</v>
      </c>
      <c r="AJ2" s="222">
        <f>ROUND(data!D155,0)</f>
        <v>2554</v>
      </c>
      <c r="AK2" s="222">
        <f>ROUND(data!D156,0)</f>
        <v>0</v>
      </c>
      <c r="AL2" s="222">
        <f>ROUND(data!D157,0)</f>
        <v>9950504</v>
      </c>
      <c r="AM2" s="222">
        <f>ROUND(data!D158,0)</f>
        <v>17846707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915</v>
      </c>
      <c r="B2" s="224" t="str">
        <f>RIGHT(data!C96,4)</f>
        <v>2022</v>
      </c>
      <c r="C2" s="16" t="s">
        <v>1123</v>
      </c>
      <c r="D2" s="222">
        <f>ROUND(data!C266,0)</f>
        <v>254153</v>
      </c>
      <c r="E2" s="222">
        <f>ROUND(data!C267,0)</f>
        <v>0</v>
      </c>
      <c r="F2" s="222">
        <f>ROUND(data!C268,0)</f>
        <v>4539089</v>
      </c>
      <c r="G2" s="222">
        <f>ROUND(data!C269,0)</f>
        <v>2436228</v>
      </c>
      <c r="H2" s="222">
        <f>ROUND(data!C270,0)</f>
        <v>-15000</v>
      </c>
      <c r="I2" s="222">
        <f>ROUND(data!C271,0)</f>
        <v>790380</v>
      </c>
      <c r="J2" s="222">
        <f>ROUND(data!C272,0)</f>
        <v>0</v>
      </c>
      <c r="K2" s="222">
        <f>ROUND(data!C273,0)</f>
        <v>27921</v>
      </c>
      <c r="L2" s="222">
        <f>ROUND(data!C274,0)</f>
        <v>4378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58460</v>
      </c>
      <c r="R2" s="222">
        <f>ROUND(data!C284,0)</f>
        <v>0</v>
      </c>
      <c r="S2" s="222">
        <f>ROUND(data!C285,0)</f>
        <v>230331</v>
      </c>
      <c r="T2" s="222">
        <f>ROUND(data!C286,0)</f>
        <v>0</v>
      </c>
      <c r="U2" s="222">
        <f>ROUND(data!C287,0)</f>
        <v>0</v>
      </c>
      <c r="V2" s="222">
        <f>ROUND(data!C288,0)</f>
        <v>104561</v>
      </c>
      <c r="W2" s="222">
        <f>ROUND(data!C289,0)</f>
        <v>0</v>
      </c>
      <c r="X2" s="222">
        <f>ROUND(data!C290,0)</f>
        <v>0</v>
      </c>
      <c r="Y2" s="222">
        <f>ROUND(data!C291,0)</f>
        <v>0</v>
      </c>
      <c r="Z2" s="222">
        <f>ROUND(data!C292,0)</f>
        <v>115024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610671</v>
      </c>
      <c r="AK2" s="222">
        <f>ROUND(data!C316,0)</f>
        <v>437691</v>
      </c>
      <c r="AL2" s="222">
        <f>ROUND(data!C317,0)</f>
        <v>40020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526744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-12398814</v>
      </c>
      <c r="BB2" s="222">
        <f>ROUND(data!C337,0)</f>
        <v>0</v>
      </c>
      <c r="BC2" s="222">
        <f>ROUND(data!C338,0)</f>
        <v>42124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9278621</v>
      </c>
      <c r="BJ2" s="222">
        <f>ROUND(data!C349,0)</f>
        <v>0</v>
      </c>
      <c r="BK2" s="222">
        <f>ROUND(data!CE60,2)</f>
        <v>107.41</v>
      </c>
      <c r="BL2" s="222">
        <f>ROUND(data!C358,0)</f>
        <v>13350375</v>
      </c>
      <c r="BM2" s="222">
        <f>ROUND(data!C359,0)</f>
        <v>20894841</v>
      </c>
      <c r="BN2" s="222">
        <f>ROUND(data!C363,0)</f>
        <v>23842735</v>
      </c>
      <c r="BO2" s="222">
        <f>ROUND(data!C364,0)</f>
        <v>37125</v>
      </c>
      <c r="BP2" s="222">
        <f>ROUND(data!C365,0)</f>
        <v>0</v>
      </c>
      <c r="BQ2" s="222">
        <f>ROUND(data!D381,0)</f>
        <v>14432443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14432443</v>
      </c>
      <c r="CC2" s="222">
        <f>ROUND(data!C382,0)</f>
        <v>0</v>
      </c>
      <c r="CD2" s="222">
        <f>ROUND(data!C389,0)</f>
        <v>7776892</v>
      </c>
      <c r="CE2" s="222">
        <f>ROUND(data!C390,0)</f>
        <v>2001585</v>
      </c>
      <c r="CF2" s="222">
        <f>ROUND(data!C391,0)</f>
        <v>1260781</v>
      </c>
      <c r="CG2" s="222">
        <f>ROUND(data!C392,0)</f>
        <v>212032</v>
      </c>
      <c r="CH2" s="222">
        <f>ROUND(data!C393,0)</f>
        <v>100039</v>
      </c>
      <c r="CI2" s="222">
        <f>ROUND(data!C394,0)</f>
        <v>2250588</v>
      </c>
      <c r="CJ2" s="222">
        <f>ROUND(data!C395,0)</f>
        <v>25568</v>
      </c>
      <c r="CK2" s="222">
        <f>ROUND(data!C396,0)</f>
        <v>89210</v>
      </c>
      <c r="CL2" s="222">
        <f>ROUND(data!C397,0)</f>
        <v>14469</v>
      </c>
      <c r="CM2" s="222">
        <f>ROUND(data!C398,0)</f>
        <v>761288</v>
      </c>
      <c r="CN2" s="222">
        <f>ROUND(data!C399,0)</f>
        <v>0</v>
      </c>
      <c r="CO2" s="222">
        <f>ROUND(data!C362,0)</f>
        <v>2314129</v>
      </c>
      <c r="CP2" s="222">
        <f>ROUND(data!D415,0)</f>
        <v>3085254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3085254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915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915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915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0</v>
      </c>
      <c r="F4" s="212">
        <f>ROUND(data!E60,2)</f>
        <v>0</v>
      </c>
      <c r="G4" s="222">
        <f>ROUND(data!E61,0)</f>
        <v>0</v>
      </c>
      <c r="H4" s="222">
        <f>ROUND(data!E62,0)</f>
        <v>0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0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0</v>
      </c>
      <c r="AF4" s="222">
        <f>ROUND(data!E87,0)</f>
        <v>0</v>
      </c>
      <c r="AG4" s="222">
        <f>IF(data!E90&gt;0,ROUND(data!E90,0),0)</f>
        <v>0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0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915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915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915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3515</v>
      </c>
      <c r="F7" s="212">
        <f>ROUND(data!H60,2)</f>
        <v>34.07</v>
      </c>
      <c r="G7" s="222">
        <f>ROUND(data!H61,0)</f>
        <v>2314841</v>
      </c>
      <c r="H7" s="222">
        <f>ROUND(data!H62,0)</f>
        <v>595784</v>
      </c>
      <c r="I7" s="222">
        <f>ROUND(data!H63,0)</f>
        <v>255639</v>
      </c>
      <c r="J7" s="222">
        <f>ROUND(data!H64,0)</f>
        <v>16975</v>
      </c>
      <c r="K7" s="222">
        <f>ROUND(data!H65,0)</f>
        <v>3309</v>
      </c>
      <c r="L7" s="222">
        <f>ROUND(data!H66,0)</f>
        <v>311649</v>
      </c>
      <c r="M7" s="66">
        <f>ROUND(data!H67,0)</f>
        <v>10227</v>
      </c>
      <c r="N7" s="222">
        <f>ROUND(data!H68,0)</f>
        <v>10300</v>
      </c>
      <c r="O7" s="222">
        <f>ROUND(data!H69,0)</f>
        <v>433251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433251</v>
      </c>
      <c r="AD7" s="222">
        <f>ROUND(data!H84,0)</f>
        <v>0</v>
      </c>
      <c r="AE7" s="222">
        <f>ROUND(data!H89,0)</f>
        <v>13767414</v>
      </c>
      <c r="AF7" s="222">
        <f>ROUND(data!H87,0)</f>
        <v>12603300</v>
      </c>
      <c r="AG7" s="222">
        <f>IF(data!H90&gt;0,ROUND(data!H90,0),0)</f>
        <v>19508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25.4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915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915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915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915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915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915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915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915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915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915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915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915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915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0</v>
      </c>
      <c r="G20" s="222">
        <f>ROUND(data!U61,0)</f>
        <v>0</v>
      </c>
      <c r="H20" s="222">
        <f>ROUND(data!U62,0)</f>
        <v>0</v>
      </c>
      <c r="I20" s="222">
        <f>ROUND(data!U63,0)</f>
        <v>0</v>
      </c>
      <c r="J20" s="222">
        <f>ROUND(data!U64,0)</f>
        <v>516</v>
      </c>
      <c r="K20" s="222">
        <f>ROUND(data!U65,0)</f>
        <v>0</v>
      </c>
      <c r="L20" s="222">
        <f>ROUND(data!U66,0)</f>
        <v>66029</v>
      </c>
      <c r="M20" s="66">
        <f>ROUND(data!U67,0)</f>
        <v>0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330133</v>
      </c>
      <c r="AF20" s="222">
        <f>ROUND(data!U87,0)</f>
        <v>313296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915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915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915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915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0</v>
      </c>
      <c r="G24" s="222">
        <f>ROUND(data!Y61,0)</f>
        <v>0</v>
      </c>
      <c r="H24" s="222">
        <f>ROUND(data!Y62,0)</f>
        <v>0</v>
      </c>
      <c r="I24" s="222">
        <f>ROUND(data!Y63,0)</f>
        <v>0</v>
      </c>
      <c r="J24" s="222">
        <f>ROUND(data!Y64,0)</f>
        <v>0</v>
      </c>
      <c r="K24" s="222">
        <f>ROUND(data!Y65,0)</f>
        <v>0</v>
      </c>
      <c r="L24" s="222">
        <f>ROUND(data!Y66,0)</f>
        <v>0</v>
      </c>
      <c r="M24" s="66">
        <f>ROUND(data!Y67,0)</f>
        <v>0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0</v>
      </c>
      <c r="AF24" s="222">
        <f>ROUND(data!Y87,0)</f>
        <v>0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915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915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915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1.28</v>
      </c>
      <c r="G27" s="222">
        <f>ROUND(data!AB61,0)</f>
        <v>153040</v>
      </c>
      <c r="H27" s="222">
        <f>ROUND(data!AB62,0)</f>
        <v>39389</v>
      </c>
      <c r="I27" s="222">
        <f>ROUND(data!AB63,0)</f>
        <v>0</v>
      </c>
      <c r="J27" s="222">
        <f>ROUND(data!AB64,0)</f>
        <v>77633</v>
      </c>
      <c r="K27" s="222">
        <f>ROUND(data!AB65,0)</f>
        <v>0</v>
      </c>
      <c r="L27" s="222">
        <f>ROUND(data!AB66,0)</f>
        <v>-1345</v>
      </c>
      <c r="M27" s="66">
        <f>ROUND(data!AB67,0)</f>
        <v>0</v>
      </c>
      <c r="N27" s="222">
        <f>ROUND(data!AB68,0)</f>
        <v>0</v>
      </c>
      <c r="O27" s="222">
        <f>ROUND(data!AB69,0)</f>
        <v>2549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2549</v>
      </c>
      <c r="AD27" s="222">
        <f>ROUND(data!AB84,0)</f>
        <v>0</v>
      </c>
      <c r="AE27" s="222">
        <f>ROUND(data!AB89,0)</f>
        <v>584873</v>
      </c>
      <c r="AF27" s="222">
        <f>ROUND(data!AB87,0)</f>
        <v>433542</v>
      </c>
      <c r="AG27" s="222">
        <f>IF(data!AB90&gt;0,ROUND(data!AB90,0),0)</f>
        <v>0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915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915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915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0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0</v>
      </c>
      <c r="AF30" s="222">
        <f>ROUND(data!AE87,0)</f>
        <v>0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915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63.61</v>
      </c>
      <c r="G31" s="222">
        <f>ROUND(data!AF61,0)</f>
        <v>4726222</v>
      </c>
      <c r="H31" s="222">
        <f>ROUND(data!AF62,0)</f>
        <v>1216416</v>
      </c>
      <c r="I31" s="222">
        <f>ROUND(data!AF63,0)</f>
        <v>1005142</v>
      </c>
      <c r="J31" s="222">
        <f>ROUND(data!AF64,0)</f>
        <v>41464</v>
      </c>
      <c r="K31" s="222">
        <f>ROUND(data!AF65,0)</f>
        <v>13202</v>
      </c>
      <c r="L31" s="222">
        <f>ROUND(data!AF66,0)</f>
        <v>49294</v>
      </c>
      <c r="M31" s="66">
        <f>ROUND(data!AF67,0)</f>
        <v>5172</v>
      </c>
      <c r="N31" s="222">
        <f>ROUND(data!AF68,0)</f>
        <v>78910</v>
      </c>
      <c r="O31" s="222">
        <f>ROUND(data!AF69,0)</f>
        <v>154008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154008</v>
      </c>
      <c r="AD31" s="222">
        <f>ROUND(data!AF84,0)</f>
        <v>0</v>
      </c>
      <c r="AE31" s="222">
        <f>ROUND(data!AF89,0)</f>
        <v>19334816</v>
      </c>
      <c r="AF31" s="222">
        <f>ROUND(data!AF87,0)</f>
        <v>238</v>
      </c>
      <c r="AG31" s="222">
        <f>IF(data!AF90&gt;0,ROUND(data!AF90,0),0)</f>
        <v>9866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915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0</v>
      </c>
      <c r="G32" s="222">
        <f>ROUND(data!AG61,0)</f>
        <v>0</v>
      </c>
      <c r="H32" s="222">
        <f>ROUND(data!AG62,0)</f>
        <v>0</v>
      </c>
      <c r="I32" s="222">
        <f>ROUND(data!AG63,0)</f>
        <v>0</v>
      </c>
      <c r="J32" s="222">
        <f>ROUND(data!AG64,0)</f>
        <v>0</v>
      </c>
      <c r="K32" s="222">
        <f>ROUND(data!AG65,0)</f>
        <v>0</v>
      </c>
      <c r="L32" s="222">
        <f>ROUND(data!AG66,0)</f>
        <v>0</v>
      </c>
      <c r="M32" s="66">
        <f>ROUND(data!AG67,0)</f>
        <v>0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915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915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915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915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915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915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915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915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915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915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915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915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915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915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0.26</v>
      </c>
      <c r="G46" s="222">
        <f>ROUND(data!AU61,0)</f>
        <v>12426</v>
      </c>
      <c r="H46" s="222">
        <f>ROUND(data!AU62,0)</f>
        <v>3198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419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419</v>
      </c>
      <c r="AD46" s="222">
        <f>ROUND(data!AU84,0)</f>
        <v>0</v>
      </c>
      <c r="AE46" s="222">
        <f>ROUND(data!AU89,0)</f>
        <v>227980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915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0.87</v>
      </c>
      <c r="G47" s="222">
        <f>ROUND(data!AV61,0)</f>
        <v>93879</v>
      </c>
      <c r="H47" s="222">
        <f>ROUND(data!AV62,0)</f>
        <v>24162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117937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117937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915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915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915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0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87336</v>
      </c>
      <c r="K50" s="222">
        <f>ROUND(data!AY65,0)</f>
        <v>0</v>
      </c>
      <c r="L50" s="222">
        <f>ROUND(data!AY66,0)</f>
        <v>208378</v>
      </c>
      <c r="M50" s="66">
        <f>ROUND(data!AY67,0)</f>
        <v>935</v>
      </c>
      <c r="N50" s="222">
        <f>ROUND(data!AY68,0)</f>
        <v>0</v>
      </c>
      <c r="O50" s="222">
        <f>ROUND(data!AY69,0)</f>
        <v>5846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5846</v>
      </c>
      <c r="AD50" s="222">
        <f>ROUND(data!AY84,0)</f>
        <v>0</v>
      </c>
      <c r="AE50" s="222"/>
      <c r="AF50" s="222"/>
      <c r="AG50" s="222">
        <f>IF(data!AY90&gt;0,ROUND(data!AY90,0),0)</f>
        <v>1784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915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915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915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915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915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-5823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517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517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915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48770</v>
      </c>
      <c r="F56" s="212">
        <f>ROUND(data!BE60,2)</f>
        <v>0.79</v>
      </c>
      <c r="G56" s="222">
        <f>ROUND(data!BE61,0)</f>
        <v>49163</v>
      </c>
      <c r="H56" s="222">
        <f>ROUND(data!BE62,0)</f>
        <v>12653</v>
      </c>
      <c r="I56" s="222">
        <f>ROUND(data!BE63,0)</f>
        <v>0</v>
      </c>
      <c r="J56" s="222">
        <f>ROUND(data!BE64,0)</f>
        <v>434</v>
      </c>
      <c r="K56" s="222">
        <f>ROUND(data!BE65,0)</f>
        <v>82757</v>
      </c>
      <c r="L56" s="222">
        <f>ROUND(data!BE66,0)</f>
        <v>15386</v>
      </c>
      <c r="M56" s="66">
        <f>ROUND(data!BE67,0)</f>
        <v>4699</v>
      </c>
      <c r="N56" s="222">
        <f>ROUND(data!BE68,0)</f>
        <v>0</v>
      </c>
      <c r="O56" s="222">
        <f>ROUND(data!BE69,0)</f>
        <v>38903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38903</v>
      </c>
      <c r="AD56" s="222">
        <f>ROUND(data!BE84,0)</f>
        <v>0</v>
      </c>
      <c r="AE56" s="222"/>
      <c r="AF56" s="222"/>
      <c r="AG56" s="222">
        <f>IF(data!BE90&gt;0,ROUND(data!BE90,0),0)</f>
        <v>8963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915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6551</v>
      </c>
      <c r="K57" s="222">
        <f>ROUND(data!BF65,0)</f>
        <v>771</v>
      </c>
      <c r="L57" s="222">
        <f>ROUND(data!BF66,0)</f>
        <v>184438</v>
      </c>
      <c r="M57" s="66">
        <f>ROUND(data!BF67,0)</f>
        <v>0</v>
      </c>
      <c r="N57" s="222">
        <f>ROUND(data!BF68,0)</f>
        <v>0</v>
      </c>
      <c r="O57" s="222">
        <f>ROUND(data!BF69,0)</f>
        <v>50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50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915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915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2.23</v>
      </c>
      <c r="G59" s="222">
        <f>ROUND(data!BH61,0)</f>
        <v>91455</v>
      </c>
      <c r="H59" s="222">
        <f>ROUND(data!BH62,0)</f>
        <v>23538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653192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653192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915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426241</v>
      </c>
      <c r="M60" s="66">
        <f>ROUND(data!BI67,0)</f>
        <v>0</v>
      </c>
      <c r="N60" s="222">
        <f>ROUND(data!BI68,0)</f>
        <v>0</v>
      </c>
      <c r="O60" s="222">
        <f>ROUND(data!BI69,0)</f>
        <v>8068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8068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915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0.04</v>
      </c>
      <c r="G61" s="222">
        <f>ROUND(data!BJ61,0)</f>
        <v>291</v>
      </c>
      <c r="H61" s="222">
        <f>ROUND(data!BJ62,0)</f>
        <v>75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89255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89255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915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915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0.01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888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12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12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915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963421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915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0.4</v>
      </c>
      <c r="G65" s="222">
        <f>ROUND(data!BN61,0)</f>
        <v>69343</v>
      </c>
      <c r="H65" s="222">
        <f>ROUND(data!BN62,0)</f>
        <v>17847</v>
      </c>
      <c r="I65" s="222">
        <f>ROUND(data!BN63,0)</f>
        <v>0</v>
      </c>
      <c r="J65" s="222">
        <f>ROUND(data!BN64,0)</f>
        <v>-13943</v>
      </c>
      <c r="K65" s="222">
        <f>ROUND(data!BN65,0)</f>
        <v>0</v>
      </c>
      <c r="L65" s="222">
        <f>ROUND(data!BN66,0)</f>
        <v>27097</v>
      </c>
      <c r="M65" s="66">
        <f>ROUND(data!BN67,0)</f>
        <v>4156</v>
      </c>
      <c r="N65" s="222">
        <f>ROUND(data!BN68,0)</f>
        <v>0</v>
      </c>
      <c r="O65" s="222">
        <f>ROUND(data!BN69,0)</f>
        <v>1933204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1933204</v>
      </c>
      <c r="AD65" s="222">
        <f>ROUND(data!BN84,0)</f>
        <v>0</v>
      </c>
      <c r="AE65" s="222"/>
      <c r="AF65" s="222"/>
      <c r="AG65" s="222">
        <f>IF(data!BN90&gt;0,ROUND(data!BN90,0),0)</f>
        <v>7928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915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915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50886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50886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915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915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170172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170172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915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915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21430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21430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915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915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1.63</v>
      </c>
      <c r="G73" s="222">
        <f>ROUND(data!BV61,0)</f>
        <v>51160</v>
      </c>
      <c r="H73" s="222">
        <f>ROUND(data!BV62,0)</f>
        <v>13167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378</v>
      </c>
      <c r="N73" s="222">
        <f>ROUND(data!BV68,0)</f>
        <v>0</v>
      </c>
      <c r="O73" s="222">
        <f>ROUND(data!BV69,0)</f>
        <v>116446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116446</v>
      </c>
      <c r="AD73" s="222">
        <f>ROUND(data!BV84,0)</f>
        <v>0</v>
      </c>
      <c r="AE73" s="222"/>
      <c r="AF73" s="222"/>
      <c r="AG73" s="222">
        <f>IF(data!BV90&gt;0,ROUND(data!BV90,0),0)</f>
        <v>721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915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20376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20376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915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915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2.2200000000000002</v>
      </c>
      <c r="G76" s="222">
        <f>ROUND(data!BY61,0)</f>
        <v>215072</v>
      </c>
      <c r="H76" s="222">
        <f>ROUND(data!BY62,0)</f>
        <v>55354</v>
      </c>
      <c r="I76" s="222">
        <f>ROUND(data!BY63,0)</f>
        <v>0</v>
      </c>
      <c r="J76" s="222">
        <f>ROUND(data!BY64,0)</f>
        <v>0</v>
      </c>
      <c r="K76" s="222">
        <f>ROUND(data!BY65,0)</f>
        <v>0</v>
      </c>
      <c r="L76" s="222">
        <f>ROUND(data!BY66,0)</f>
        <v>0</v>
      </c>
      <c r="M76" s="66">
        <f>ROUND(data!BY67,0)</f>
        <v>0</v>
      </c>
      <c r="N76" s="222">
        <f>ROUND(data!BY68,0)</f>
        <v>0</v>
      </c>
      <c r="O76" s="222">
        <f>ROUND(data!BY69,0)</f>
        <v>888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888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915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915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43603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43603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915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915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/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Lourdes Counseling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H-915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1175 Carondelet Drive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Richland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/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>
        <f>data!C97</f>
        <v>915</v>
      </c>
      <c r="B12" s="275" t="str">
        <f>RIGHT('Prior Year'!C97,4)</f>
        <v>2018</v>
      </c>
      <c r="C12" s="275" t="str">
        <f>RIGHT(data!C96,4)</f>
        <v>2022</v>
      </c>
      <c r="D12" s="1" t="str">
        <f>RIGHT('Prior Year'!C97,4)</f>
        <v>2018</v>
      </c>
      <c r="E12" s="275" t="str">
        <f>RIGHT(data!C96,4)</f>
        <v>2022</v>
      </c>
      <c r="F12" s="1" t="str">
        <f>RIGHT('Prior Year'!C97,4)</f>
        <v>2018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0</v>
      </c>
      <c r="C17" s="275">
        <f>data!E85</f>
        <v>0</v>
      </c>
      <c r="D17" s="275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8670423</v>
      </c>
      <c r="C20" s="275">
        <f>data!H85</f>
        <v>3951974.4600000004</v>
      </c>
      <c r="D20" s="275">
        <f>'Prior Year'!H60</f>
        <v>6124</v>
      </c>
      <c r="E20" s="1">
        <f>data!H59</f>
        <v>3515</v>
      </c>
      <c r="F20" s="238">
        <f t="shared" si="0"/>
        <v>1415.8104180274331</v>
      </c>
      <c r="G20" s="238">
        <f t="shared" si="1"/>
        <v>1124.3170583214794</v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0</v>
      </c>
      <c r="C28" s="275">
        <f>data!P85</f>
        <v>0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0</v>
      </c>
      <c r="C31" s="275">
        <f>data!S85</f>
        <v>0</v>
      </c>
      <c r="D31" s="275" t="s">
        <v>725</v>
      </c>
      <c r="E31" s="4" t="s">
        <v>725</v>
      </c>
      <c r="F31" s="238" t="str">
        <f t="shared" si="0"/>
        <v/>
      </c>
      <c r="G31" s="238" t="str">
        <f t="shared" ref="G31:G32" si="4">IFERROR(IF(C31=0,"",IF(E31=0,"",C31/E31)),"")</f>
        <v/>
      </c>
      <c r="H31" s="6" t="str">
        <f t="shared" si="2"/>
        <v/>
      </c>
      <c r="I31" s="275" t="str">
        <f t="shared" si="3"/>
        <v>Please provide explanation for the fluctuation noted here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137692</v>
      </c>
      <c r="C33" s="275">
        <f>data!U85</f>
        <v>66545.77</v>
      </c>
      <c r="D33" s="275">
        <f>'Prior Year'!U60</f>
        <v>4598</v>
      </c>
      <c r="E33" s="1">
        <f>data!U59</f>
        <v>0</v>
      </c>
      <c r="F33" s="238">
        <f t="shared" si="0"/>
        <v>29.946063505872118</v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0</v>
      </c>
      <c r="C37" s="275">
        <f>data!Y85</f>
        <v>0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5"/>
        <v/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511260</v>
      </c>
      <c r="C40" s="275">
        <f>data!AB85</f>
        <v>271264.55000000005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0</v>
      </c>
      <c r="C41" s="275">
        <f>data!AC85</f>
        <v>0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0</v>
      </c>
      <c r="C43" s="275">
        <f>data!AE85</f>
        <v>0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5"/>
        <v/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14814932</v>
      </c>
      <c r="C44" s="275">
        <f>data!AF85</f>
        <v>7289830.1899999995</v>
      </c>
      <c r="D44" s="275">
        <f>'Prior Year'!AF60</f>
        <v>98369</v>
      </c>
      <c r="E44" s="1">
        <f>data!AF59</f>
        <v>0</v>
      </c>
      <c r="F44" s="238">
        <f t="shared" si="0"/>
        <v>150.60569894987242</v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0</v>
      </c>
      <c r="C45" s="275">
        <f>data!AG85</f>
        <v>0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0</v>
      </c>
      <c r="C48" s="275">
        <f>data!AJ85</f>
        <v>0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432583</v>
      </c>
      <c r="C59" s="275">
        <f>data!AU85</f>
        <v>16043.2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0</v>
      </c>
      <c r="C60" s="275">
        <f>data!AV85</f>
        <v>235978.2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431823</v>
      </c>
      <c r="C63" s="275">
        <f>data!AY85</f>
        <v>302495.35999999999</v>
      </c>
      <c r="D63" s="275">
        <f>'Prior Year'!AY60</f>
        <v>36630</v>
      </c>
      <c r="E63" s="1">
        <f>data!AY59</f>
        <v>0</v>
      </c>
      <c r="F63" s="238">
        <f>IF(B63=0,"",IF(D63=0,"",B63/D63))</f>
        <v>11.788779688779689</v>
      </c>
      <c r="G63" s="238" t="str">
        <f t="shared" si="5"/>
        <v/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192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0</v>
      </c>
      <c r="C68" s="275">
        <f>data!BD85</f>
        <v>-5306.13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605463</v>
      </c>
      <c r="C69" s="275">
        <f>data!BE85</f>
        <v>203995.02000000002</v>
      </c>
      <c r="D69" s="275">
        <f>'Prior Year'!BE60</f>
        <v>48770</v>
      </c>
      <c r="E69" s="1">
        <f>data!BE59</f>
        <v>48770</v>
      </c>
      <c r="F69" s="238">
        <f>IF(B69=0,"",IF(D69=0,"",B69/D69))</f>
        <v>12.414660652040189</v>
      </c>
      <c r="G69" s="238">
        <f t="shared" si="5"/>
        <v>4.1827972114004517</v>
      </c>
      <c r="H69" s="6">
        <f>IF(B69=0,"",IF(C69=0,"",IF(D69=0,"",IF(E69=0,"",IF(G69/F69-1&lt;-0.25,G69/F69-1,IF(G69/F69-1&gt;0.25,G69/F69-1,""))))))</f>
        <v>-0.66307599308297949</v>
      </c>
      <c r="I69" s="275" t="str">
        <f t="shared" si="6"/>
        <v/>
      </c>
      <c r="M69" s="7"/>
    </row>
    <row r="70" spans="1:13" x14ac:dyDescent="0.35">
      <c r="A70" s="1" t="s">
        <v>764</v>
      </c>
      <c r="B70" s="275">
        <f>'Prior Year'!BF86</f>
        <v>235298</v>
      </c>
      <c r="C70" s="275">
        <f>data!BF85</f>
        <v>191809.64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13013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7512</v>
      </c>
      <c r="C72" s="275">
        <f>data!BH85</f>
        <v>768184.62000000011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434309.01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89621.43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1463221</v>
      </c>
      <c r="C76" s="275">
        <f>data!BL85</f>
        <v>900.28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963421.26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283071</v>
      </c>
      <c r="C78" s="275">
        <f>data!BN85</f>
        <v>2037704.3800000001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50886.36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170172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21430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393364</v>
      </c>
      <c r="C86" s="275">
        <f>data!BV85</f>
        <v>181150.9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data!BW85</f>
        <v>20376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0</v>
      </c>
      <c r="C89" s="275">
        <f>data!BY85</f>
        <v>271314.07999999996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43602.879999999997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0</v>
      </c>
      <c r="C93" s="275">
        <f>data!CC85</f>
        <v>0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283350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14432443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3085254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H-915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Lourdes Counseling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99352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Benton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Mark Holyoak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Erika Wier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509-547-7704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509-542-3070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 xml:space="preserve"> X</v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238</v>
      </c>
      <c r="G23" s="81">
        <f>data!D127</f>
        <v>3515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20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20</v>
      </c>
      <c r="E36" s="78" t="s">
        <v>325</v>
      </c>
      <c r="F36" s="81"/>
      <c r="G36" s="81">
        <f>data!C144</f>
        <v>32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Lourdes Counseling Center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52</v>
      </c>
      <c r="C7" s="141">
        <f>data!B155</f>
        <v>954</v>
      </c>
      <c r="D7" s="141">
        <f>data!B156</f>
        <v>0</v>
      </c>
      <c r="E7" s="141">
        <f>data!B157</f>
        <v>3380680.48</v>
      </c>
      <c r="F7" s="141">
        <f>data!B158</f>
        <v>1970797.25</v>
      </c>
      <c r="G7" s="141">
        <f>data!B157+data!B158</f>
        <v>5351477.7300000004</v>
      </c>
    </row>
    <row r="8" spans="1:7" ht="20.149999999999999" customHeight="1" x14ac:dyDescent="0.35">
      <c r="A8" s="77" t="s">
        <v>331</v>
      </c>
      <c r="B8" s="141">
        <f>data!C154</f>
        <v>1</v>
      </c>
      <c r="C8" s="141">
        <f>data!C155</f>
        <v>7</v>
      </c>
      <c r="D8" s="141">
        <f>data!C156</f>
        <v>0</v>
      </c>
      <c r="E8" s="141">
        <f>data!C157</f>
        <v>19190.34</v>
      </c>
      <c r="F8" s="141">
        <f>data!C158</f>
        <v>1077336.3400000001</v>
      </c>
      <c r="G8" s="141">
        <f>data!C157+data!C158</f>
        <v>1096526.6800000002</v>
      </c>
    </row>
    <row r="9" spans="1:7" ht="20.149999999999999" customHeight="1" x14ac:dyDescent="0.35">
      <c r="A9" s="77" t="s">
        <v>829</v>
      </c>
      <c r="B9" s="141">
        <f>data!D154</f>
        <v>185</v>
      </c>
      <c r="C9" s="141">
        <f>data!D155</f>
        <v>2554</v>
      </c>
      <c r="D9" s="141">
        <f>data!D156</f>
        <v>0</v>
      </c>
      <c r="E9" s="141">
        <f>data!D157</f>
        <v>9950504.2699999977</v>
      </c>
      <c r="F9" s="141">
        <f>data!D158</f>
        <v>17846707.25</v>
      </c>
      <c r="G9" s="141">
        <f>data!D157+data!D158</f>
        <v>27797211.519999996</v>
      </c>
    </row>
    <row r="10" spans="1:7" ht="20.149999999999999" customHeight="1" x14ac:dyDescent="0.35">
      <c r="A10" s="92" t="s">
        <v>215</v>
      </c>
      <c r="B10" s="141">
        <f>data!E154</f>
        <v>238</v>
      </c>
      <c r="C10" s="141">
        <f>data!E155</f>
        <v>3515</v>
      </c>
      <c r="D10" s="141">
        <f>data!E156</f>
        <v>0</v>
      </c>
      <c r="E10" s="141">
        <f>data!E157</f>
        <v>13350375.089999998</v>
      </c>
      <c r="F10" s="141">
        <f>data!E158</f>
        <v>20894840.84</v>
      </c>
      <c r="G10" s="141">
        <f>E10+F10</f>
        <v>34245215.93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Lourdes Counseling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511744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56124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140727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1118270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-39586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204445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9861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2001585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89209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0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89209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14468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14468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761288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761288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D11" sqref="D11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Lourdes Counseling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58459.64</v>
      </c>
      <c r="D7" s="81">
        <f>data!C211</f>
        <v>0</v>
      </c>
      <c r="E7" s="81">
        <f>data!D211</f>
        <v>0</v>
      </c>
      <c r="F7" s="81">
        <f>data!E211</f>
        <v>58459.64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0</v>
      </c>
      <c r="D8" s="81">
        <f>data!C212</f>
        <v>0</v>
      </c>
      <c r="E8" s="81">
        <f>data!D212</f>
        <v>0</v>
      </c>
      <c r="F8" s="81">
        <f>data!E212</f>
        <v>0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165438.17000000001</v>
      </c>
      <c r="D9" s="81">
        <f>data!C213</f>
        <v>52891.459999999992</v>
      </c>
      <c r="E9" s="81">
        <f>data!D213</f>
        <v>0</v>
      </c>
      <c r="F9" s="81">
        <f>data!E213</f>
        <v>218329.63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93082.16</v>
      </c>
      <c r="D12" s="81">
        <f>data!C216</f>
        <v>0</v>
      </c>
      <c r="E12" s="81">
        <f>data!D216</f>
        <v>0</v>
      </c>
      <c r="F12" s="81">
        <f>data!E216</f>
        <v>93082.16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11478.4</v>
      </c>
      <c r="D13" s="81">
        <f>data!C217</f>
        <v>0</v>
      </c>
      <c r="E13" s="81">
        <f>data!D217</f>
        <v>0</v>
      </c>
      <c r="F13" s="81">
        <f>data!E217</f>
        <v>11478.4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12000</v>
      </c>
      <c r="D14" s="81">
        <f>data!C218</f>
        <v>0</v>
      </c>
      <c r="E14" s="81">
        <f>data!D218</f>
        <v>0</v>
      </c>
      <c r="F14" s="81">
        <f>data!E218</f>
        <v>12000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0</v>
      </c>
      <c r="D15" s="81">
        <f>data!C219</f>
        <v>0</v>
      </c>
      <c r="E15" s="81">
        <f>data!D219</f>
        <v>0</v>
      </c>
      <c r="F15" s="81">
        <f>data!E219</f>
        <v>0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340458.37</v>
      </c>
      <c r="D16" s="81">
        <f>data!C220</f>
        <v>52891.459999999992</v>
      </c>
      <c r="E16" s="81">
        <f>data!D220</f>
        <v>0</v>
      </c>
      <c r="F16" s="81">
        <f>data!E220</f>
        <v>393349.83000000007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595.80999999999995</v>
      </c>
      <c r="D24" s="81">
        <f>data!C225</f>
        <v>178.74</v>
      </c>
      <c r="E24" s="81">
        <f>data!D225</f>
        <v>0</v>
      </c>
      <c r="F24" s="81">
        <f>data!E225</f>
        <v>774.55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66721.850000000006</v>
      </c>
      <c r="D25" s="81">
        <f>data!C226</f>
        <v>16694.37999999999</v>
      </c>
      <c r="E25" s="81">
        <f>data!D226</f>
        <v>0</v>
      </c>
      <c r="F25" s="81">
        <f>data!E226</f>
        <v>83416.23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2818.76</v>
      </c>
      <c r="D28" s="81">
        <f>data!C229</f>
        <v>7195.33</v>
      </c>
      <c r="E28" s="81">
        <f>data!D229</f>
        <v>0</v>
      </c>
      <c r="F28" s="81">
        <f>data!E229</f>
        <v>10014.09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9125.06</v>
      </c>
      <c r="D29" s="81">
        <f>data!C230</f>
        <v>1119.58</v>
      </c>
      <c r="E29" s="81">
        <f>data!D230</f>
        <v>0</v>
      </c>
      <c r="F29" s="81">
        <f>data!E230</f>
        <v>10244.64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10194.58</v>
      </c>
      <c r="D30" s="81">
        <f>data!C231</f>
        <v>380.30999999999949</v>
      </c>
      <c r="E30" s="81">
        <f>data!D231</f>
        <v>0</v>
      </c>
      <c r="F30" s="81">
        <f>data!E231</f>
        <v>10574.89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89456.06</v>
      </c>
      <c r="D32" s="81">
        <f>data!C233</f>
        <v>25568.339999999989</v>
      </c>
      <c r="E32" s="81">
        <f>data!D233</f>
        <v>0</v>
      </c>
      <c r="F32" s="81">
        <f>data!E233</f>
        <v>115024.4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Lourdes Counseling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2314129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2224051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652782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21010052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-44149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23842736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-23058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60184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37126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2023-06-14T23:58:58Z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