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10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11.xml" ContentType="application/vnd.openxmlformats-officedocument.spreadsheetml.comment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omments13.xml" ContentType="application/vnd.openxmlformats-officedocument.spreadsheetml.comments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omments15.xml" ContentType="application/vnd.openxmlformats-officedocument.spreadsheetml.comments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omments16.xml" ContentType="application/vnd.openxmlformats-officedocument.spreadsheetml.comments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omments17.xml" ContentType="application/vnd.openxmlformats-officedocument.spreadsheetml.comments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omments18.xml" ContentType="application/vnd.openxmlformats-officedocument.spreadsheetml.comment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omments19.xml" ContentType="application/vnd.openxmlformats-officedocument.spreadsheetml.comments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omments20.xml" ContentType="application/vnd.openxmlformats-officedocument.spreadsheetml.comments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omments21.xml" ContentType="application/vnd.openxmlformats-officedocument.spreadsheetml.comments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omments22.xml" ContentType="application/vnd.openxmlformats-officedocument.spreadsheetml.comments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omments23.xml" ContentType="application/vnd.openxmlformats-officedocument.spreadsheetml.comments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omments24.xml" ContentType="application/vnd.openxmlformats-officedocument.spreadsheetml.comments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omments25.xml" ContentType="application/vnd.openxmlformats-officedocument.spreadsheetml.comments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omments26.xml" ContentType="application/vnd.openxmlformats-officedocument.spreadsheetml.comments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omments27.xml" ContentType="application/vnd.openxmlformats-officedocument.spreadsheetml.comments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omments28.xml" ContentType="application/vnd.openxmlformats-officedocument.spreadsheetml.comments+xml"/>
  <Override PartName="/xl/charts/chart26.xml" ContentType="application/vnd.openxmlformats-officedocument.drawingml.chart+xml"/>
  <Override PartName="/xl/drawings/drawing28.xml" ContentType="application/vnd.openxmlformats-officedocument.drawing+xml"/>
  <Override PartName="/xl/comments29.xml" ContentType="application/vnd.openxmlformats-officedocument.spreadsheetml.comments+xml"/>
  <Override PartName="/xl/charts/chart27.xml" ContentType="application/vnd.openxmlformats-officedocument.drawingml.chart+xml"/>
  <Override PartName="/xl/drawings/drawing29.xml" ContentType="application/vnd.openxmlformats-officedocument.drawing+xml"/>
  <Override PartName="/xl/comments30.xml" ContentType="application/vnd.openxmlformats-officedocument.spreadsheetml.comments+xml"/>
  <Override PartName="/xl/charts/chart28.xml" ContentType="application/vnd.openxmlformats-officedocument.drawingml.chart+xml"/>
  <Override PartName="/xl/drawings/drawing30.xml" ContentType="application/vnd.openxmlformats-officedocument.drawing+xml"/>
  <Override PartName="/xl/comments31.xml" ContentType="application/vnd.openxmlformats-officedocument.spreadsheetml.comments+xml"/>
  <Override PartName="/xl/charts/chart29.xml" ContentType="application/vnd.openxmlformats-officedocument.drawingml.chart+xml"/>
  <Override PartName="/xl/drawings/drawing31.xml" ContentType="application/vnd.openxmlformats-officedocument.drawing+xml"/>
  <Override PartName="/xl/comments32.xml" ContentType="application/vnd.openxmlformats-officedocument.spreadsheetml.comments+xml"/>
  <Override PartName="/xl/charts/chart30.xml" ContentType="application/vnd.openxmlformats-officedocument.drawingml.chart+xml"/>
  <Override PartName="/xl/drawings/drawing32.xml" ContentType="application/vnd.openxmlformats-officedocument.drawing+xml"/>
  <Override PartName="/xl/comments33.xml" ContentType="application/vnd.openxmlformats-officedocument.spreadsheetml.comments+xml"/>
  <Override PartName="/xl/charts/chart31.xml" ContentType="application/vnd.openxmlformats-officedocument.drawingml.chart+xml"/>
  <Override PartName="/xl/drawings/drawing33.xml" ContentType="application/vnd.openxmlformats-officedocument.drawing+xml"/>
  <Override PartName="/xl/comments34.xml" ContentType="application/vnd.openxmlformats-officedocument.spreadsheetml.comments+xml"/>
  <Override PartName="/xl/charts/chart32.xml" ContentType="application/vnd.openxmlformats-officedocument.drawingml.chart+xml"/>
  <Override PartName="/xl/drawings/drawing34.xml" ContentType="application/vnd.openxmlformats-officedocument.drawing+xml"/>
  <Override PartName="/xl/comments35.xml" ContentType="application/vnd.openxmlformats-officedocument.spreadsheetml.comments+xml"/>
  <Override PartName="/xl/charts/chart33.xml" ContentType="application/vnd.openxmlformats-officedocument.drawingml.chart+xml"/>
  <Override PartName="/xl/drawings/drawing35.xml" ContentType="application/vnd.openxmlformats-officedocument.drawing+xml"/>
  <Override PartName="/xl/comments36.xml" ContentType="application/vnd.openxmlformats-officedocument.spreadsheetml.comments+xml"/>
  <Override PartName="/xl/charts/chart34.xml" ContentType="application/vnd.openxmlformats-officedocument.drawingml.chart+xml"/>
  <Override PartName="/xl/drawings/drawing36.xml" ContentType="application/vnd.openxmlformats-officedocument.drawing+xml"/>
  <Override PartName="/xl/comments37.xml" ContentType="application/vnd.openxmlformats-officedocument.spreadsheetml.comments+xml"/>
  <Override PartName="/xl/charts/chart35.xml" ContentType="application/vnd.openxmlformats-officedocument.drawingml.chart+xml"/>
  <Override PartName="/xl/drawings/drawing37.xml" ContentType="application/vnd.openxmlformats-officedocument.drawing+xml"/>
  <Override PartName="/xl/comments38.xml" ContentType="application/vnd.openxmlformats-officedocument.spreadsheetml.comments+xml"/>
  <Override PartName="/xl/charts/chart36.xml" ContentType="application/vnd.openxmlformats-officedocument.drawingml.chart+xml"/>
  <Override PartName="/xl/drawings/drawing38.xml" ContentType="application/vnd.openxmlformats-officedocument.drawing+xml"/>
  <Override PartName="/xl/comments39.xml" ContentType="application/vnd.openxmlformats-officedocument.spreadsheetml.comments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40" windowWidth="17220" windowHeight="7236" activeTab="2"/>
  </bookViews>
  <sheets>
    <sheet name="Blank Pg 1" sheetId="44" r:id="rId1"/>
    <sheet name="Blank Pg 2" sheetId="45" r:id="rId2"/>
    <sheet name="LJH Summary Pg 3-DO NOT INPUT" sheetId="1" r:id="rId3"/>
    <sheet name="PIE Aggregate Pg 4-DO NOT INPUT" sheetId="3" r:id="rId4"/>
    <sheet name="PIE Detail Pg 5-DO NOT INPUT" sheetId="4" r:id="rId5"/>
    <sheet name="Exp Code Ag Pgs6&amp;7-DO NOT INPUT" sheetId="7" r:id="rId6"/>
    <sheet name="Adams Pgs 8-9" sheetId="8" r:id="rId7"/>
    <sheet name="Asotin Pgs 10-11" sheetId="6" r:id="rId8"/>
    <sheet name="Benton-Franklin Pgs 12-13" sheetId="9" r:id="rId9"/>
    <sheet name="Chelan-Douglas Pgs 14-15" sheetId="10" r:id="rId10"/>
    <sheet name="Clallam Pgs 16-17" sheetId="11" r:id="rId11"/>
    <sheet name="Clark Pgs 18-19" sheetId="12" r:id="rId12"/>
    <sheet name="Columbia Pgs 20-21" sheetId="13" r:id="rId13"/>
    <sheet name="Cowlitz Pgs 22-23" sheetId="14" r:id="rId14"/>
    <sheet name="Garfield Pgs 24-25" sheetId="15" r:id="rId15"/>
    <sheet name="Grant Pgs 26-27" sheetId="16" r:id="rId16"/>
    <sheet name="Grays Harbor Pgs 28-29" sheetId="17" r:id="rId17"/>
    <sheet name="Island Pgs 30-31" sheetId="18" r:id="rId18"/>
    <sheet name="Jefferson Pgs 32-33" sheetId="19" r:id="rId19"/>
    <sheet name="Kitsap Pgs 34-35" sheetId="20" r:id="rId20"/>
    <sheet name="Kittitas Pgs 36-37" sheetId="21" r:id="rId21"/>
    <sheet name="Klickitat Pgs 38-39" sheetId="22" r:id="rId22"/>
    <sheet name="Lewis Pgs 40-41" sheetId="23" r:id="rId23"/>
    <sheet name="Lincoln Pgs 42-43" sheetId="24" r:id="rId24"/>
    <sheet name="Mason Pgs 44-45" sheetId="25" r:id="rId25"/>
    <sheet name="Northeast Tri Pgs 46-47" sheetId="26" r:id="rId26"/>
    <sheet name="Okanogan Pgs 48-49" sheetId="27" r:id="rId27"/>
    <sheet name="Pacific Pgs 50-51" sheetId="28" r:id="rId28"/>
    <sheet name="San Juan Pgs 52-53" sheetId="29" r:id="rId29"/>
    <sheet name="Seattle-King Pgs 54-55" sheetId="30" r:id="rId30"/>
    <sheet name="Skagit Pgs 56-57" sheetId="31" r:id="rId31"/>
    <sheet name="Skamania Pgs 58-59" sheetId="32" r:id="rId32"/>
    <sheet name="Snohomish Pgs 60-61" sheetId="33" r:id="rId33"/>
    <sheet name="Spokane Pgs 62-63" sheetId="34" r:id="rId34"/>
    <sheet name="Tacoma-Pierce Pgs 64-65" sheetId="35" r:id="rId35"/>
    <sheet name="Thurston Pgs 66-67" sheetId="36" r:id="rId36"/>
    <sheet name="Wahkiakum Pgs 68-69" sheetId="37" r:id="rId37"/>
    <sheet name="Walla Walla Pgs 70-71" sheetId="38" r:id="rId38"/>
    <sheet name="Whatcom Pgs 72-73" sheetId="39" r:id="rId39"/>
    <sheet name="Whitman Pgs 74-75" sheetId="40" r:id="rId40"/>
    <sheet name="Yakima Pgs 76-77" sheetId="41" r:id="rId41"/>
    <sheet name="Revenue Matrix Pg 78" sheetId="42" r:id="rId42"/>
  </sheets>
  <definedNames>
    <definedName name="_xlnm.Print_Area" localSheetId="6">'Adams Pgs 8-9'!$A$1:$R$88</definedName>
    <definedName name="_xlnm.Print_Area" localSheetId="7">'Asotin Pgs 10-11'!$A$1:$R$88</definedName>
    <definedName name="_xlnm.Print_Area" localSheetId="8">'Benton-Franklin Pgs 12-13'!$A$1:$R$88</definedName>
    <definedName name="_xlnm.Print_Area" localSheetId="0">'Blank Pg 1'!$A$1:$M$20</definedName>
    <definedName name="_xlnm.Print_Area" localSheetId="1">'Blank Pg 2'!$A$1:$M$20</definedName>
    <definedName name="_xlnm.Print_Area" localSheetId="9">'Chelan-Douglas Pgs 14-15'!$A$1:$R$88</definedName>
    <definedName name="_xlnm.Print_Area" localSheetId="10">'Clallam Pgs 16-17'!$A$1:$R$88</definedName>
    <definedName name="_xlnm.Print_Area" localSheetId="11">'Clark Pgs 18-19'!$A$1:$R$88</definedName>
    <definedName name="_xlnm.Print_Area" localSheetId="12">'Columbia Pgs 20-21'!$A$1:$R$88</definedName>
    <definedName name="_xlnm.Print_Area" localSheetId="13">'Cowlitz Pgs 22-23'!$A$1:$R$88</definedName>
    <definedName name="_xlnm.Print_Area" localSheetId="14">'Garfield Pgs 24-25'!$A$1:$R$88</definedName>
    <definedName name="_xlnm.Print_Area" localSheetId="15">'Grant Pgs 26-27'!$A$1:$R$88</definedName>
    <definedName name="_xlnm.Print_Area" localSheetId="16">'Grays Harbor Pgs 28-29'!$A$1:$R$88</definedName>
    <definedName name="_xlnm.Print_Area" localSheetId="17">'Island Pgs 30-31'!$A$1:$R$88</definedName>
    <definedName name="_xlnm.Print_Area" localSheetId="18">'Jefferson Pgs 32-33'!$A$1:$R$88</definedName>
    <definedName name="_xlnm.Print_Area" localSheetId="19">'Kitsap Pgs 34-35'!$A$1:$R$88</definedName>
    <definedName name="_xlnm.Print_Area" localSheetId="20">'Kittitas Pgs 36-37'!$A$1:$R$88</definedName>
    <definedName name="_xlnm.Print_Area" localSheetId="21">'Klickitat Pgs 38-39'!$A$1:$R$88</definedName>
    <definedName name="_xlnm.Print_Area" localSheetId="22">'Lewis Pgs 40-41'!$A$1:$R$88</definedName>
    <definedName name="_xlnm.Print_Area" localSheetId="23">'Lincoln Pgs 42-43'!$A$1:$R$88</definedName>
    <definedName name="_xlnm.Print_Area" localSheetId="24">'Mason Pgs 44-45'!$A$1:$R$88</definedName>
    <definedName name="_xlnm.Print_Area" localSheetId="25">'Northeast Tri Pgs 46-47'!$A$1:$R$88</definedName>
    <definedName name="_xlnm.Print_Area" localSheetId="26">'Okanogan Pgs 48-49'!$A$1:$R$88</definedName>
    <definedName name="_xlnm.Print_Area" localSheetId="27">'Pacific Pgs 50-51'!$A$1:$R$88</definedName>
    <definedName name="_xlnm.Print_Area" localSheetId="41">'Revenue Matrix Pg 78'!$A$1:$H$12</definedName>
    <definedName name="_xlnm.Print_Area" localSheetId="28">'San Juan Pgs 52-53'!$A$1:$R$88</definedName>
    <definedName name="_xlnm.Print_Area" localSheetId="29">'Seattle-King Pgs 54-55'!$A$1:$R$88</definedName>
    <definedName name="_xlnm.Print_Area" localSheetId="30">'Skagit Pgs 56-57'!$A$1:$R$88</definedName>
    <definedName name="_xlnm.Print_Area" localSheetId="31">'Skamania Pgs 58-59'!$A$1:$R$88</definedName>
    <definedName name="_xlnm.Print_Area" localSheetId="32">'Snohomish Pgs 60-61'!$A$1:$R$88</definedName>
    <definedName name="_xlnm.Print_Area" localSheetId="33">'Spokane Pgs 62-63'!$A$1:$R$88</definedName>
    <definedName name="_xlnm.Print_Area" localSheetId="34">'Tacoma-Pierce Pgs 64-65'!$A$1:$R$88</definedName>
    <definedName name="_xlnm.Print_Area" localSheetId="35">'Thurston Pgs 66-67'!$A$1:$R$88</definedName>
    <definedName name="_xlnm.Print_Area" localSheetId="36">'Wahkiakum Pgs 68-69'!$A$1:$R$88</definedName>
    <definedName name="_xlnm.Print_Area" localSheetId="37">'Walla Walla Pgs 70-71'!$A$1:$R$88</definedName>
    <definedName name="_xlnm.Print_Area" localSheetId="38">'Whatcom Pgs 72-73'!$A$1:$R$88</definedName>
    <definedName name="_xlnm.Print_Area" localSheetId="39">'Whitman Pgs 74-75'!$A$1:$R$88</definedName>
    <definedName name="_xlnm.Print_Area" localSheetId="40">'Yakima Pgs 76-77'!$A$1:$R$88</definedName>
    <definedName name="_xlnm.Print_Titles" localSheetId="6">'Adams Pgs 8-9'!$1:$4</definedName>
    <definedName name="_xlnm.Print_Titles" localSheetId="7">'Asotin Pgs 10-11'!$1:$4</definedName>
    <definedName name="_xlnm.Print_Titles" localSheetId="8">'Benton-Franklin Pgs 12-13'!$1:$4</definedName>
    <definedName name="_xlnm.Print_Titles" localSheetId="9">'Chelan-Douglas Pgs 14-15'!$1:$4</definedName>
    <definedName name="_xlnm.Print_Titles" localSheetId="10">'Clallam Pgs 16-17'!$1:$4</definedName>
    <definedName name="_xlnm.Print_Titles" localSheetId="11">'Clark Pgs 18-19'!$1:$4</definedName>
    <definedName name="_xlnm.Print_Titles" localSheetId="12">'Columbia Pgs 20-21'!$1:$4</definedName>
    <definedName name="_xlnm.Print_Titles" localSheetId="13">'Cowlitz Pgs 22-23'!$1:$4</definedName>
    <definedName name="_xlnm.Print_Titles" localSheetId="5">'Exp Code Ag Pgs6&amp;7-DO NOT INPUT'!$1:$4</definedName>
    <definedName name="_xlnm.Print_Titles" localSheetId="14">'Garfield Pgs 24-25'!$1:$4</definedName>
    <definedName name="_xlnm.Print_Titles" localSheetId="15">'Grant Pgs 26-27'!$1:$4</definedName>
    <definedName name="_xlnm.Print_Titles" localSheetId="16">'Grays Harbor Pgs 28-29'!$1:$4</definedName>
    <definedName name="_xlnm.Print_Titles" localSheetId="17">'Island Pgs 30-31'!$1:$4</definedName>
    <definedName name="_xlnm.Print_Titles" localSheetId="18">'Jefferson Pgs 32-33'!$1:$4</definedName>
    <definedName name="_xlnm.Print_Titles" localSheetId="19">'Kitsap Pgs 34-35'!$1:$4</definedName>
    <definedName name="_xlnm.Print_Titles" localSheetId="20">'Kittitas Pgs 36-37'!$1:$4</definedName>
    <definedName name="_xlnm.Print_Titles" localSheetId="21">'Klickitat Pgs 38-39'!$1:$4</definedName>
    <definedName name="_xlnm.Print_Titles" localSheetId="22">'Lewis Pgs 40-41'!$1:$4</definedName>
    <definedName name="_xlnm.Print_Titles" localSheetId="23">'Lincoln Pgs 42-43'!$1:$4</definedName>
    <definedName name="_xlnm.Print_Titles" localSheetId="24">'Mason Pgs 44-45'!$1:$4</definedName>
    <definedName name="_xlnm.Print_Titles" localSheetId="25">'Northeast Tri Pgs 46-47'!$1:$4</definedName>
    <definedName name="_xlnm.Print_Titles" localSheetId="26">'Okanogan Pgs 48-49'!$1:$4</definedName>
    <definedName name="_xlnm.Print_Titles" localSheetId="27">'Pacific Pgs 50-51'!$1:$4</definedName>
    <definedName name="_xlnm.Print_Titles" localSheetId="28">'San Juan Pgs 52-53'!$1:$4</definedName>
    <definedName name="_xlnm.Print_Titles" localSheetId="29">'Seattle-King Pgs 54-55'!$1:$4</definedName>
    <definedName name="_xlnm.Print_Titles" localSheetId="30">'Skagit Pgs 56-57'!$1:$4</definedName>
    <definedName name="_xlnm.Print_Titles" localSheetId="31">'Skamania Pgs 58-59'!$1:$4</definedName>
    <definedName name="_xlnm.Print_Titles" localSheetId="32">'Snohomish Pgs 60-61'!$1:$4</definedName>
    <definedName name="_xlnm.Print_Titles" localSheetId="33">'Spokane Pgs 62-63'!$1:$4</definedName>
    <definedName name="_xlnm.Print_Titles" localSheetId="34">'Tacoma-Pierce Pgs 64-65'!$1:$4</definedName>
    <definedName name="_xlnm.Print_Titles" localSheetId="35">'Thurston Pgs 66-67'!$1:$4</definedName>
    <definedName name="_xlnm.Print_Titles" localSheetId="36">'Wahkiakum Pgs 68-69'!$1:$4</definedName>
    <definedName name="_xlnm.Print_Titles" localSheetId="37">'Walla Walla Pgs 70-71'!$1:$4</definedName>
    <definedName name="_xlnm.Print_Titles" localSheetId="38">'Whatcom Pgs 72-73'!$1:$4</definedName>
    <definedName name="_xlnm.Print_Titles" localSheetId="39">'Whitman Pgs 74-75'!$1:$4</definedName>
    <definedName name="_xlnm.Print_Titles" localSheetId="40">'Yakima Pgs 76-77'!$1:$4</definedName>
  </definedNames>
  <calcPr calcId="145621"/>
</workbook>
</file>

<file path=xl/calcChain.xml><?xml version="1.0" encoding="utf-8"?>
<calcChain xmlns="http://schemas.openxmlformats.org/spreadsheetml/2006/main">
  <c r="H8" i="7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E50" i="4"/>
  <c r="J38" i="1" l="1"/>
  <c r="E49" i="4" s="1"/>
  <c r="F5" i="30" l="1"/>
  <c r="F7" i="30" l="1"/>
  <c r="G7" i="30"/>
  <c r="G26" i="41" l="1"/>
  <c r="F42" i="30"/>
  <c r="G40" i="30"/>
  <c r="F40" i="30"/>
  <c r="F39" i="30"/>
  <c r="F38" i="30"/>
  <c r="F37" i="30"/>
  <c r="F36" i="30"/>
  <c r="F35" i="30"/>
  <c r="F32" i="30"/>
  <c r="G25" i="30"/>
  <c r="F25" i="30"/>
  <c r="F23" i="30"/>
  <c r="F20" i="30"/>
  <c r="F17" i="30"/>
  <c r="F16" i="30"/>
  <c r="F15" i="30"/>
  <c r="G13" i="30"/>
  <c r="F13" i="30"/>
  <c r="F12" i="30"/>
  <c r="G10" i="30"/>
  <c r="F10" i="30"/>
  <c r="G5" i="30"/>
  <c r="G5" i="22"/>
  <c r="G33" i="20"/>
  <c r="G7" i="20"/>
  <c r="F24" i="18"/>
  <c r="F18" i="18"/>
  <c r="D43" i="7" l="1"/>
  <c r="O40" i="20" l="1"/>
  <c r="O29" i="20"/>
  <c r="O25" i="20"/>
  <c r="O16" i="20"/>
  <c r="O15" i="20"/>
  <c r="O14" i="20"/>
  <c r="O10" i="20"/>
  <c r="R7" i="20"/>
  <c r="I41" i="30" l="1"/>
  <c r="H41" i="30"/>
  <c r="I24" i="30"/>
  <c r="H16" i="30"/>
  <c r="I12" i="30"/>
  <c r="E10" i="30"/>
  <c r="I7" i="30"/>
  <c r="H7" i="30"/>
  <c r="N55" i="18" l="1"/>
  <c r="H19" i="16"/>
  <c r="O16" i="33"/>
  <c r="L42" i="36" l="1"/>
  <c r="Q41" i="36"/>
  <c r="O35" i="36"/>
  <c r="O33" i="36"/>
  <c r="L33" i="36"/>
  <c r="I30" i="36"/>
  <c r="O27" i="36"/>
  <c r="O25" i="36"/>
  <c r="I24" i="36"/>
  <c r="L7" i="36"/>
  <c r="C22" i="7" l="1"/>
  <c r="C23" i="7"/>
  <c r="C24" i="7"/>
  <c r="C27" i="7"/>
  <c r="C28" i="7"/>
  <c r="C30" i="7"/>
  <c r="C32" i="7"/>
  <c r="J18" i="10"/>
  <c r="J16" i="10"/>
  <c r="J14" i="10"/>
  <c r="J12" i="10"/>
  <c r="J9" i="10"/>
  <c r="J8" i="10"/>
  <c r="J7" i="10"/>
  <c r="J5" i="10"/>
  <c r="O10" i="30"/>
  <c r="O46" i="30"/>
  <c r="O37" i="30"/>
  <c r="O26" i="30"/>
  <c r="O13" i="30"/>
  <c r="O8" i="30"/>
  <c r="O7" i="30"/>
  <c r="O25" i="9"/>
  <c r="J16" i="9"/>
  <c r="O14" i="9"/>
  <c r="O7" i="9"/>
  <c r="J7" i="9"/>
  <c r="I53" i="39"/>
  <c r="H14" i="39"/>
  <c r="H14" i="38"/>
  <c r="I7" i="38"/>
  <c r="H5" i="38"/>
  <c r="H41" i="37"/>
  <c r="I33" i="35"/>
  <c r="I16" i="35"/>
  <c r="I41" i="34"/>
  <c r="H41" i="34"/>
  <c r="I19" i="34"/>
  <c r="H19" i="34"/>
  <c r="H9" i="34"/>
  <c r="H41" i="33"/>
  <c r="I8" i="33"/>
  <c r="I8" i="7" s="1"/>
  <c r="H7" i="33"/>
  <c r="I7" i="31"/>
  <c r="I5" i="31"/>
  <c r="I46" i="30"/>
  <c r="I23" i="30"/>
  <c r="H13" i="30"/>
  <c r="I13" i="30"/>
  <c r="I55" i="29"/>
  <c r="H53" i="29"/>
  <c r="H41" i="28"/>
  <c r="C5" i="27"/>
  <c r="I55" i="23"/>
  <c r="H41" i="23"/>
  <c r="H17" i="20"/>
  <c r="H13" i="19"/>
  <c r="I55" i="18"/>
  <c r="H55" i="18"/>
  <c r="G55" i="18"/>
  <c r="I36" i="16"/>
  <c r="I7" i="14"/>
  <c r="H17" i="12"/>
  <c r="H14" i="12"/>
  <c r="H7" i="12"/>
  <c r="I53" i="11"/>
  <c r="I14" i="11"/>
  <c r="H14" i="11"/>
  <c r="H12" i="10"/>
  <c r="I24" i="9"/>
  <c r="H14" i="9"/>
  <c r="H9" i="9"/>
  <c r="H7" i="9"/>
  <c r="O51" i="30"/>
  <c r="R46" i="30"/>
  <c r="R42" i="30"/>
  <c r="R41" i="30"/>
  <c r="R40" i="30"/>
  <c r="H40" i="30"/>
  <c r="R38" i="30"/>
  <c r="O38" i="30"/>
  <c r="H37" i="30"/>
  <c r="O31" i="30"/>
  <c r="N31" i="30"/>
  <c r="R29" i="30"/>
  <c r="R25" i="30"/>
  <c r="O25" i="30"/>
  <c r="N25" i="30"/>
  <c r="R24" i="30"/>
  <c r="M24" i="30"/>
  <c r="H21" i="30"/>
  <c r="E21" i="30"/>
  <c r="H18" i="30"/>
  <c r="I17" i="30"/>
  <c r="H17" i="30"/>
  <c r="R16" i="30"/>
  <c r="R15" i="30"/>
  <c r="O15" i="30"/>
  <c r="H14" i="30"/>
  <c r="R13" i="30"/>
  <c r="N13" i="30"/>
  <c r="R10" i="30"/>
  <c r="H10" i="30"/>
  <c r="H9" i="30"/>
  <c r="R8" i="30"/>
  <c r="R7" i="30"/>
  <c r="R5" i="30"/>
  <c r="H5" i="30"/>
  <c r="C51" i="30"/>
  <c r="H14" i="16"/>
  <c r="H9" i="16"/>
  <c r="H7" i="16"/>
  <c r="H5" i="16"/>
  <c r="R5" i="10"/>
  <c r="R29" i="9"/>
  <c r="O44" i="9"/>
  <c r="O56" i="9" s="1"/>
  <c r="R5" i="9"/>
  <c r="R5" i="6"/>
  <c r="R26" i="33"/>
  <c r="O26" i="33"/>
  <c r="R34" i="33"/>
  <c r="O34" i="33"/>
  <c r="R27" i="33"/>
  <c r="N27" i="33"/>
  <c r="N44" i="33"/>
  <c r="O25" i="33"/>
  <c r="R14" i="33"/>
  <c r="O14" i="33"/>
  <c r="H14" i="33"/>
  <c r="H12" i="33"/>
  <c r="O8" i="33"/>
  <c r="O44" i="33"/>
  <c r="O56" i="33" s="1"/>
  <c r="C26" i="40"/>
  <c r="H7" i="40"/>
  <c r="H5" i="40"/>
  <c r="O31" i="40"/>
  <c r="N31" i="40"/>
  <c r="N44" i="40"/>
  <c r="N56" i="40" s="1"/>
  <c r="O29" i="40"/>
  <c r="O17" i="40"/>
  <c r="O14" i="40"/>
  <c r="H14" i="40"/>
  <c r="O13" i="40"/>
  <c r="H12" i="40"/>
  <c r="R5" i="40"/>
  <c r="O5" i="40"/>
  <c r="O44" i="40"/>
  <c r="O56" i="40" s="1"/>
  <c r="C41" i="40"/>
  <c r="C29" i="40"/>
  <c r="C29" i="7" s="1"/>
  <c r="C17" i="40"/>
  <c r="C14" i="40"/>
  <c r="C13" i="40"/>
  <c r="C12" i="40"/>
  <c r="C7" i="40"/>
  <c r="C5" i="40"/>
  <c r="N29" i="13"/>
  <c r="N27" i="13"/>
  <c r="M27" i="13"/>
  <c r="O16" i="13"/>
  <c r="N14" i="13"/>
  <c r="N44" i="13" s="1"/>
  <c r="N56" i="13" s="1"/>
  <c r="H14" i="13"/>
  <c r="H12" i="13"/>
  <c r="H8" i="13"/>
  <c r="F8" i="13"/>
  <c r="R5" i="13"/>
  <c r="H5" i="13"/>
  <c r="C5" i="13"/>
  <c r="C41" i="13"/>
  <c r="C40" i="13"/>
  <c r="C26" i="13"/>
  <c r="C26" i="7" s="1"/>
  <c r="C25" i="13"/>
  <c r="C25" i="7" s="1"/>
  <c r="C14" i="13"/>
  <c r="C13" i="13"/>
  <c r="C12" i="13"/>
  <c r="C7" i="13"/>
  <c r="R29" i="41"/>
  <c r="N29" i="41"/>
  <c r="N44" i="41"/>
  <c r="N56" i="41" s="1"/>
  <c r="O26" i="41"/>
  <c r="O25" i="41"/>
  <c r="H14" i="41"/>
  <c r="R5" i="41"/>
  <c r="C5" i="41"/>
  <c r="O54" i="19"/>
  <c r="L54" i="19"/>
  <c r="J54" i="19"/>
  <c r="O40" i="19"/>
  <c r="O27" i="19"/>
  <c r="O25" i="19"/>
  <c r="O16" i="19"/>
  <c r="G1" i="19"/>
  <c r="O15" i="19"/>
  <c r="O14" i="19"/>
  <c r="H14" i="19"/>
  <c r="O13" i="19"/>
  <c r="H12" i="19"/>
  <c r="O10" i="19"/>
  <c r="H9" i="19"/>
  <c r="C54" i="19"/>
  <c r="C41" i="19"/>
  <c r="C26" i="19"/>
  <c r="C21" i="19"/>
  <c r="C17" i="19"/>
  <c r="C16" i="19"/>
  <c r="C13" i="19"/>
  <c r="C9" i="19"/>
  <c r="O7" i="19"/>
  <c r="O5" i="19"/>
  <c r="O44" i="19" s="1"/>
  <c r="O56" i="19" s="1"/>
  <c r="L5" i="19"/>
  <c r="L39" i="16"/>
  <c r="L29" i="16"/>
  <c r="N27" i="16"/>
  <c r="N44" i="16" s="1"/>
  <c r="N56" i="16" s="1"/>
  <c r="L26" i="16"/>
  <c r="O25" i="16"/>
  <c r="R19" i="16"/>
  <c r="L18" i="16"/>
  <c r="O16" i="16"/>
  <c r="L15" i="16"/>
  <c r="L44" i="16" s="1"/>
  <c r="L56" i="16" s="1"/>
  <c r="O14" i="16"/>
  <c r="O44" i="16"/>
  <c r="O41" i="20"/>
  <c r="H41" i="20"/>
  <c r="O33" i="20"/>
  <c r="R27" i="20"/>
  <c r="O27" i="20"/>
  <c r="N27" i="20"/>
  <c r="N44" i="20"/>
  <c r="O18" i="20"/>
  <c r="O17" i="20"/>
  <c r="E17" i="20"/>
  <c r="H14" i="20"/>
  <c r="E10" i="20"/>
  <c r="H9" i="20"/>
  <c r="H7" i="20"/>
  <c r="R5" i="20"/>
  <c r="O5" i="20"/>
  <c r="O44" i="20"/>
  <c r="O56" i="20" s="1"/>
  <c r="O27" i="32"/>
  <c r="O26" i="32"/>
  <c r="O25" i="32"/>
  <c r="O16" i="32"/>
  <c r="O15" i="32"/>
  <c r="O14" i="32"/>
  <c r="O11" i="32"/>
  <c r="H11" i="32"/>
  <c r="O10" i="32"/>
  <c r="O44" i="32" s="1"/>
  <c r="O56" i="32" s="1"/>
  <c r="H5" i="32"/>
  <c r="H41" i="15"/>
  <c r="N29" i="15"/>
  <c r="N27" i="15"/>
  <c r="N44" i="15" s="1"/>
  <c r="N56" i="15" s="1"/>
  <c r="G26" i="15"/>
  <c r="O14" i="15"/>
  <c r="H14" i="15"/>
  <c r="O13" i="15"/>
  <c r="H12" i="15"/>
  <c r="H9" i="15"/>
  <c r="H7" i="15"/>
  <c r="F5" i="15"/>
  <c r="H5" i="15"/>
  <c r="G5" i="15"/>
  <c r="C13" i="15"/>
  <c r="C26" i="15"/>
  <c r="C14" i="15"/>
  <c r="C5" i="15"/>
  <c r="H40" i="18"/>
  <c r="H33" i="18"/>
  <c r="O27" i="18"/>
  <c r="N27" i="18"/>
  <c r="G26" i="18"/>
  <c r="O25" i="18"/>
  <c r="H14" i="18"/>
  <c r="O13" i="18"/>
  <c r="H12" i="18"/>
  <c r="H7" i="18"/>
  <c r="O5" i="18"/>
  <c r="O44" i="18"/>
  <c r="O56" i="18" s="1"/>
  <c r="C55" i="18"/>
  <c r="C5" i="18"/>
  <c r="T55" i="35"/>
  <c r="R55" i="35"/>
  <c r="O53" i="35"/>
  <c r="L42" i="35"/>
  <c r="H41" i="35"/>
  <c r="R40" i="35"/>
  <c r="R34" i="35"/>
  <c r="O34" i="35"/>
  <c r="L33" i="35"/>
  <c r="L32" i="35"/>
  <c r="O31" i="35"/>
  <c r="N31" i="35"/>
  <c r="O29" i="35"/>
  <c r="N29" i="35"/>
  <c r="R27" i="35"/>
  <c r="O27" i="35"/>
  <c r="N27" i="35"/>
  <c r="O26" i="35"/>
  <c r="N26" i="35"/>
  <c r="L26" i="35"/>
  <c r="O25" i="35"/>
  <c r="N25" i="35"/>
  <c r="N44" i="35"/>
  <c r="N56" i="35" s="1"/>
  <c r="L25" i="35"/>
  <c r="R24" i="35"/>
  <c r="L24" i="35"/>
  <c r="H24" i="35"/>
  <c r="O22" i="35"/>
  <c r="L17" i="35"/>
  <c r="L16" i="35"/>
  <c r="L15" i="35"/>
  <c r="H14" i="35"/>
  <c r="L13" i="35"/>
  <c r="H13" i="35"/>
  <c r="R7" i="35"/>
  <c r="O7" i="35"/>
  <c r="O44" i="35" s="1"/>
  <c r="L7" i="35"/>
  <c r="H7" i="35"/>
  <c r="G7" i="35"/>
  <c r="R5" i="35"/>
  <c r="L5" i="35"/>
  <c r="C55" i="35"/>
  <c r="R5" i="38"/>
  <c r="N5" i="38"/>
  <c r="F5" i="38"/>
  <c r="R34" i="38"/>
  <c r="N29" i="38"/>
  <c r="N27" i="38"/>
  <c r="L27" i="38"/>
  <c r="L26" i="38"/>
  <c r="O25" i="38"/>
  <c r="O18" i="38"/>
  <c r="O16" i="38"/>
  <c r="O14" i="38"/>
  <c r="O44" i="38"/>
  <c r="O56" i="38" s="1"/>
  <c r="F14" i="38"/>
  <c r="H12" i="38"/>
  <c r="G7" i="38"/>
  <c r="R55" i="39"/>
  <c r="O55" i="39"/>
  <c r="J55" i="39"/>
  <c r="G55" i="39"/>
  <c r="C55" i="39"/>
  <c r="R54" i="39"/>
  <c r="J54" i="39"/>
  <c r="G54" i="39"/>
  <c r="G53" i="39"/>
  <c r="R52" i="39"/>
  <c r="J52" i="39"/>
  <c r="L52" i="39"/>
  <c r="G52" i="39"/>
  <c r="O34" i="39"/>
  <c r="O31" i="39"/>
  <c r="O29" i="39"/>
  <c r="N29" i="39"/>
  <c r="N27" i="39"/>
  <c r="N44" i="39" s="1"/>
  <c r="O26" i="39"/>
  <c r="G26" i="39"/>
  <c r="O25" i="39"/>
  <c r="H24" i="39"/>
  <c r="O17" i="39"/>
  <c r="O16" i="39"/>
  <c r="O12" i="39"/>
  <c r="H12" i="39"/>
  <c r="R5" i="39"/>
  <c r="O5" i="39"/>
  <c r="O44" i="39"/>
  <c r="O56" i="39" s="1"/>
  <c r="O53" i="34"/>
  <c r="O40" i="34"/>
  <c r="H40" i="34"/>
  <c r="N29" i="34"/>
  <c r="N27" i="34"/>
  <c r="N44" i="34" s="1"/>
  <c r="N56" i="34" s="1"/>
  <c r="H22" i="34"/>
  <c r="H21" i="34"/>
  <c r="E21" i="34"/>
  <c r="H17" i="34"/>
  <c r="E17" i="34"/>
  <c r="O16" i="34"/>
  <c r="H14" i="34"/>
  <c r="H12" i="34"/>
  <c r="H7" i="34"/>
  <c r="R5" i="34"/>
  <c r="O29" i="31"/>
  <c r="N29" i="31"/>
  <c r="O27" i="31"/>
  <c r="N27" i="31"/>
  <c r="O26" i="31"/>
  <c r="G26" i="31"/>
  <c r="O25" i="31"/>
  <c r="O17" i="31"/>
  <c r="O16" i="31"/>
  <c r="O15" i="31"/>
  <c r="O14" i="31"/>
  <c r="H12" i="31"/>
  <c r="O10" i="31"/>
  <c r="O44" i="31"/>
  <c r="O7" i="31"/>
  <c r="R5" i="31"/>
  <c r="O54" i="22"/>
  <c r="G53" i="22"/>
  <c r="O29" i="22"/>
  <c r="N27" i="22"/>
  <c r="H20" i="22"/>
  <c r="H14" i="22"/>
  <c r="H12" i="22"/>
  <c r="O5" i="22"/>
  <c r="O44" i="22" s="1"/>
  <c r="O56" i="22" s="1"/>
  <c r="C41" i="37"/>
  <c r="L41" i="37"/>
  <c r="L14" i="37"/>
  <c r="H14" i="37"/>
  <c r="C14" i="37"/>
  <c r="H41" i="17"/>
  <c r="C41" i="17"/>
  <c r="H19" i="17"/>
  <c r="H14" i="17"/>
  <c r="H12" i="17"/>
  <c r="O10" i="17"/>
  <c r="O44" i="17" s="1"/>
  <c r="O56" i="17" s="1"/>
  <c r="C7" i="28"/>
  <c r="C36" i="28"/>
  <c r="R36" i="28"/>
  <c r="H14" i="28"/>
  <c r="C14" i="28"/>
  <c r="R11" i="28"/>
  <c r="H11" i="28"/>
  <c r="R5" i="28"/>
  <c r="L5" i="28"/>
  <c r="G5" i="28"/>
  <c r="H41" i="24"/>
  <c r="O35" i="24"/>
  <c r="O34" i="24"/>
  <c r="N29" i="24"/>
  <c r="N27" i="24"/>
  <c r="N44" i="24" s="1"/>
  <c r="N56" i="24" s="1"/>
  <c r="O25" i="24"/>
  <c r="H24" i="24"/>
  <c r="R24" i="24"/>
  <c r="T24" i="24"/>
  <c r="L24" i="24"/>
  <c r="O14" i="24"/>
  <c r="O44" i="24" s="1"/>
  <c r="O56" i="24" s="1"/>
  <c r="H14" i="24"/>
  <c r="H12" i="24"/>
  <c r="G5" i="24"/>
  <c r="H42" i="21"/>
  <c r="H41" i="21"/>
  <c r="H40" i="21"/>
  <c r="R27" i="21"/>
  <c r="O27" i="21"/>
  <c r="O25" i="21"/>
  <c r="O44" i="21" s="1"/>
  <c r="O56" i="21" s="1"/>
  <c r="N25" i="21"/>
  <c r="H24" i="21"/>
  <c r="H14" i="21"/>
  <c r="H13" i="21"/>
  <c r="R5" i="21"/>
  <c r="L5" i="21"/>
  <c r="G55" i="23"/>
  <c r="O55" i="23"/>
  <c r="H53" i="23"/>
  <c r="O29" i="23"/>
  <c r="N29" i="23"/>
  <c r="N27" i="23"/>
  <c r="N44" i="23" s="1"/>
  <c r="N56" i="23" s="1"/>
  <c r="G26" i="23"/>
  <c r="O25" i="23"/>
  <c r="O44" i="23"/>
  <c r="O56" i="23" s="1"/>
  <c r="H14" i="23"/>
  <c r="H12" i="23"/>
  <c r="H7" i="23"/>
  <c r="R5" i="23"/>
  <c r="L5" i="23"/>
  <c r="J5" i="23"/>
  <c r="G5" i="23"/>
  <c r="C55" i="23"/>
  <c r="L52" i="25"/>
  <c r="N29" i="25"/>
  <c r="N27" i="25"/>
  <c r="N44" i="25" s="1"/>
  <c r="N56" i="25" s="1"/>
  <c r="O25" i="25"/>
  <c r="H14" i="25"/>
  <c r="H9" i="25"/>
  <c r="R5" i="25"/>
  <c r="L5" i="25"/>
  <c r="O49" i="26"/>
  <c r="O34" i="26"/>
  <c r="O31" i="26"/>
  <c r="O29" i="26"/>
  <c r="O27" i="26"/>
  <c r="N27" i="26"/>
  <c r="N44" i="26" s="1"/>
  <c r="N56" i="26" s="1"/>
  <c r="O26" i="26"/>
  <c r="O25" i="26"/>
  <c r="R21" i="26"/>
  <c r="O14" i="26"/>
  <c r="H14" i="26"/>
  <c r="H12" i="26"/>
  <c r="O11" i="26"/>
  <c r="O10" i="26"/>
  <c r="O44" i="26" s="1"/>
  <c r="R5" i="26"/>
  <c r="G49" i="27"/>
  <c r="N27" i="27"/>
  <c r="N44" i="27" s="1"/>
  <c r="N56" i="27" s="1"/>
  <c r="O25" i="27"/>
  <c r="H18" i="27"/>
  <c r="H7" i="27"/>
  <c r="R5" i="27"/>
  <c r="L5" i="27"/>
  <c r="O5" i="27"/>
  <c r="O44" i="27"/>
  <c r="O56" i="27" s="1"/>
  <c r="C18" i="27"/>
  <c r="C49" i="27"/>
  <c r="C40" i="27"/>
  <c r="C17" i="27"/>
  <c r="C7" i="27"/>
  <c r="R55" i="29"/>
  <c r="O55" i="29"/>
  <c r="G55" i="29"/>
  <c r="G53" i="29"/>
  <c r="J52" i="29"/>
  <c r="O52" i="29"/>
  <c r="O27" i="29"/>
  <c r="H14" i="29"/>
  <c r="O13" i="29"/>
  <c r="H12" i="29"/>
  <c r="M8" i="29"/>
  <c r="O7" i="29"/>
  <c r="O44" i="29" s="1"/>
  <c r="H7" i="29"/>
  <c r="N27" i="10"/>
  <c r="N44" i="10"/>
  <c r="N56" i="10" s="1"/>
  <c r="O25" i="10"/>
  <c r="H14" i="10"/>
  <c r="H41" i="9"/>
  <c r="N29" i="9"/>
  <c r="H12" i="9"/>
  <c r="N27" i="14"/>
  <c r="O25" i="14"/>
  <c r="O44" i="14" s="1"/>
  <c r="O56" i="14" s="1"/>
  <c r="H14" i="14"/>
  <c r="R5" i="14"/>
  <c r="H41" i="12"/>
  <c r="N29" i="12"/>
  <c r="N27" i="12"/>
  <c r="N26" i="12"/>
  <c r="N44" i="12"/>
  <c r="N56" i="12" s="1"/>
  <c r="O25" i="12"/>
  <c r="H24" i="12"/>
  <c r="H18" i="12"/>
  <c r="R17" i="12"/>
  <c r="L16" i="12"/>
  <c r="H16" i="12"/>
  <c r="R5" i="12"/>
  <c r="O5" i="12"/>
  <c r="O44" i="12"/>
  <c r="O56" i="12" s="1"/>
  <c r="R53" i="11"/>
  <c r="G53" i="11"/>
  <c r="O42" i="11"/>
  <c r="R33" i="11"/>
  <c r="G33" i="11"/>
  <c r="O26" i="11"/>
  <c r="G26" i="11"/>
  <c r="O25" i="11"/>
  <c r="R17" i="11"/>
  <c r="H17" i="11"/>
  <c r="M16" i="11"/>
  <c r="Q16" i="11"/>
  <c r="D16" i="11"/>
  <c r="R14" i="11"/>
  <c r="O14" i="11"/>
  <c r="H12" i="11"/>
  <c r="R5" i="11"/>
  <c r="O5" i="11"/>
  <c r="O44" i="11"/>
  <c r="O56" i="11" s="1"/>
  <c r="C53" i="11"/>
  <c r="C42" i="11"/>
  <c r="C33" i="11"/>
  <c r="C31" i="11"/>
  <c r="C31" i="7" s="1"/>
  <c r="C17" i="11"/>
  <c r="H14" i="6"/>
  <c r="H12" i="6"/>
  <c r="C14" i="6"/>
  <c r="C5" i="6"/>
  <c r="N29" i="8"/>
  <c r="N27" i="8"/>
  <c r="N44" i="8" s="1"/>
  <c r="N56" i="8" s="1"/>
  <c r="O25" i="8"/>
  <c r="O14" i="8"/>
  <c r="O44" i="8" s="1"/>
  <c r="H14" i="8"/>
  <c r="P44" i="6"/>
  <c r="P56" i="6"/>
  <c r="O44" i="6"/>
  <c r="O56" i="6"/>
  <c r="N44" i="6"/>
  <c r="N56" i="6"/>
  <c r="P44" i="9"/>
  <c r="P56" i="9"/>
  <c r="N44" i="9"/>
  <c r="N56" i="9"/>
  <c r="P44" i="10"/>
  <c r="P56" i="10"/>
  <c r="O44" i="10"/>
  <c r="O56" i="10"/>
  <c r="P44" i="11"/>
  <c r="P56" i="11"/>
  <c r="N44" i="11"/>
  <c r="N56" i="11"/>
  <c r="P44" i="12"/>
  <c r="P56" i="12"/>
  <c r="P44" i="13"/>
  <c r="P56" i="13"/>
  <c r="O44" i="13"/>
  <c r="O56" i="13"/>
  <c r="P44" i="14"/>
  <c r="P56" i="14"/>
  <c r="N44" i="14"/>
  <c r="N56" i="14" s="1"/>
  <c r="P44" i="15"/>
  <c r="P56" i="15" s="1"/>
  <c r="O44" i="15"/>
  <c r="O56" i="15" s="1"/>
  <c r="P44" i="16"/>
  <c r="P56" i="16" s="1"/>
  <c r="O56" i="16"/>
  <c r="P44" i="17"/>
  <c r="P56" i="17"/>
  <c r="N44" i="17"/>
  <c r="N56" i="17" s="1"/>
  <c r="P44" i="18"/>
  <c r="P56" i="18" s="1"/>
  <c r="N44" i="18"/>
  <c r="N56" i="18" s="1"/>
  <c r="P44" i="19"/>
  <c r="P56" i="19" s="1"/>
  <c r="N44" i="19"/>
  <c r="N56" i="19" s="1"/>
  <c r="P44" i="20"/>
  <c r="P56" i="20" s="1"/>
  <c r="N56" i="20"/>
  <c r="P44" i="21"/>
  <c r="P56" i="21"/>
  <c r="N44" i="21"/>
  <c r="N56" i="21"/>
  <c r="P44" i="22"/>
  <c r="P56" i="22"/>
  <c r="N44" i="22"/>
  <c r="N56" i="22"/>
  <c r="P44" i="23"/>
  <c r="P56" i="23"/>
  <c r="P44" i="24"/>
  <c r="P56" i="24" s="1"/>
  <c r="P44" i="25"/>
  <c r="P56" i="25"/>
  <c r="O44" i="25"/>
  <c r="O56" i="25"/>
  <c r="P44" i="26"/>
  <c r="P56" i="26" s="1"/>
  <c r="O56" i="26"/>
  <c r="P44" i="27"/>
  <c r="P56" i="27"/>
  <c r="P44" i="28"/>
  <c r="P56" i="28" s="1"/>
  <c r="O44" i="28"/>
  <c r="O56" i="28" s="1"/>
  <c r="N44" i="28"/>
  <c r="N56" i="28" s="1"/>
  <c r="P44" i="29"/>
  <c r="P56" i="29" s="1"/>
  <c r="O56" i="29"/>
  <c r="N44" i="29"/>
  <c r="N56" i="29"/>
  <c r="P44" i="30"/>
  <c r="P56" i="30"/>
  <c r="O44" i="30"/>
  <c r="O56" i="30"/>
  <c r="N44" i="30"/>
  <c r="N56" i="30"/>
  <c r="P44" i="31"/>
  <c r="P56" i="31"/>
  <c r="O56" i="31"/>
  <c r="N44" i="31"/>
  <c r="N56" i="31" s="1"/>
  <c r="P44" i="32"/>
  <c r="P56" i="32" s="1"/>
  <c r="N44" i="32"/>
  <c r="N56" i="32" s="1"/>
  <c r="P44" i="33"/>
  <c r="P56" i="33"/>
  <c r="N56" i="33"/>
  <c r="P44" i="34"/>
  <c r="P56" i="34" s="1"/>
  <c r="O44" i="34"/>
  <c r="O56" i="34" s="1"/>
  <c r="P44" i="35"/>
  <c r="P56" i="35" s="1"/>
  <c r="O56" i="35"/>
  <c r="P44" i="36"/>
  <c r="P56" i="36"/>
  <c r="O44" i="36"/>
  <c r="O56" i="36" s="1"/>
  <c r="N44" i="36"/>
  <c r="N56" i="36" s="1"/>
  <c r="P44" i="37"/>
  <c r="P56" i="37"/>
  <c r="O44" i="37"/>
  <c r="O56" i="37"/>
  <c r="N44" i="37"/>
  <c r="N56" i="37"/>
  <c r="P44" i="38"/>
  <c r="P56" i="38"/>
  <c r="P44" i="39"/>
  <c r="P56" i="39"/>
  <c r="N56" i="39"/>
  <c r="P44" i="40"/>
  <c r="P56" i="40" s="1"/>
  <c r="P44" i="41"/>
  <c r="P56" i="41" s="1"/>
  <c r="O44" i="41"/>
  <c r="O56" i="41" s="1"/>
  <c r="P44" i="8"/>
  <c r="P56" i="8" s="1"/>
  <c r="O56" i="8"/>
  <c r="K44" i="6"/>
  <c r="K56" i="6"/>
  <c r="L44" i="6"/>
  <c r="L56" i="6"/>
  <c r="K44" i="9"/>
  <c r="K56" i="9"/>
  <c r="L44" i="9"/>
  <c r="L56" i="9"/>
  <c r="K44" i="10"/>
  <c r="K56" i="10"/>
  <c r="K44" i="11"/>
  <c r="K56" i="11"/>
  <c r="L44" i="11"/>
  <c r="L56" i="11"/>
  <c r="K44" i="12"/>
  <c r="K56" i="12"/>
  <c r="L44" i="12"/>
  <c r="L56" i="12"/>
  <c r="K44" i="13"/>
  <c r="K56" i="13"/>
  <c r="L44" i="13"/>
  <c r="L56" i="13"/>
  <c r="K44" i="14"/>
  <c r="K56" i="14"/>
  <c r="L44" i="14"/>
  <c r="L56" i="14"/>
  <c r="K44" i="15"/>
  <c r="K56" i="15"/>
  <c r="L44" i="15"/>
  <c r="L56" i="15"/>
  <c r="K44" i="16"/>
  <c r="K56" i="16"/>
  <c r="K44" i="17"/>
  <c r="K56" i="17"/>
  <c r="L44" i="17"/>
  <c r="L56" i="17" s="1"/>
  <c r="K44" i="18"/>
  <c r="K56" i="18"/>
  <c r="L44" i="18"/>
  <c r="L56" i="18"/>
  <c r="K44" i="19"/>
  <c r="K56" i="19"/>
  <c r="L44" i="19"/>
  <c r="K44" i="20"/>
  <c r="K56" i="20" s="1"/>
  <c r="L44" i="20"/>
  <c r="L56" i="20" s="1"/>
  <c r="K44" i="21"/>
  <c r="K56" i="21" s="1"/>
  <c r="L44" i="21"/>
  <c r="L56" i="21" s="1"/>
  <c r="K44" i="22"/>
  <c r="K56" i="22" s="1"/>
  <c r="L44" i="22"/>
  <c r="L56" i="22" s="1"/>
  <c r="K44" i="23"/>
  <c r="K56" i="23" s="1"/>
  <c r="L44" i="23"/>
  <c r="L56" i="23" s="1"/>
  <c r="K44" i="24"/>
  <c r="K56" i="24" s="1"/>
  <c r="L44" i="24"/>
  <c r="L56" i="24" s="1"/>
  <c r="K44" i="25"/>
  <c r="K56" i="25" s="1"/>
  <c r="L44" i="25"/>
  <c r="L56" i="25" s="1"/>
  <c r="K44" i="26"/>
  <c r="K56" i="26" s="1"/>
  <c r="L44" i="26"/>
  <c r="L56" i="26" s="1"/>
  <c r="K44" i="27"/>
  <c r="K56" i="27" s="1"/>
  <c r="L44" i="27"/>
  <c r="L56" i="27" s="1"/>
  <c r="K44" i="28"/>
  <c r="K56" i="28" s="1"/>
  <c r="L44" i="28"/>
  <c r="L56" i="28" s="1"/>
  <c r="K44" i="29"/>
  <c r="K56" i="29" s="1"/>
  <c r="L44" i="29"/>
  <c r="L56" i="29" s="1"/>
  <c r="K44" i="30"/>
  <c r="K56" i="30" s="1"/>
  <c r="L44" i="30"/>
  <c r="L56" i="30" s="1"/>
  <c r="K44" i="31"/>
  <c r="K56" i="31" s="1"/>
  <c r="L44" i="31"/>
  <c r="L56" i="31" s="1"/>
  <c r="K44" i="32"/>
  <c r="K56" i="32" s="1"/>
  <c r="L44" i="32"/>
  <c r="L56" i="32" s="1"/>
  <c r="K44" i="33"/>
  <c r="K56" i="33" s="1"/>
  <c r="L44" i="33"/>
  <c r="L56" i="33" s="1"/>
  <c r="K44" i="34"/>
  <c r="K56" i="34" s="1"/>
  <c r="L44" i="34"/>
  <c r="L56" i="34" s="1"/>
  <c r="K44" i="35"/>
  <c r="K56" i="35" s="1"/>
  <c r="L44" i="35"/>
  <c r="L56" i="35" s="1"/>
  <c r="K44" i="36"/>
  <c r="K56" i="36" s="1"/>
  <c r="L44" i="36"/>
  <c r="L56" i="36" s="1"/>
  <c r="K44" i="37"/>
  <c r="K56" i="37" s="1"/>
  <c r="L44" i="37"/>
  <c r="L56" i="37" s="1"/>
  <c r="K44" i="38"/>
  <c r="K56" i="38" s="1"/>
  <c r="L44" i="38"/>
  <c r="L56" i="38" s="1"/>
  <c r="K44" i="39"/>
  <c r="K56" i="39" s="1"/>
  <c r="L44" i="39"/>
  <c r="L56" i="39" s="1"/>
  <c r="K44" i="40"/>
  <c r="K56" i="40" s="1"/>
  <c r="L44" i="40"/>
  <c r="L56" i="40" s="1"/>
  <c r="K44" i="41"/>
  <c r="K56" i="41" s="1"/>
  <c r="L44" i="41"/>
  <c r="L56" i="41" s="1"/>
  <c r="K44" i="8"/>
  <c r="K56" i="8" s="1"/>
  <c r="L44" i="8"/>
  <c r="L56" i="8" s="1"/>
  <c r="J44" i="6"/>
  <c r="J56" i="6" s="1"/>
  <c r="J44" i="9"/>
  <c r="J56" i="9" s="1"/>
  <c r="J44" i="10"/>
  <c r="J56" i="10" s="1"/>
  <c r="J44" i="11"/>
  <c r="J56" i="11" s="1"/>
  <c r="J44" i="12"/>
  <c r="J56" i="12" s="1"/>
  <c r="J44" i="13"/>
  <c r="J56" i="13" s="1"/>
  <c r="J44" i="14"/>
  <c r="J56" i="14" s="1"/>
  <c r="J44" i="15"/>
  <c r="J56" i="15" s="1"/>
  <c r="J44" i="16"/>
  <c r="J56" i="16" s="1"/>
  <c r="J44" i="17"/>
  <c r="J56" i="17" s="1"/>
  <c r="J44" i="18"/>
  <c r="J56" i="18" s="1"/>
  <c r="J44" i="19"/>
  <c r="J56" i="19" s="1"/>
  <c r="J44" i="20"/>
  <c r="J56" i="20" s="1"/>
  <c r="J44" i="21"/>
  <c r="J56" i="21" s="1"/>
  <c r="J44" i="22"/>
  <c r="J56" i="22" s="1"/>
  <c r="J44" i="23"/>
  <c r="J56" i="23" s="1"/>
  <c r="J44" i="24"/>
  <c r="J56" i="24" s="1"/>
  <c r="J44" i="25"/>
  <c r="J56" i="25" s="1"/>
  <c r="J44" i="26"/>
  <c r="J56" i="26" s="1"/>
  <c r="J44" i="27"/>
  <c r="J56" i="27" s="1"/>
  <c r="J44" i="28"/>
  <c r="J56" i="28" s="1"/>
  <c r="J44" i="29"/>
  <c r="J56" i="29" s="1"/>
  <c r="J44" i="30"/>
  <c r="J56" i="30" s="1"/>
  <c r="J44" i="31"/>
  <c r="J56" i="31" s="1"/>
  <c r="J44" i="32"/>
  <c r="J56" i="32" s="1"/>
  <c r="J44" i="33"/>
  <c r="J56" i="33" s="1"/>
  <c r="J44" i="34"/>
  <c r="J56" i="34" s="1"/>
  <c r="J44" i="35"/>
  <c r="J56" i="35" s="1"/>
  <c r="J44" i="36"/>
  <c r="J56" i="36" s="1"/>
  <c r="J44" i="37"/>
  <c r="J56" i="37" s="1"/>
  <c r="J44" i="38"/>
  <c r="J56" i="38" s="1"/>
  <c r="J44" i="39"/>
  <c r="J56" i="39" s="1"/>
  <c r="J44" i="40"/>
  <c r="J56" i="40" s="1"/>
  <c r="J44" i="41"/>
  <c r="J56" i="41" s="1"/>
  <c r="J44" i="8"/>
  <c r="J56" i="8" s="1"/>
  <c r="Q55" i="6"/>
  <c r="Q54" i="6"/>
  <c r="Q53" i="6"/>
  <c r="Q52" i="6"/>
  <c r="Q51" i="6"/>
  <c r="Q50" i="6"/>
  <c r="Q49" i="6"/>
  <c r="Q48" i="6"/>
  <c r="Q47" i="6"/>
  <c r="Q46" i="6"/>
  <c r="Q45" i="6"/>
  <c r="Q55" i="9"/>
  <c r="Q54" i="9"/>
  <c r="Q53" i="9"/>
  <c r="Q52" i="9"/>
  <c r="Q51" i="9"/>
  <c r="Q50" i="9"/>
  <c r="Q49" i="9"/>
  <c r="Q48" i="9"/>
  <c r="Q47" i="9"/>
  <c r="Q46" i="9"/>
  <c r="Q45" i="9"/>
  <c r="Q55" i="10"/>
  <c r="Q54" i="10"/>
  <c r="Q53" i="10"/>
  <c r="Q52" i="10"/>
  <c r="Q51" i="10"/>
  <c r="Q50" i="10"/>
  <c r="Q49" i="10"/>
  <c r="Q48" i="10"/>
  <c r="Q47" i="10"/>
  <c r="Q46" i="10"/>
  <c r="Q45" i="10"/>
  <c r="Q55" i="11"/>
  <c r="Q54" i="11"/>
  <c r="Q53" i="11"/>
  <c r="Q52" i="11"/>
  <c r="Q51" i="11"/>
  <c r="Q50" i="11"/>
  <c r="Q49" i="11"/>
  <c r="Q48" i="11"/>
  <c r="Q47" i="11"/>
  <c r="Q46" i="11"/>
  <c r="Q45" i="11"/>
  <c r="Q55" i="12"/>
  <c r="Q54" i="12"/>
  <c r="Q53" i="12"/>
  <c r="Q52" i="12"/>
  <c r="Q51" i="12"/>
  <c r="Q50" i="12"/>
  <c r="Q49" i="12"/>
  <c r="Q48" i="12"/>
  <c r="Q47" i="12"/>
  <c r="Q46" i="12"/>
  <c r="Q45" i="12"/>
  <c r="Q55" i="13"/>
  <c r="Q54" i="13"/>
  <c r="Q53" i="13"/>
  <c r="Q52" i="13"/>
  <c r="Q51" i="13"/>
  <c r="Q50" i="13"/>
  <c r="Q49" i="13"/>
  <c r="Q48" i="13"/>
  <c r="Q47" i="13"/>
  <c r="Q46" i="13"/>
  <c r="Q45" i="13"/>
  <c r="Q55" i="14"/>
  <c r="Q54" i="14"/>
  <c r="Q53" i="14"/>
  <c r="Q52" i="14"/>
  <c r="Q51" i="14"/>
  <c r="Q50" i="14"/>
  <c r="Q49" i="14"/>
  <c r="Q48" i="14"/>
  <c r="Q47" i="14"/>
  <c r="Q46" i="14"/>
  <c r="Q45" i="14"/>
  <c r="Q55" i="15"/>
  <c r="Q54" i="15"/>
  <c r="Q53" i="15"/>
  <c r="Q52" i="15"/>
  <c r="Q51" i="15"/>
  <c r="Q50" i="15"/>
  <c r="Q49" i="15"/>
  <c r="Q48" i="15"/>
  <c r="Q47" i="15"/>
  <c r="Q46" i="15"/>
  <c r="Q45" i="15"/>
  <c r="Q55" i="16"/>
  <c r="Q54" i="16"/>
  <c r="Q53" i="16"/>
  <c r="Q52" i="16"/>
  <c r="Q51" i="16"/>
  <c r="Q50" i="16"/>
  <c r="Q49" i="16"/>
  <c r="Q48" i="16"/>
  <c r="Q47" i="16"/>
  <c r="Q46" i="16"/>
  <c r="Q45" i="16"/>
  <c r="Q55" i="17"/>
  <c r="Q54" i="17"/>
  <c r="Q53" i="17"/>
  <c r="Q52" i="17"/>
  <c r="Q51" i="17"/>
  <c r="Q50" i="17"/>
  <c r="Q49" i="17"/>
  <c r="Q48" i="17"/>
  <c r="Q47" i="17"/>
  <c r="Q46" i="17"/>
  <c r="Q45" i="17"/>
  <c r="Q55" i="18"/>
  <c r="Q54" i="18"/>
  <c r="Q53" i="18"/>
  <c r="Q52" i="18"/>
  <c r="Q51" i="18"/>
  <c r="Q50" i="18"/>
  <c r="Q49" i="18"/>
  <c r="Q48" i="18"/>
  <c r="Q47" i="18"/>
  <c r="Q46" i="18"/>
  <c r="Q45" i="18"/>
  <c r="Q55" i="19"/>
  <c r="Q54" i="19"/>
  <c r="Q53" i="19"/>
  <c r="Q52" i="19"/>
  <c r="Q51" i="19"/>
  <c r="Q50" i="19"/>
  <c r="Q49" i="19"/>
  <c r="Q48" i="19"/>
  <c r="Q47" i="19"/>
  <c r="Q46" i="19"/>
  <c r="Q45" i="19"/>
  <c r="Q55" i="20"/>
  <c r="Q54" i="20"/>
  <c r="Q53" i="20"/>
  <c r="Q52" i="20"/>
  <c r="Q51" i="20"/>
  <c r="Q50" i="20"/>
  <c r="Q49" i="20"/>
  <c r="Q48" i="20"/>
  <c r="Q47" i="20"/>
  <c r="Q46" i="20"/>
  <c r="Q45" i="20"/>
  <c r="Q55" i="21"/>
  <c r="Q54" i="21"/>
  <c r="Q53" i="21"/>
  <c r="Q52" i="21"/>
  <c r="Q51" i="21"/>
  <c r="Q50" i="21"/>
  <c r="Q49" i="21"/>
  <c r="Q48" i="21"/>
  <c r="Q47" i="21"/>
  <c r="Q46" i="21"/>
  <c r="Q45" i="21"/>
  <c r="Q55" i="22"/>
  <c r="Q54" i="22"/>
  <c r="Q53" i="22"/>
  <c r="Q52" i="22"/>
  <c r="Q51" i="22"/>
  <c r="Q50" i="22"/>
  <c r="Q49" i="22"/>
  <c r="Q48" i="22"/>
  <c r="Q47" i="22"/>
  <c r="Q46" i="22"/>
  <c r="Q45" i="22"/>
  <c r="Q55" i="23"/>
  <c r="Q54" i="23"/>
  <c r="Q53" i="23"/>
  <c r="Q52" i="23"/>
  <c r="Q51" i="23"/>
  <c r="Q50" i="23"/>
  <c r="Q49" i="23"/>
  <c r="Q48" i="23"/>
  <c r="Q47" i="23"/>
  <c r="Q46" i="23"/>
  <c r="Q45" i="23"/>
  <c r="Q55" i="24"/>
  <c r="Q54" i="24"/>
  <c r="Q53" i="24"/>
  <c r="Q52" i="24"/>
  <c r="Q51" i="24"/>
  <c r="Q50" i="24"/>
  <c r="Q49" i="24"/>
  <c r="Q48" i="24"/>
  <c r="Q47" i="24"/>
  <c r="Q46" i="24"/>
  <c r="Q45" i="24"/>
  <c r="Q55" i="25"/>
  <c r="Q54" i="25"/>
  <c r="Q53" i="25"/>
  <c r="Q52" i="25"/>
  <c r="Q51" i="25"/>
  <c r="Q50" i="25"/>
  <c r="Q49" i="25"/>
  <c r="Q48" i="25"/>
  <c r="Q47" i="25"/>
  <c r="Q46" i="25"/>
  <c r="Q45" i="25"/>
  <c r="Q55" i="26"/>
  <c r="Q54" i="26"/>
  <c r="Q53" i="26"/>
  <c r="Q52" i="26"/>
  <c r="Q51" i="26"/>
  <c r="Q50" i="26"/>
  <c r="Q49" i="26"/>
  <c r="Q48" i="26"/>
  <c r="Q47" i="26"/>
  <c r="Q46" i="26"/>
  <c r="Q45" i="26"/>
  <c r="Q55" i="27"/>
  <c r="Q54" i="27"/>
  <c r="Q53" i="27"/>
  <c r="Q52" i="27"/>
  <c r="Q51" i="27"/>
  <c r="Q50" i="27"/>
  <c r="Q49" i="27"/>
  <c r="Q48" i="27"/>
  <c r="Q47" i="27"/>
  <c r="Q46" i="27"/>
  <c r="Q45" i="27"/>
  <c r="Q55" i="28"/>
  <c r="Q54" i="28"/>
  <c r="Q53" i="28"/>
  <c r="Q52" i="28"/>
  <c r="Q51" i="28"/>
  <c r="Q50" i="28"/>
  <c r="Q49" i="28"/>
  <c r="Q48" i="28"/>
  <c r="Q47" i="28"/>
  <c r="Q46" i="28"/>
  <c r="Q45" i="28"/>
  <c r="Q55" i="29"/>
  <c r="Q54" i="29"/>
  <c r="Q53" i="29"/>
  <c r="Q52" i="29"/>
  <c r="Q51" i="29"/>
  <c r="Q50" i="29"/>
  <c r="Q49" i="29"/>
  <c r="Q48" i="29"/>
  <c r="Q47" i="29"/>
  <c r="Q46" i="29"/>
  <c r="Q45" i="29"/>
  <c r="Q55" i="30"/>
  <c r="Q54" i="30"/>
  <c r="Q53" i="30"/>
  <c r="Q52" i="30"/>
  <c r="Q51" i="30"/>
  <c r="Q50" i="30"/>
  <c r="Q49" i="30"/>
  <c r="Q48" i="30"/>
  <c r="Q47" i="30"/>
  <c r="Q46" i="30"/>
  <c r="Q45" i="30"/>
  <c r="Q55" i="31"/>
  <c r="Q54" i="31"/>
  <c r="Q53" i="31"/>
  <c r="Q52" i="31"/>
  <c r="Q51" i="31"/>
  <c r="Q50" i="31"/>
  <c r="Q49" i="31"/>
  <c r="Q48" i="31"/>
  <c r="Q47" i="31"/>
  <c r="Q46" i="31"/>
  <c r="Q45" i="31"/>
  <c r="Q55" i="32"/>
  <c r="Q54" i="32"/>
  <c r="Q53" i="32"/>
  <c r="Q52" i="32"/>
  <c r="Q51" i="32"/>
  <c r="Q50" i="32"/>
  <c r="Q49" i="32"/>
  <c r="Q48" i="32"/>
  <c r="Q47" i="32"/>
  <c r="Q46" i="32"/>
  <c r="Q45" i="32"/>
  <c r="Q55" i="33"/>
  <c r="Q54" i="33"/>
  <c r="Q53" i="33"/>
  <c r="Q52" i="33"/>
  <c r="Q51" i="33"/>
  <c r="Q50" i="33"/>
  <c r="Q49" i="33"/>
  <c r="Q48" i="33"/>
  <c r="Q47" i="33"/>
  <c r="Q46" i="33"/>
  <c r="Q45" i="33"/>
  <c r="Q55" i="34"/>
  <c r="Q54" i="34"/>
  <c r="Q53" i="34"/>
  <c r="Q52" i="34"/>
  <c r="Q51" i="34"/>
  <c r="Q50" i="34"/>
  <c r="Q49" i="34"/>
  <c r="Q48" i="34"/>
  <c r="Q47" i="34"/>
  <c r="Q46" i="34"/>
  <c r="Q45" i="34"/>
  <c r="Q55" i="35"/>
  <c r="Q54" i="35"/>
  <c r="Q53" i="35"/>
  <c r="Q52" i="35"/>
  <c r="Q51" i="35"/>
  <c r="Q50" i="35"/>
  <c r="Q49" i="35"/>
  <c r="Q48" i="35"/>
  <c r="Q47" i="35"/>
  <c r="Q46" i="35"/>
  <c r="Q45" i="35"/>
  <c r="Q55" i="36"/>
  <c r="Q54" i="36"/>
  <c r="Q53" i="36"/>
  <c r="Q52" i="36"/>
  <c r="Q51" i="36"/>
  <c r="Q50" i="36"/>
  <c r="Q49" i="36"/>
  <c r="Q48" i="36"/>
  <c r="Q47" i="36"/>
  <c r="Q46" i="36"/>
  <c r="Q45" i="36"/>
  <c r="Q55" i="37"/>
  <c r="Q54" i="37"/>
  <c r="Q53" i="37"/>
  <c r="Q52" i="37"/>
  <c r="Q51" i="37"/>
  <c r="Q50" i="37"/>
  <c r="Q49" i="37"/>
  <c r="Q48" i="37"/>
  <c r="Q47" i="37"/>
  <c r="Q46" i="37"/>
  <c r="Q45" i="37"/>
  <c r="Q55" i="38"/>
  <c r="Q54" i="38"/>
  <c r="Q53" i="38"/>
  <c r="Q52" i="38"/>
  <c r="Q51" i="38"/>
  <c r="Q50" i="38"/>
  <c r="Q49" i="38"/>
  <c r="Q48" i="38"/>
  <c r="Q47" i="38"/>
  <c r="Q46" i="38"/>
  <c r="Q45" i="38"/>
  <c r="Q55" i="39"/>
  <c r="Q54" i="39"/>
  <c r="Q53" i="39"/>
  <c r="Q52" i="39"/>
  <c r="Q51" i="39"/>
  <c r="Q50" i="39"/>
  <c r="Q49" i="39"/>
  <c r="Q48" i="39"/>
  <c r="Q47" i="39"/>
  <c r="Q46" i="39"/>
  <c r="Q45" i="39"/>
  <c r="Q55" i="40"/>
  <c r="Q54" i="40"/>
  <c r="Q53" i="40"/>
  <c r="Q52" i="40"/>
  <c r="Q51" i="40"/>
  <c r="Q50" i="40"/>
  <c r="Q49" i="40"/>
  <c r="Q48" i="40"/>
  <c r="Q47" i="40"/>
  <c r="Q46" i="40"/>
  <c r="Q45" i="40"/>
  <c r="Q55" i="41"/>
  <c r="Q54" i="41"/>
  <c r="Q53" i="41"/>
  <c r="Q52" i="41"/>
  <c r="Q51" i="41"/>
  <c r="Q50" i="41"/>
  <c r="Q49" i="41"/>
  <c r="Q48" i="41"/>
  <c r="Q47" i="41"/>
  <c r="Q46" i="41"/>
  <c r="Q45" i="41"/>
  <c r="Q55" i="8"/>
  <c r="Q54" i="8"/>
  <c r="Q53" i="8"/>
  <c r="Q52" i="8"/>
  <c r="Q51" i="8"/>
  <c r="Q50" i="8"/>
  <c r="Q49" i="8"/>
  <c r="Q48" i="8"/>
  <c r="Q47" i="8"/>
  <c r="Q46" i="8"/>
  <c r="Q45" i="8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9" i="11"/>
  <c r="Q10" i="11"/>
  <c r="Q11" i="11"/>
  <c r="Q12" i="11"/>
  <c r="Q13" i="11"/>
  <c r="Q14" i="11"/>
  <c r="Q15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9" i="19"/>
  <c r="Q10" i="19"/>
  <c r="Q11" i="19"/>
  <c r="Q12" i="19"/>
  <c r="Q13" i="19"/>
  <c r="Q14" i="19"/>
  <c r="Q15" i="19"/>
  <c r="Q16" i="19"/>
  <c r="Q17" i="19"/>
  <c r="Q18" i="19"/>
  <c r="Q19" i="19"/>
  <c r="Q20" i="19"/>
  <c r="Q21" i="19"/>
  <c r="Q22" i="19"/>
  <c r="Q23" i="19"/>
  <c r="Q24" i="19"/>
  <c r="Q25" i="19"/>
  <c r="Q26" i="19"/>
  <c r="Q27" i="19"/>
  <c r="Q28" i="19"/>
  <c r="Q29" i="19"/>
  <c r="Q30" i="19"/>
  <c r="Q31" i="19"/>
  <c r="Q32" i="19"/>
  <c r="Q33" i="19"/>
  <c r="Q34" i="19"/>
  <c r="Q35" i="19"/>
  <c r="Q36" i="19"/>
  <c r="Q37" i="19"/>
  <c r="Q38" i="19"/>
  <c r="Q39" i="19"/>
  <c r="Q40" i="19"/>
  <c r="Q41" i="19"/>
  <c r="Q42" i="19"/>
  <c r="Q43" i="19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Q36" i="24"/>
  <c r="Q37" i="24"/>
  <c r="Q38" i="24"/>
  <c r="Q39" i="24"/>
  <c r="Q40" i="24"/>
  <c r="Q41" i="24"/>
  <c r="Q42" i="24"/>
  <c r="Q43" i="24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9" i="26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32" i="26"/>
  <c r="Q33" i="26"/>
  <c r="Q34" i="26"/>
  <c r="Q35" i="26"/>
  <c r="Q36" i="26"/>
  <c r="Q37" i="26"/>
  <c r="Q38" i="26"/>
  <c r="Q39" i="26"/>
  <c r="Q40" i="26"/>
  <c r="Q41" i="26"/>
  <c r="Q42" i="26"/>
  <c r="Q43" i="26"/>
  <c r="Q9" i="27"/>
  <c r="Q10" i="27"/>
  <c r="Q11" i="27"/>
  <c r="Q12" i="27"/>
  <c r="Q13" i="27"/>
  <c r="Q14" i="27"/>
  <c r="Q15" i="27"/>
  <c r="Q16" i="27"/>
  <c r="Q17" i="27"/>
  <c r="Q18" i="27"/>
  <c r="Q19" i="27"/>
  <c r="Q20" i="27"/>
  <c r="Q21" i="27"/>
  <c r="Q22" i="27"/>
  <c r="Q23" i="27"/>
  <c r="Q24" i="27"/>
  <c r="Q25" i="27"/>
  <c r="Q26" i="27"/>
  <c r="Q27" i="27"/>
  <c r="Q28" i="27"/>
  <c r="Q29" i="27"/>
  <c r="Q30" i="27"/>
  <c r="Q31" i="27"/>
  <c r="Q32" i="27"/>
  <c r="Q33" i="27"/>
  <c r="Q34" i="27"/>
  <c r="Q35" i="27"/>
  <c r="Q36" i="27"/>
  <c r="Q37" i="27"/>
  <c r="Q38" i="27"/>
  <c r="Q39" i="27"/>
  <c r="Q40" i="27"/>
  <c r="Q41" i="27"/>
  <c r="Q42" i="27"/>
  <c r="Q43" i="27"/>
  <c r="Q9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3" i="28"/>
  <c r="Q24" i="28"/>
  <c r="Q25" i="28"/>
  <c r="Q26" i="28"/>
  <c r="Q27" i="28"/>
  <c r="Q28" i="28"/>
  <c r="Q29" i="28"/>
  <c r="Q30" i="28"/>
  <c r="Q31" i="28"/>
  <c r="Q32" i="28"/>
  <c r="Q33" i="28"/>
  <c r="Q34" i="28"/>
  <c r="Q35" i="28"/>
  <c r="Q36" i="28"/>
  <c r="Q37" i="28"/>
  <c r="Q38" i="28"/>
  <c r="Q39" i="28"/>
  <c r="Q40" i="28"/>
  <c r="Q41" i="28"/>
  <c r="Q42" i="28"/>
  <c r="Q43" i="28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Q30" i="29"/>
  <c r="Q31" i="29"/>
  <c r="Q32" i="29"/>
  <c r="Q33" i="29"/>
  <c r="Q34" i="29"/>
  <c r="Q35" i="29"/>
  <c r="Q36" i="29"/>
  <c r="Q37" i="29"/>
  <c r="Q38" i="29"/>
  <c r="Q39" i="29"/>
  <c r="Q40" i="29"/>
  <c r="Q41" i="29"/>
  <c r="Q42" i="29"/>
  <c r="Q43" i="29"/>
  <c r="Q9" i="30"/>
  <c r="Q10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32" i="30"/>
  <c r="Q33" i="30"/>
  <c r="Q34" i="30"/>
  <c r="Q35" i="30"/>
  <c r="Q36" i="30"/>
  <c r="Q37" i="30"/>
  <c r="Q38" i="30"/>
  <c r="Q39" i="30"/>
  <c r="Q40" i="30"/>
  <c r="Q41" i="30"/>
  <c r="Q42" i="30"/>
  <c r="Q43" i="30"/>
  <c r="Q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23" i="31"/>
  <c r="Q24" i="31"/>
  <c r="Q25" i="31"/>
  <c r="Q26" i="31"/>
  <c r="Q27" i="31"/>
  <c r="Q28" i="31"/>
  <c r="Q29" i="31"/>
  <c r="Q30" i="31"/>
  <c r="Q31" i="31"/>
  <c r="Q32" i="31"/>
  <c r="Q33" i="31"/>
  <c r="Q34" i="31"/>
  <c r="Q35" i="31"/>
  <c r="Q36" i="31"/>
  <c r="Q37" i="31"/>
  <c r="Q38" i="31"/>
  <c r="Q39" i="31"/>
  <c r="Q40" i="31"/>
  <c r="Q41" i="31"/>
  <c r="Q42" i="31"/>
  <c r="Q43" i="31"/>
  <c r="Q9" i="32"/>
  <c r="Q10" i="32"/>
  <c r="Q11" i="32"/>
  <c r="Q12" i="32"/>
  <c r="Q13" i="32"/>
  <c r="Q14" i="32"/>
  <c r="Q15" i="32"/>
  <c r="Q16" i="32"/>
  <c r="Q17" i="32"/>
  <c r="Q18" i="32"/>
  <c r="Q19" i="32"/>
  <c r="Q20" i="32"/>
  <c r="Q21" i="32"/>
  <c r="Q22" i="32"/>
  <c r="Q23" i="32"/>
  <c r="Q24" i="32"/>
  <c r="Q25" i="32"/>
  <c r="Q26" i="32"/>
  <c r="Q27" i="32"/>
  <c r="Q28" i="32"/>
  <c r="Q29" i="32"/>
  <c r="Q30" i="32"/>
  <c r="Q31" i="32"/>
  <c r="Q32" i="32"/>
  <c r="Q33" i="32"/>
  <c r="Q34" i="32"/>
  <c r="Q35" i="32"/>
  <c r="Q36" i="32"/>
  <c r="Q37" i="32"/>
  <c r="Q38" i="32"/>
  <c r="Q39" i="32"/>
  <c r="Q40" i="32"/>
  <c r="Q41" i="32"/>
  <c r="Q42" i="32"/>
  <c r="Q43" i="32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33" i="33"/>
  <c r="Q34" i="33"/>
  <c r="Q35" i="33"/>
  <c r="Q36" i="33"/>
  <c r="Q37" i="33"/>
  <c r="Q38" i="33"/>
  <c r="Q39" i="33"/>
  <c r="Q40" i="33"/>
  <c r="Q41" i="33"/>
  <c r="Q42" i="33"/>
  <c r="Q43" i="33"/>
  <c r="Q9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Q28" i="34"/>
  <c r="Q29" i="34"/>
  <c r="Q30" i="34"/>
  <c r="Q31" i="34"/>
  <c r="Q32" i="34"/>
  <c r="Q33" i="34"/>
  <c r="Q34" i="34"/>
  <c r="Q35" i="34"/>
  <c r="Q36" i="34"/>
  <c r="Q37" i="34"/>
  <c r="Q38" i="34"/>
  <c r="Q39" i="34"/>
  <c r="Q40" i="34"/>
  <c r="Q41" i="34"/>
  <c r="Q42" i="34"/>
  <c r="Q43" i="34"/>
  <c r="Q9" i="35"/>
  <c r="Q10" i="35"/>
  <c r="Q11" i="35"/>
  <c r="Q12" i="35"/>
  <c r="Q13" i="35"/>
  <c r="Q14" i="35"/>
  <c r="Q15" i="35"/>
  <c r="Q16" i="35"/>
  <c r="Q17" i="35"/>
  <c r="Q18" i="35"/>
  <c r="Q19" i="35"/>
  <c r="Q20" i="35"/>
  <c r="Q21" i="35"/>
  <c r="Q22" i="35"/>
  <c r="Q23" i="35"/>
  <c r="Q24" i="35"/>
  <c r="Q25" i="35"/>
  <c r="Q26" i="35"/>
  <c r="Q27" i="35"/>
  <c r="Q28" i="35"/>
  <c r="Q29" i="35"/>
  <c r="Q30" i="35"/>
  <c r="Q31" i="35"/>
  <c r="Q32" i="35"/>
  <c r="Q33" i="35"/>
  <c r="Q34" i="35"/>
  <c r="Q35" i="35"/>
  <c r="Q36" i="35"/>
  <c r="Q37" i="35"/>
  <c r="Q38" i="35"/>
  <c r="Q39" i="35"/>
  <c r="Q40" i="35"/>
  <c r="Q41" i="35"/>
  <c r="Q42" i="35"/>
  <c r="Q43" i="35"/>
  <c r="Q9" i="36"/>
  <c r="Q10" i="36"/>
  <c r="Q11" i="36"/>
  <c r="Q12" i="36"/>
  <c r="Q13" i="36"/>
  <c r="Q14" i="36"/>
  <c r="Q15" i="36"/>
  <c r="Q16" i="36"/>
  <c r="Q17" i="36"/>
  <c r="Q18" i="36"/>
  <c r="Q19" i="36"/>
  <c r="Q20" i="36"/>
  <c r="Q21" i="36"/>
  <c r="Q22" i="36"/>
  <c r="Q23" i="36"/>
  <c r="Q24" i="36"/>
  <c r="Q25" i="36"/>
  <c r="Q26" i="36"/>
  <c r="Q27" i="36"/>
  <c r="Q28" i="36"/>
  <c r="Q29" i="36"/>
  <c r="Q30" i="36"/>
  <c r="Q31" i="36"/>
  <c r="Q32" i="36"/>
  <c r="Q33" i="36"/>
  <c r="Q34" i="36"/>
  <c r="Q35" i="36"/>
  <c r="Q36" i="36"/>
  <c r="Q37" i="36"/>
  <c r="Q38" i="36"/>
  <c r="Q39" i="36"/>
  <c r="Q40" i="36"/>
  <c r="Q42" i="36"/>
  <c r="Q43" i="36"/>
  <c r="Q9" i="37"/>
  <c r="Q10" i="37"/>
  <c r="Q11" i="37"/>
  <c r="Q12" i="37"/>
  <c r="Q13" i="37"/>
  <c r="Q14" i="37"/>
  <c r="Q15" i="37"/>
  <c r="Q16" i="37"/>
  <c r="Q17" i="37"/>
  <c r="Q18" i="37"/>
  <c r="Q19" i="37"/>
  <c r="Q20" i="37"/>
  <c r="Q21" i="37"/>
  <c r="Q22" i="37"/>
  <c r="Q23" i="37"/>
  <c r="Q24" i="37"/>
  <c r="Q25" i="37"/>
  <c r="Q26" i="37"/>
  <c r="Q27" i="37"/>
  <c r="Q28" i="37"/>
  <c r="Q29" i="37"/>
  <c r="Q30" i="37"/>
  <c r="Q31" i="37"/>
  <c r="Q32" i="37"/>
  <c r="Q33" i="37"/>
  <c r="Q34" i="37"/>
  <c r="Q35" i="37"/>
  <c r="Q36" i="37"/>
  <c r="Q37" i="37"/>
  <c r="Q38" i="37"/>
  <c r="Q39" i="37"/>
  <c r="Q40" i="37"/>
  <c r="Q41" i="37"/>
  <c r="Q42" i="37"/>
  <c r="Q43" i="37"/>
  <c r="Q9" i="38"/>
  <c r="Q10" i="38"/>
  <c r="Q11" i="38"/>
  <c r="Q12" i="38"/>
  <c r="Q13" i="38"/>
  <c r="Q14" i="38"/>
  <c r="Q15" i="38"/>
  <c r="Q16" i="38"/>
  <c r="Q17" i="38"/>
  <c r="Q18" i="38"/>
  <c r="Q19" i="38"/>
  <c r="Q20" i="38"/>
  <c r="Q21" i="38"/>
  <c r="Q22" i="38"/>
  <c r="Q23" i="38"/>
  <c r="Q24" i="38"/>
  <c r="Q25" i="38"/>
  <c r="Q26" i="38"/>
  <c r="Q27" i="38"/>
  <c r="Q28" i="38"/>
  <c r="Q29" i="38"/>
  <c r="Q30" i="38"/>
  <c r="Q31" i="38"/>
  <c r="Q32" i="38"/>
  <c r="Q33" i="38"/>
  <c r="Q34" i="38"/>
  <c r="Q35" i="38"/>
  <c r="Q36" i="38"/>
  <c r="Q37" i="38"/>
  <c r="Q38" i="38"/>
  <c r="Q39" i="38"/>
  <c r="Q40" i="38"/>
  <c r="Q41" i="38"/>
  <c r="Q42" i="38"/>
  <c r="Q43" i="38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29" i="39"/>
  <c r="Q30" i="39"/>
  <c r="Q31" i="39"/>
  <c r="Q32" i="39"/>
  <c r="Q33" i="39"/>
  <c r="Q34" i="39"/>
  <c r="Q35" i="39"/>
  <c r="Q36" i="39"/>
  <c r="Q37" i="39"/>
  <c r="Q38" i="39"/>
  <c r="Q39" i="39"/>
  <c r="Q40" i="39"/>
  <c r="Q41" i="39"/>
  <c r="Q42" i="39"/>
  <c r="Q43" i="39"/>
  <c r="Q9" i="40"/>
  <c r="Q10" i="40"/>
  <c r="Q11" i="40"/>
  <c r="Q12" i="40"/>
  <c r="Q13" i="40"/>
  <c r="Q14" i="40"/>
  <c r="Q15" i="40"/>
  <c r="Q16" i="40"/>
  <c r="Q17" i="40"/>
  <c r="Q18" i="40"/>
  <c r="Q19" i="40"/>
  <c r="Q20" i="40"/>
  <c r="Q21" i="40"/>
  <c r="Q22" i="40"/>
  <c r="Q23" i="40"/>
  <c r="Q24" i="40"/>
  <c r="Q25" i="40"/>
  <c r="Q26" i="40"/>
  <c r="Q27" i="40"/>
  <c r="Q28" i="40"/>
  <c r="Q29" i="40"/>
  <c r="Q30" i="40"/>
  <c r="Q31" i="40"/>
  <c r="Q32" i="40"/>
  <c r="Q33" i="40"/>
  <c r="Q34" i="40"/>
  <c r="Q35" i="40"/>
  <c r="Q36" i="40"/>
  <c r="Q37" i="40"/>
  <c r="Q38" i="40"/>
  <c r="Q39" i="40"/>
  <c r="Q40" i="40"/>
  <c r="Q41" i="40"/>
  <c r="Q42" i="40"/>
  <c r="Q43" i="40"/>
  <c r="Q9" i="41"/>
  <c r="Q10" i="41"/>
  <c r="Q11" i="41"/>
  <c r="Q12" i="41"/>
  <c r="Q13" i="41"/>
  <c r="Q14" i="41"/>
  <c r="Q15" i="41"/>
  <c r="Q16" i="41"/>
  <c r="Q17" i="41"/>
  <c r="Q18" i="41"/>
  <c r="Q19" i="41"/>
  <c r="Q20" i="41"/>
  <c r="Q21" i="41"/>
  <c r="Q22" i="41"/>
  <c r="Q23" i="41"/>
  <c r="Q24" i="41"/>
  <c r="Q25" i="41"/>
  <c r="Q26" i="41"/>
  <c r="Q27" i="41"/>
  <c r="Q28" i="41"/>
  <c r="Q29" i="41"/>
  <c r="Q30" i="41"/>
  <c r="Q31" i="41"/>
  <c r="Q32" i="41"/>
  <c r="Q33" i="41"/>
  <c r="Q34" i="41"/>
  <c r="Q35" i="41"/>
  <c r="Q36" i="41"/>
  <c r="Q37" i="41"/>
  <c r="Q38" i="41"/>
  <c r="Q39" i="41"/>
  <c r="Q40" i="41"/>
  <c r="Q41" i="41"/>
  <c r="Q42" i="41"/>
  <c r="Q43" i="41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M55" i="6"/>
  <c r="D55" i="6"/>
  <c r="M54" i="6"/>
  <c r="D54" i="6"/>
  <c r="M53" i="6"/>
  <c r="D53" i="6"/>
  <c r="M52" i="6"/>
  <c r="D52" i="6"/>
  <c r="M51" i="6"/>
  <c r="D51" i="6"/>
  <c r="M50" i="6"/>
  <c r="D50" i="6"/>
  <c r="M49" i="6"/>
  <c r="D49" i="6"/>
  <c r="M48" i="6"/>
  <c r="D48" i="6"/>
  <c r="M47" i="6"/>
  <c r="D47" i="6"/>
  <c r="M46" i="6"/>
  <c r="D46" i="6"/>
  <c r="M45" i="6"/>
  <c r="D45" i="6"/>
  <c r="M55" i="9"/>
  <c r="D55" i="9"/>
  <c r="M54" i="9"/>
  <c r="D54" i="9"/>
  <c r="M53" i="9"/>
  <c r="D53" i="9"/>
  <c r="M52" i="9"/>
  <c r="D52" i="9"/>
  <c r="M51" i="9"/>
  <c r="D51" i="9"/>
  <c r="M50" i="9"/>
  <c r="D50" i="9"/>
  <c r="M49" i="9"/>
  <c r="D49" i="9"/>
  <c r="M48" i="9"/>
  <c r="D48" i="9"/>
  <c r="M47" i="9"/>
  <c r="D47" i="9"/>
  <c r="M46" i="9"/>
  <c r="D46" i="9"/>
  <c r="M45" i="9"/>
  <c r="D45" i="9"/>
  <c r="M55" i="10"/>
  <c r="D55" i="10"/>
  <c r="M54" i="10"/>
  <c r="D54" i="10"/>
  <c r="M53" i="10"/>
  <c r="D53" i="10"/>
  <c r="M52" i="10"/>
  <c r="D52" i="10"/>
  <c r="M51" i="10"/>
  <c r="D51" i="10"/>
  <c r="M50" i="10"/>
  <c r="D50" i="10"/>
  <c r="M49" i="10"/>
  <c r="D49" i="10"/>
  <c r="M48" i="10"/>
  <c r="D48" i="10"/>
  <c r="M47" i="10"/>
  <c r="D47" i="10"/>
  <c r="M46" i="10"/>
  <c r="D46" i="10"/>
  <c r="M45" i="10"/>
  <c r="D45" i="10"/>
  <c r="M55" i="11"/>
  <c r="D55" i="11"/>
  <c r="M54" i="11"/>
  <c r="D54" i="11"/>
  <c r="M53" i="11"/>
  <c r="D53" i="11"/>
  <c r="M52" i="11"/>
  <c r="D52" i="11"/>
  <c r="M51" i="11"/>
  <c r="D51" i="11"/>
  <c r="M50" i="11"/>
  <c r="D50" i="11"/>
  <c r="M49" i="11"/>
  <c r="D49" i="11"/>
  <c r="M48" i="11"/>
  <c r="D48" i="11"/>
  <c r="M47" i="11"/>
  <c r="D47" i="11"/>
  <c r="M46" i="11"/>
  <c r="D46" i="11"/>
  <c r="M45" i="11"/>
  <c r="D45" i="11"/>
  <c r="M55" i="12"/>
  <c r="D55" i="12"/>
  <c r="M54" i="12"/>
  <c r="D54" i="12"/>
  <c r="M53" i="12"/>
  <c r="D53" i="12"/>
  <c r="M52" i="12"/>
  <c r="D52" i="12"/>
  <c r="M51" i="12"/>
  <c r="D51" i="12"/>
  <c r="M50" i="12"/>
  <c r="D50" i="12"/>
  <c r="M49" i="12"/>
  <c r="D49" i="12"/>
  <c r="M48" i="12"/>
  <c r="D48" i="12"/>
  <c r="M47" i="12"/>
  <c r="D47" i="12"/>
  <c r="M46" i="12"/>
  <c r="D46" i="12"/>
  <c r="M45" i="12"/>
  <c r="D45" i="12"/>
  <c r="M55" i="13"/>
  <c r="D55" i="13"/>
  <c r="M54" i="13"/>
  <c r="D54" i="13"/>
  <c r="M53" i="13"/>
  <c r="D53" i="13"/>
  <c r="M52" i="13"/>
  <c r="D52" i="13"/>
  <c r="M51" i="13"/>
  <c r="D51" i="13"/>
  <c r="M50" i="13"/>
  <c r="D50" i="13"/>
  <c r="M49" i="13"/>
  <c r="D49" i="13"/>
  <c r="M48" i="13"/>
  <c r="D48" i="13"/>
  <c r="M47" i="13"/>
  <c r="D47" i="13"/>
  <c r="M46" i="13"/>
  <c r="D46" i="13"/>
  <c r="M45" i="13"/>
  <c r="D45" i="13"/>
  <c r="M55" i="14"/>
  <c r="D55" i="14"/>
  <c r="M54" i="14"/>
  <c r="D54" i="14"/>
  <c r="M53" i="14"/>
  <c r="D53" i="14"/>
  <c r="M52" i="14"/>
  <c r="D52" i="14"/>
  <c r="M51" i="14"/>
  <c r="D51" i="14"/>
  <c r="M50" i="14"/>
  <c r="D50" i="14"/>
  <c r="M49" i="14"/>
  <c r="D49" i="14"/>
  <c r="M48" i="14"/>
  <c r="D48" i="14"/>
  <c r="M47" i="14"/>
  <c r="D47" i="14"/>
  <c r="M46" i="14"/>
  <c r="D46" i="14"/>
  <c r="M45" i="14"/>
  <c r="D45" i="14"/>
  <c r="M55" i="15"/>
  <c r="D55" i="15"/>
  <c r="M54" i="15"/>
  <c r="D54" i="15"/>
  <c r="M53" i="15"/>
  <c r="D53" i="15"/>
  <c r="M52" i="15"/>
  <c r="D52" i="15"/>
  <c r="M51" i="15"/>
  <c r="D51" i="15"/>
  <c r="M50" i="15"/>
  <c r="D50" i="15"/>
  <c r="M49" i="15"/>
  <c r="D49" i="15"/>
  <c r="M48" i="15"/>
  <c r="D48" i="15"/>
  <c r="M47" i="15"/>
  <c r="D47" i="15"/>
  <c r="M46" i="15"/>
  <c r="D46" i="15"/>
  <c r="M45" i="15"/>
  <c r="D45" i="15"/>
  <c r="M55" i="16"/>
  <c r="D55" i="16"/>
  <c r="M54" i="16"/>
  <c r="D54" i="16"/>
  <c r="M53" i="16"/>
  <c r="D53" i="16"/>
  <c r="M52" i="16"/>
  <c r="D52" i="16"/>
  <c r="M51" i="16"/>
  <c r="D51" i="16"/>
  <c r="M50" i="16"/>
  <c r="D50" i="16"/>
  <c r="M49" i="16"/>
  <c r="D49" i="16"/>
  <c r="M48" i="16"/>
  <c r="D48" i="16"/>
  <c r="M47" i="16"/>
  <c r="D47" i="16"/>
  <c r="M46" i="16"/>
  <c r="D46" i="16"/>
  <c r="M45" i="16"/>
  <c r="D45" i="16"/>
  <c r="M55" i="17"/>
  <c r="D55" i="17"/>
  <c r="M54" i="17"/>
  <c r="D54" i="17"/>
  <c r="M53" i="17"/>
  <c r="D53" i="17"/>
  <c r="M52" i="17"/>
  <c r="D52" i="17"/>
  <c r="M51" i="17"/>
  <c r="D51" i="17"/>
  <c r="M50" i="17"/>
  <c r="D50" i="17"/>
  <c r="M49" i="17"/>
  <c r="D49" i="17"/>
  <c r="M48" i="17"/>
  <c r="D48" i="17"/>
  <c r="M47" i="17"/>
  <c r="D47" i="17"/>
  <c r="M46" i="17"/>
  <c r="D46" i="17"/>
  <c r="M45" i="17"/>
  <c r="D45" i="17"/>
  <c r="M55" i="18"/>
  <c r="D55" i="18" s="1"/>
  <c r="M54" i="18"/>
  <c r="D54" i="18"/>
  <c r="M53" i="18"/>
  <c r="D53" i="18"/>
  <c r="M52" i="18"/>
  <c r="D52" i="18"/>
  <c r="M51" i="18"/>
  <c r="D51" i="18"/>
  <c r="M50" i="18"/>
  <c r="D50" i="18"/>
  <c r="M49" i="18"/>
  <c r="D49" i="18"/>
  <c r="M48" i="18"/>
  <c r="D48" i="18"/>
  <c r="M47" i="18"/>
  <c r="D47" i="18"/>
  <c r="M46" i="18"/>
  <c r="D46" i="18"/>
  <c r="M45" i="18"/>
  <c r="D45" i="18"/>
  <c r="M55" i="19"/>
  <c r="D55" i="19"/>
  <c r="M54" i="19"/>
  <c r="D54" i="19"/>
  <c r="M53" i="19"/>
  <c r="D53" i="19"/>
  <c r="M52" i="19"/>
  <c r="D52" i="19"/>
  <c r="M51" i="19"/>
  <c r="D51" i="19"/>
  <c r="M50" i="19"/>
  <c r="D50" i="19"/>
  <c r="M49" i="19"/>
  <c r="D49" i="19"/>
  <c r="M48" i="19"/>
  <c r="D48" i="19"/>
  <c r="M47" i="19"/>
  <c r="D47" i="19"/>
  <c r="M46" i="19"/>
  <c r="D46" i="19"/>
  <c r="M45" i="19"/>
  <c r="D45" i="19"/>
  <c r="M55" i="20"/>
  <c r="D55" i="20"/>
  <c r="M54" i="20"/>
  <c r="D54" i="20"/>
  <c r="M53" i="20"/>
  <c r="D53" i="20"/>
  <c r="M52" i="20"/>
  <c r="D52" i="20"/>
  <c r="M51" i="20"/>
  <c r="D51" i="20"/>
  <c r="M50" i="20"/>
  <c r="D50" i="20"/>
  <c r="M49" i="20"/>
  <c r="D49" i="20"/>
  <c r="M48" i="20"/>
  <c r="D48" i="20"/>
  <c r="M47" i="20"/>
  <c r="D47" i="20"/>
  <c r="M46" i="20"/>
  <c r="D46" i="20"/>
  <c r="M45" i="20"/>
  <c r="D45" i="20"/>
  <c r="M55" i="21"/>
  <c r="D55" i="21"/>
  <c r="M54" i="21"/>
  <c r="D54" i="21"/>
  <c r="M53" i="21"/>
  <c r="D53" i="21"/>
  <c r="M52" i="21"/>
  <c r="D52" i="21"/>
  <c r="M51" i="21"/>
  <c r="D51" i="21"/>
  <c r="M50" i="21"/>
  <c r="D50" i="21"/>
  <c r="M49" i="21"/>
  <c r="D49" i="21"/>
  <c r="M48" i="21"/>
  <c r="D48" i="21"/>
  <c r="M47" i="21"/>
  <c r="D47" i="21"/>
  <c r="M46" i="21"/>
  <c r="D46" i="21"/>
  <c r="M45" i="21"/>
  <c r="D45" i="21"/>
  <c r="M55" i="22"/>
  <c r="D55" i="22"/>
  <c r="M54" i="22"/>
  <c r="D54" i="22"/>
  <c r="M53" i="22"/>
  <c r="D53" i="22"/>
  <c r="M52" i="22"/>
  <c r="D52" i="22"/>
  <c r="M51" i="22"/>
  <c r="D51" i="22"/>
  <c r="M50" i="22"/>
  <c r="D50" i="22"/>
  <c r="M49" i="22"/>
  <c r="D49" i="22"/>
  <c r="M48" i="22"/>
  <c r="D48" i="22"/>
  <c r="M47" i="22"/>
  <c r="D47" i="22"/>
  <c r="M46" i="22"/>
  <c r="D46" i="22"/>
  <c r="M45" i="22"/>
  <c r="D45" i="22"/>
  <c r="M55" i="23"/>
  <c r="D55" i="23"/>
  <c r="M54" i="23"/>
  <c r="D54" i="23"/>
  <c r="M53" i="23"/>
  <c r="D53" i="23"/>
  <c r="M52" i="23"/>
  <c r="D52" i="23"/>
  <c r="M51" i="23"/>
  <c r="D51" i="23"/>
  <c r="M50" i="23"/>
  <c r="D50" i="23"/>
  <c r="M49" i="23"/>
  <c r="D49" i="23"/>
  <c r="M48" i="23"/>
  <c r="D48" i="23"/>
  <c r="M47" i="23"/>
  <c r="D47" i="23"/>
  <c r="M46" i="23"/>
  <c r="D46" i="23"/>
  <c r="M45" i="23"/>
  <c r="D45" i="23"/>
  <c r="M55" i="24"/>
  <c r="D55" i="24"/>
  <c r="M54" i="24"/>
  <c r="D54" i="24"/>
  <c r="M53" i="24"/>
  <c r="D53" i="24"/>
  <c r="M52" i="24"/>
  <c r="D52" i="24"/>
  <c r="M51" i="24"/>
  <c r="D51" i="24"/>
  <c r="M50" i="24"/>
  <c r="D50" i="24"/>
  <c r="M49" i="24"/>
  <c r="D49" i="24"/>
  <c r="M48" i="24"/>
  <c r="D48" i="24"/>
  <c r="M47" i="24"/>
  <c r="D47" i="24"/>
  <c r="M46" i="24"/>
  <c r="D46" i="24"/>
  <c r="M45" i="24"/>
  <c r="D45" i="24"/>
  <c r="M55" i="25"/>
  <c r="D55" i="25"/>
  <c r="M54" i="25"/>
  <c r="D54" i="25"/>
  <c r="M53" i="25"/>
  <c r="D53" i="25"/>
  <c r="M52" i="25"/>
  <c r="D52" i="25"/>
  <c r="M51" i="25"/>
  <c r="D51" i="25"/>
  <c r="M50" i="25"/>
  <c r="D50" i="25"/>
  <c r="M49" i="25"/>
  <c r="D49" i="25"/>
  <c r="M48" i="25"/>
  <c r="D48" i="25"/>
  <c r="M47" i="25"/>
  <c r="D47" i="25"/>
  <c r="M46" i="25"/>
  <c r="D46" i="25"/>
  <c r="M45" i="25"/>
  <c r="D45" i="25"/>
  <c r="M55" i="26"/>
  <c r="D55" i="26"/>
  <c r="M54" i="26"/>
  <c r="D54" i="26"/>
  <c r="M53" i="26"/>
  <c r="D53" i="26"/>
  <c r="M52" i="26"/>
  <c r="D52" i="26"/>
  <c r="M51" i="26"/>
  <c r="D51" i="26"/>
  <c r="M50" i="26"/>
  <c r="D50" i="26"/>
  <c r="M49" i="26"/>
  <c r="D49" i="26"/>
  <c r="M48" i="26"/>
  <c r="D48" i="26"/>
  <c r="M47" i="26"/>
  <c r="D47" i="26"/>
  <c r="M46" i="26"/>
  <c r="D46" i="26"/>
  <c r="M45" i="26"/>
  <c r="D45" i="26"/>
  <c r="M55" i="27"/>
  <c r="D55" i="27"/>
  <c r="M54" i="27"/>
  <c r="D54" i="27"/>
  <c r="M53" i="27"/>
  <c r="D53" i="27"/>
  <c r="M52" i="27"/>
  <c r="D52" i="27"/>
  <c r="M51" i="27"/>
  <c r="D51" i="27"/>
  <c r="M50" i="27"/>
  <c r="D50" i="27"/>
  <c r="M49" i="27"/>
  <c r="D49" i="27"/>
  <c r="M48" i="27"/>
  <c r="D48" i="27"/>
  <c r="M47" i="27"/>
  <c r="D47" i="27"/>
  <c r="M46" i="27"/>
  <c r="D46" i="27"/>
  <c r="M45" i="27"/>
  <c r="D45" i="27"/>
  <c r="M55" i="28"/>
  <c r="D55" i="28"/>
  <c r="M54" i="28"/>
  <c r="D54" i="28"/>
  <c r="M53" i="28"/>
  <c r="D53" i="28"/>
  <c r="M52" i="28"/>
  <c r="D52" i="28"/>
  <c r="M51" i="28"/>
  <c r="D51" i="28"/>
  <c r="M50" i="28"/>
  <c r="D50" i="28"/>
  <c r="M49" i="28"/>
  <c r="D49" i="28"/>
  <c r="M48" i="28"/>
  <c r="D48" i="28"/>
  <c r="M47" i="28"/>
  <c r="D47" i="28"/>
  <c r="M46" i="28"/>
  <c r="D46" i="28"/>
  <c r="M45" i="28"/>
  <c r="D45" i="28"/>
  <c r="M55" i="29"/>
  <c r="D55" i="29"/>
  <c r="M54" i="29"/>
  <c r="D54" i="29" s="1"/>
  <c r="M53" i="29"/>
  <c r="D53" i="29" s="1"/>
  <c r="M52" i="29"/>
  <c r="D52" i="29" s="1"/>
  <c r="M51" i="29"/>
  <c r="D51" i="29" s="1"/>
  <c r="M50" i="29"/>
  <c r="D50" i="29" s="1"/>
  <c r="M49" i="29"/>
  <c r="D49" i="29" s="1"/>
  <c r="M48" i="29"/>
  <c r="D48" i="29" s="1"/>
  <c r="M47" i="29"/>
  <c r="D47" i="29" s="1"/>
  <c r="M46" i="29"/>
  <c r="D46" i="29" s="1"/>
  <c r="M45" i="29"/>
  <c r="D45" i="29" s="1"/>
  <c r="M55" i="30"/>
  <c r="M54" i="30"/>
  <c r="D54" i="30"/>
  <c r="M53" i="30"/>
  <c r="D53" i="30"/>
  <c r="M52" i="30"/>
  <c r="D52" i="30"/>
  <c r="M51" i="30"/>
  <c r="D51" i="30"/>
  <c r="M50" i="30"/>
  <c r="D50" i="30"/>
  <c r="M49" i="30"/>
  <c r="D49" i="30"/>
  <c r="M48" i="30"/>
  <c r="D48" i="30"/>
  <c r="M47" i="30"/>
  <c r="D47" i="30"/>
  <c r="M46" i="30"/>
  <c r="D46" i="30"/>
  <c r="M45" i="30"/>
  <c r="D45" i="30" s="1"/>
  <c r="M55" i="31"/>
  <c r="D55" i="31" s="1"/>
  <c r="M54" i="31"/>
  <c r="D54" i="31" s="1"/>
  <c r="M53" i="31"/>
  <c r="D53" i="31" s="1"/>
  <c r="M52" i="31"/>
  <c r="D52" i="31" s="1"/>
  <c r="M51" i="31"/>
  <c r="D51" i="31" s="1"/>
  <c r="M50" i="31"/>
  <c r="D50" i="31" s="1"/>
  <c r="M49" i="31"/>
  <c r="D49" i="31" s="1"/>
  <c r="M48" i="31"/>
  <c r="D48" i="31" s="1"/>
  <c r="M47" i="31"/>
  <c r="D47" i="31" s="1"/>
  <c r="M46" i="31"/>
  <c r="D46" i="31" s="1"/>
  <c r="M45" i="31"/>
  <c r="D45" i="31" s="1"/>
  <c r="M55" i="32"/>
  <c r="D55" i="32" s="1"/>
  <c r="M54" i="32"/>
  <c r="D54" i="32" s="1"/>
  <c r="M53" i="32"/>
  <c r="D53" i="32" s="1"/>
  <c r="M52" i="32"/>
  <c r="D52" i="32" s="1"/>
  <c r="M51" i="32"/>
  <c r="D51" i="32" s="1"/>
  <c r="M50" i="32"/>
  <c r="D50" i="32" s="1"/>
  <c r="M49" i="32"/>
  <c r="D49" i="32" s="1"/>
  <c r="M48" i="32"/>
  <c r="D48" i="32" s="1"/>
  <c r="M47" i="32"/>
  <c r="D47" i="32" s="1"/>
  <c r="M46" i="32"/>
  <c r="D46" i="32" s="1"/>
  <c r="M45" i="32"/>
  <c r="D45" i="32" s="1"/>
  <c r="M55" i="33"/>
  <c r="D55" i="33" s="1"/>
  <c r="M54" i="33"/>
  <c r="D54" i="33" s="1"/>
  <c r="M53" i="33"/>
  <c r="D53" i="33" s="1"/>
  <c r="M52" i="33"/>
  <c r="D52" i="33" s="1"/>
  <c r="M51" i="33"/>
  <c r="D51" i="33" s="1"/>
  <c r="M50" i="33"/>
  <c r="D50" i="33" s="1"/>
  <c r="M49" i="33"/>
  <c r="D49" i="33" s="1"/>
  <c r="M48" i="33"/>
  <c r="D48" i="33" s="1"/>
  <c r="M47" i="33"/>
  <c r="D47" i="33" s="1"/>
  <c r="M46" i="33"/>
  <c r="D46" i="33" s="1"/>
  <c r="M45" i="33"/>
  <c r="D45" i="33" s="1"/>
  <c r="M55" i="34"/>
  <c r="D55" i="34" s="1"/>
  <c r="M54" i="34"/>
  <c r="D54" i="34" s="1"/>
  <c r="M53" i="34"/>
  <c r="D53" i="34" s="1"/>
  <c r="M52" i="34"/>
  <c r="D52" i="34" s="1"/>
  <c r="M51" i="34"/>
  <c r="D51" i="34" s="1"/>
  <c r="M50" i="34"/>
  <c r="D50" i="34" s="1"/>
  <c r="M49" i="34"/>
  <c r="D49" i="34" s="1"/>
  <c r="M48" i="34"/>
  <c r="D48" i="34" s="1"/>
  <c r="M47" i="34"/>
  <c r="D47" i="34" s="1"/>
  <c r="M46" i="34"/>
  <c r="D46" i="34" s="1"/>
  <c r="M45" i="34"/>
  <c r="D45" i="34" s="1"/>
  <c r="M55" i="35"/>
  <c r="D55" i="35" s="1"/>
  <c r="M54" i="35"/>
  <c r="D54" i="35" s="1"/>
  <c r="M53" i="35"/>
  <c r="D53" i="35" s="1"/>
  <c r="M52" i="35"/>
  <c r="D52" i="35" s="1"/>
  <c r="M51" i="35"/>
  <c r="D51" i="35" s="1"/>
  <c r="M50" i="35"/>
  <c r="D50" i="35" s="1"/>
  <c r="M49" i="35"/>
  <c r="D49" i="35" s="1"/>
  <c r="M48" i="35"/>
  <c r="D48" i="35" s="1"/>
  <c r="M47" i="35"/>
  <c r="D47" i="35" s="1"/>
  <c r="M46" i="35"/>
  <c r="D46" i="35" s="1"/>
  <c r="M45" i="35"/>
  <c r="D45" i="35" s="1"/>
  <c r="M55" i="36"/>
  <c r="D55" i="36" s="1"/>
  <c r="M54" i="36"/>
  <c r="D54" i="36" s="1"/>
  <c r="M53" i="36"/>
  <c r="D53" i="36" s="1"/>
  <c r="M52" i="36"/>
  <c r="D52" i="36" s="1"/>
  <c r="M51" i="36"/>
  <c r="D51" i="36" s="1"/>
  <c r="M50" i="36"/>
  <c r="D50" i="36" s="1"/>
  <c r="M49" i="36"/>
  <c r="D49" i="36" s="1"/>
  <c r="M48" i="36"/>
  <c r="D48" i="36" s="1"/>
  <c r="M47" i="36"/>
  <c r="D47" i="36" s="1"/>
  <c r="M46" i="36"/>
  <c r="D46" i="36" s="1"/>
  <c r="M45" i="36"/>
  <c r="D45" i="36" s="1"/>
  <c r="M55" i="37"/>
  <c r="D55" i="37" s="1"/>
  <c r="M54" i="37"/>
  <c r="D54" i="37" s="1"/>
  <c r="M53" i="37"/>
  <c r="D53" i="37" s="1"/>
  <c r="M52" i="37"/>
  <c r="D52" i="37" s="1"/>
  <c r="M51" i="37"/>
  <c r="D51" i="37" s="1"/>
  <c r="M50" i="37"/>
  <c r="D50" i="37" s="1"/>
  <c r="M49" i="37"/>
  <c r="D49" i="37" s="1"/>
  <c r="M48" i="37"/>
  <c r="D48" i="37" s="1"/>
  <c r="M47" i="37"/>
  <c r="D47" i="37" s="1"/>
  <c r="M46" i="37"/>
  <c r="D46" i="37" s="1"/>
  <c r="M45" i="37"/>
  <c r="D45" i="37" s="1"/>
  <c r="M55" i="38"/>
  <c r="D55" i="38" s="1"/>
  <c r="M54" i="38"/>
  <c r="D54" i="38" s="1"/>
  <c r="M53" i="38"/>
  <c r="D53" i="38" s="1"/>
  <c r="M52" i="38"/>
  <c r="D52" i="38" s="1"/>
  <c r="M51" i="38"/>
  <c r="D51" i="38" s="1"/>
  <c r="M50" i="38"/>
  <c r="D50" i="38" s="1"/>
  <c r="M49" i="38"/>
  <c r="D49" i="38" s="1"/>
  <c r="M48" i="38"/>
  <c r="D48" i="38" s="1"/>
  <c r="M47" i="38"/>
  <c r="D47" i="38" s="1"/>
  <c r="M46" i="38"/>
  <c r="D46" i="38" s="1"/>
  <c r="M45" i="38"/>
  <c r="D45" i="38" s="1"/>
  <c r="M55" i="39"/>
  <c r="D55" i="39" s="1"/>
  <c r="M54" i="39"/>
  <c r="D54" i="39" s="1"/>
  <c r="M53" i="39"/>
  <c r="D53" i="39" s="1"/>
  <c r="M52" i="39"/>
  <c r="D52" i="39" s="1"/>
  <c r="M51" i="39"/>
  <c r="D51" i="39" s="1"/>
  <c r="M50" i="39"/>
  <c r="D50" i="39" s="1"/>
  <c r="M49" i="39"/>
  <c r="D49" i="39" s="1"/>
  <c r="M48" i="39"/>
  <c r="D48" i="39" s="1"/>
  <c r="M47" i="39"/>
  <c r="D47" i="39" s="1"/>
  <c r="M46" i="39"/>
  <c r="D46" i="39" s="1"/>
  <c r="M45" i="39"/>
  <c r="D45" i="39" s="1"/>
  <c r="M55" i="40"/>
  <c r="D55" i="40" s="1"/>
  <c r="M54" i="40"/>
  <c r="D54" i="40" s="1"/>
  <c r="M53" i="40"/>
  <c r="D53" i="40" s="1"/>
  <c r="M52" i="40"/>
  <c r="D52" i="40" s="1"/>
  <c r="M51" i="40"/>
  <c r="D51" i="40" s="1"/>
  <c r="M50" i="40"/>
  <c r="D50" i="40" s="1"/>
  <c r="M49" i="40"/>
  <c r="D49" i="40" s="1"/>
  <c r="M48" i="40"/>
  <c r="D48" i="40" s="1"/>
  <c r="M47" i="40"/>
  <c r="D47" i="40" s="1"/>
  <c r="M46" i="40"/>
  <c r="D46" i="40" s="1"/>
  <c r="M45" i="40"/>
  <c r="D45" i="40" s="1"/>
  <c r="M55" i="41"/>
  <c r="D55" i="41" s="1"/>
  <c r="M54" i="41"/>
  <c r="D54" i="41" s="1"/>
  <c r="M53" i="41"/>
  <c r="D53" i="41" s="1"/>
  <c r="M52" i="41"/>
  <c r="D52" i="41" s="1"/>
  <c r="M51" i="41"/>
  <c r="D51" i="41" s="1"/>
  <c r="M50" i="41"/>
  <c r="D50" i="41" s="1"/>
  <c r="M49" i="41"/>
  <c r="D49" i="41" s="1"/>
  <c r="M48" i="41"/>
  <c r="D48" i="41" s="1"/>
  <c r="M47" i="41"/>
  <c r="D47" i="41" s="1"/>
  <c r="M46" i="41"/>
  <c r="D46" i="41" s="1"/>
  <c r="M45" i="41"/>
  <c r="D45" i="41" s="1"/>
  <c r="M55" i="8"/>
  <c r="D55" i="8" s="1"/>
  <c r="M54" i="8"/>
  <c r="D54" i="8" s="1"/>
  <c r="D54" i="7"/>
  <c r="M53" i="8"/>
  <c r="D53" i="8"/>
  <c r="M52" i="8"/>
  <c r="D52" i="8"/>
  <c r="M51" i="8"/>
  <c r="D51" i="8"/>
  <c r="D51" i="7" s="1"/>
  <c r="M50" i="8"/>
  <c r="D50" i="8" s="1"/>
  <c r="M49" i="8"/>
  <c r="D49" i="8" s="1"/>
  <c r="D49" i="7" s="1"/>
  <c r="M48" i="8"/>
  <c r="D48" i="8"/>
  <c r="M47" i="8"/>
  <c r="D47" i="8"/>
  <c r="M46" i="8"/>
  <c r="D46" i="8"/>
  <c r="M45" i="8"/>
  <c r="D45" i="8"/>
  <c r="M9" i="6"/>
  <c r="D9" i="6" s="1"/>
  <c r="M10" i="6"/>
  <c r="D10" i="6" s="1"/>
  <c r="M11" i="6"/>
  <c r="D11" i="6" s="1"/>
  <c r="M12" i="6"/>
  <c r="D12" i="6" s="1"/>
  <c r="M13" i="6"/>
  <c r="D13" i="6" s="1"/>
  <c r="M14" i="6"/>
  <c r="D14" i="6" s="1"/>
  <c r="M15" i="6"/>
  <c r="D15" i="6" s="1"/>
  <c r="M16" i="6"/>
  <c r="D16" i="6" s="1"/>
  <c r="M17" i="6"/>
  <c r="D17" i="6" s="1"/>
  <c r="M18" i="6"/>
  <c r="D18" i="6" s="1"/>
  <c r="M19" i="6"/>
  <c r="D19" i="6" s="1"/>
  <c r="M20" i="6"/>
  <c r="D20" i="6" s="1"/>
  <c r="M21" i="6"/>
  <c r="D21" i="6" s="1"/>
  <c r="M22" i="6"/>
  <c r="D22" i="6" s="1"/>
  <c r="M23" i="6"/>
  <c r="D23" i="6" s="1"/>
  <c r="M24" i="6"/>
  <c r="D24" i="6" s="1"/>
  <c r="M25" i="6"/>
  <c r="D25" i="6" s="1"/>
  <c r="M26" i="6"/>
  <c r="D26" i="6" s="1"/>
  <c r="M27" i="6"/>
  <c r="D27" i="6" s="1"/>
  <c r="M28" i="6"/>
  <c r="D28" i="6" s="1"/>
  <c r="M29" i="6"/>
  <c r="D29" i="6" s="1"/>
  <c r="M30" i="6"/>
  <c r="D30" i="6" s="1"/>
  <c r="M31" i="6"/>
  <c r="D31" i="6" s="1"/>
  <c r="M32" i="6"/>
  <c r="D32" i="6" s="1"/>
  <c r="M33" i="6"/>
  <c r="D33" i="6" s="1"/>
  <c r="M34" i="6"/>
  <c r="D34" i="6" s="1"/>
  <c r="M35" i="6"/>
  <c r="D35" i="6" s="1"/>
  <c r="M36" i="6"/>
  <c r="D36" i="6"/>
  <c r="M37" i="6"/>
  <c r="D37" i="6"/>
  <c r="M38" i="6"/>
  <c r="D38" i="6"/>
  <c r="M39" i="6"/>
  <c r="D39" i="6"/>
  <c r="M40" i="6"/>
  <c r="D40" i="6"/>
  <c r="M41" i="6"/>
  <c r="D41" i="6"/>
  <c r="M42" i="6"/>
  <c r="D42" i="6"/>
  <c r="M43" i="6"/>
  <c r="D43" i="6"/>
  <c r="M9" i="9"/>
  <c r="M10" i="9"/>
  <c r="D10" i="9" s="1"/>
  <c r="M11" i="9"/>
  <c r="D11" i="9" s="1"/>
  <c r="M12" i="9"/>
  <c r="M13" i="9"/>
  <c r="D13" i="9" s="1"/>
  <c r="M14" i="9"/>
  <c r="M15" i="9"/>
  <c r="D15" i="9"/>
  <c r="M16" i="9"/>
  <c r="D16" i="9" s="1"/>
  <c r="M17" i="9"/>
  <c r="M18" i="9"/>
  <c r="D18" i="9"/>
  <c r="M19" i="9"/>
  <c r="D19" i="9"/>
  <c r="M20" i="9"/>
  <c r="D20" i="9"/>
  <c r="M21" i="9"/>
  <c r="D21" i="9"/>
  <c r="M22" i="9"/>
  <c r="D22" i="9" s="1"/>
  <c r="M23" i="9"/>
  <c r="M24" i="9"/>
  <c r="D24" i="9" s="1"/>
  <c r="M25" i="9"/>
  <c r="D25" i="9"/>
  <c r="M26" i="9"/>
  <c r="D26" i="9"/>
  <c r="M27" i="9"/>
  <c r="D27" i="9"/>
  <c r="M28" i="9"/>
  <c r="D28" i="9"/>
  <c r="M29" i="9"/>
  <c r="D29" i="9"/>
  <c r="M30" i="9"/>
  <c r="D30" i="9"/>
  <c r="M31" i="9"/>
  <c r="D31" i="9" s="1"/>
  <c r="M32" i="9"/>
  <c r="D32" i="9" s="1"/>
  <c r="M33" i="9"/>
  <c r="D33" i="9"/>
  <c r="M34" i="9"/>
  <c r="D34" i="9"/>
  <c r="M35" i="9"/>
  <c r="D35" i="9" s="1"/>
  <c r="M36" i="9"/>
  <c r="D36" i="9" s="1"/>
  <c r="M37" i="9"/>
  <c r="D37" i="9" s="1"/>
  <c r="M38" i="9"/>
  <c r="D38" i="9" s="1"/>
  <c r="M39" i="9"/>
  <c r="D39" i="9"/>
  <c r="M40" i="9"/>
  <c r="M41" i="9"/>
  <c r="D41" i="9" s="1"/>
  <c r="M42" i="9"/>
  <c r="D42" i="9"/>
  <c r="M43" i="9"/>
  <c r="D43" i="9"/>
  <c r="M9" i="10"/>
  <c r="D9" i="10" s="1"/>
  <c r="M10" i="10"/>
  <c r="D10" i="10"/>
  <c r="M11" i="10"/>
  <c r="D11" i="10"/>
  <c r="M12" i="10"/>
  <c r="D12" i="10"/>
  <c r="M13" i="10"/>
  <c r="D13" i="10" s="1"/>
  <c r="M14" i="10"/>
  <c r="D14" i="10" s="1"/>
  <c r="M15" i="10"/>
  <c r="D15" i="10"/>
  <c r="M16" i="10"/>
  <c r="D16" i="10"/>
  <c r="M17" i="10"/>
  <c r="D17" i="10" s="1"/>
  <c r="M18" i="10"/>
  <c r="D18" i="10" s="1"/>
  <c r="M19" i="10"/>
  <c r="D19" i="10"/>
  <c r="M20" i="10"/>
  <c r="D20" i="10"/>
  <c r="M21" i="10"/>
  <c r="D21" i="10"/>
  <c r="M22" i="10"/>
  <c r="M23" i="10"/>
  <c r="D23" i="10" s="1"/>
  <c r="M24" i="10"/>
  <c r="D24" i="10" s="1"/>
  <c r="M25" i="10"/>
  <c r="D25" i="10" s="1"/>
  <c r="M26" i="10"/>
  <c r="D26" i="10" s="1"/>
  <c r="M27" i="10"/>
  <c r="D27" i="10" s="1"/>
  <c r="M28" i="10"/>
  <c r="D28" i="10" s="1"/>
  <c r="M29" i="10"/>
  <c r="D29" i="10" s="1"/>
  <c r="M30" i="10"/>
  <c r="D30" i="10" s="1"/>
  <c r="M31" i="10"/>
  <c r="D31" i="10" s="1"/>
  <c r="M32" i="10"/>
  <c r="M33" i="10"/>
  <c r="D33" i="10"/>
  <c r="M34" i="10"/>
  <c r="D34" i="10"/>
  <c r="M35" i="10"/>
  <c r="D35" i="10"/>
  <c r="M36" i="10"/>
  <c r="D36" i="10"/>
  <c r="M37" i="10"/>
  <c r="D37" i="10"/>
  <c r="M38" i="10"/>
  <c r="D38" i="10"/>
  <c r="M39" i="10"/>
  <c r="D39" i="10"/>
  <c r="M40" i="10"/>
  <c r="D40" i="10"/>
  <c r="M41" i="10"/>
  <c r="D41" i="10"/>
  <c r="M42" i="10"/>
  <c r="D42" i="10"/>
  <c r="M43" i="10"/>
  <c r="D43" i="10"/>
  <c r="M9" i="11"/>
  <c r="D9" i="11"/>
  <c r="M10" i="11"/>
  <c r="D10" i="11"/>
  <c r="M11" i="11"/>
  <c r="D11" i="11"/>
  <c r="M12" i="11"/>
  <c r="M13" i="11"/>
  <c r="D13" i="11" s="1"/>
  <c r="M14" i="11"/>
  <c r="D14" i="11" s="1"/>
  <c r="M15" i="11"/>
  <c r="D15" i="11" s="1"/>
  <c r="M17" i="11"/>
  <c r="D17" i="11" s="1"/>
  <c r="M18" i="11"/>
  <c r="D18" i="11" s="1"/>
  <c r="M19" i="11"/>
  <c r="D19" i="11" s="1"/>
  <c r="M20" i="11"/>
  <c r="D20" i="11" s="1"/>
  <c r="M21" i="11"/>
  <c r="D21" i="11" s="1"/>
  <c r="M22" i="11"/>
  <c r="M23" i="11"/>
  <c r="D23" i="11"/>
  <c r="M24" i="11"/>
  <c r="D24" i="11"/>
  <c r="M25" i="11"/>
  <c r="D25" i="11"/>
  <c r="M26" i="11"/>
  <c r="D26" i="11"/>
  <c r="M27" i="11"/>
  <c r="D27" i="11"/>
  <c r="M28" i="11"/>
  <c r="D28" i="11"/>
  <c r="M29" i="11"/>
  <c r="D29" i="11"/>
  <c r="M30" i="11"/>
  <c r="D30" i="11"/>
  <c r="M31" i="11"/>
  <c r="D31" i="11"/>
  <c r="M32" i="11"/>
  <c r="D32" i="11"/>
  <c r="M33" i="11"/>
  <c r="D33" i="11"/>
  <c r="M34" i="11"/>
  <c r="D34" i="11"/>
  <c r="M35" i="11"/>
  <c r="D35" i="11"/>
  <c r="M36" i="11"/>
  <c r="D36" i="11"/>
  <c r="M37" i="11"/>
  <c r="D37" i="11"/>
  <c r="M38" i="11"/>
  <c r="D38" i="11"/>
  <c r="M39" i="11"/>
  <c r="D39" i="11"/>
  <c r="M40" i="11"/>
  <c r="D40" i="11"/>
  <c r="M41" i="11"/>
  <c r="D41" i="11"/>
  <c r="M42" i="11"/>
  <c r="D42" i="11"/>
  <c r="M43" i="11"/>
  <c r="D43" i="11"/>
  <c r="M9" i="12"/>
  <c r="D9" i="12"/>
  <c r="M10" i="12"/>
  <c r="D10" i="12"/>
  <c r="M11" i="12"/>
  <c r="D11" i="12"/>
  <c r="M12" i="12"/>
  <c r="D12" i="12"/>
  <c r="M13" i="12"/>
  <c r="D13" i="12"/>
  <c r="M14" i="12"/>
  <c r="D14" i="12"/>
  <c r="M15" i="12"/>
  <c r="D15" i="12"/>
  <c r="M16" i="12"/>
  <c r="D16" i="12"/>
  <c r="M17" i="12"/>
  <c r="M18" i="12"/>
  <c r="D18" i="12" s="1"/>
  <c r="M19" i="12"/>
  <c r="D19" i="12" s="1"/>
  <c r="M20" i="12"/>
  <c r="D20" i="12" s="1"/>
  <c r="M21" i="12"/>
  <c r="D21" i="12" s="1"/>
  <c r="M22" i="12"/>
  <c r="D22" i="12" s="1"/>
  <c r="M23" i="12"/>
  <c r="D23" i="12" s="1"/>
  <c r="M24" i="12"/>
  <c r="D24" i="12" s="1"/>
  <c r="M25" i="12"/>
  <c r="D25" i="12" s="1"/>
  <c r="M26" i="12"/>
  <c r="M27" i="12"/>
  <c r="M28" i="12"/>
  <c r="D28" i="12" s="1"/>
  <c r="M29" i="12"/>
  <c r="D29" i="12" s="1"/>
  <c r="M30" i="12"/>
  <c r="D30" i="12" s="1"/>
  <c r="M31" i="12"/>
  <c r="D31" i="12" s="1"/>
  <c r="M32" i="12"/>
  <c r="D32" i="12" s="1"/>
  <c r="M33" i="12"/>
  <c r="D33" i="12" s="1"/>
  <c r="M34" i="12"/>
  <c r="D34" i="12" s="1"/>
  <c r="M35" i="12"/>
  <c r="D35" i="12" s="1"/>
  <c r="M36" i="12"/>
  <c r="D36" i="12" s="1"/>
  <c r="M37" i="12"/>
  <c r="D37" i="12" s="1"/>
  <c r="M38" i="12"/>
  <c r="D38" i="12" s="1"/>
  <c r="M39" i="12"/>
  <c r="D39" i="12" s="1"/>
  <c r="M40" i="12"/>
  <c r="D40" i="12" s="1"/>
  <c r="M41" i="12"/>
  <c r="M42" i="12"/>
  <c r="D42" i="12"/>
  <c r="M43" i="12"/>
  <c r="D43" i="12"/>
  <c r="M9" i="13"/>
  <c r="D9" i="13"/>
  <c r="M10" i="13"/>
  <c r="D10" i="13"/>
  <c r="M11" i="13"/>
  <c r="D11" i="13"/>
  <c r="M12" i="13"/>
  <c r="D12" i="13"/>
  <c r="M13" i="13"/>
  <c r="D13" i="13"/>
  <c r="M14" i="13"/>
  <c r="M15" i="13"/>
  <c r="D15" i="13" s="1"/>
  <c r="M16" i="13"/>
  <c r="D16" i="13" s="1"/>
  <c r="M17" i="13"/>
  <c r="D17" i="13" s="1"/>
  <c r="M18" i="13"/>
  <c r="D18" i="13" s="1"/>
  <c r="M19" i="13"/>
  <c r="D19" i="13" s="1"/>
  <c r="M20" i="13"/>
  <c r="D20" i="13" s="1"/>
  <c r="M21" i="13"/>
  <c r="D21" i="13" s="1"/>
  <c r="M22" i="13"/>
  <c r="D22" i="13" s="1"/>
  <c r="M23" i="13"/>
  <c r="D23" i="13" s="1"/>
  <c r="M24" i="13"/>
  <c r="D24" i="13" s="1"/>
  <c r="M25" i="13"/>
  <c r="D25" i="13" s="1"/>
  <c r="M26" i="13"/>
  <c r="D26" i="13" s="1"/>
  <c r="D27" i="13"/>
  <c r="M28" i="13"/>
  <c r="D28" i="13"/>
  <c r="M29" i="13"/>
  <c r="M30" i="13"/>
  <c r="D30" i="13" s="1"/>
  <c r="M31" i="13"/>
  <c r="D31" i="13" s="1"/>
  <c r="M32" i="13"/>
  <c r="D32" i="13" s="1"/>
  <c r="M33" i="13"/>
  <c r="D33" i="13" s="1"/>
  <c r="M34" i="13"/>
  <c r="D34" i="13" s="1"/>
  <c r="M35" i="13"/>
  <c r="D35" i="13" s="1"/>
  <c r="M36" i="13"/>
  <c r="D36" i="13" s="1"/>
  <c r="M37" i="13"/>
  <c r="D37" i="13" s="1"/>
  <c r="M38" i="13"/>
  <c r="D38" i="13" s="1"/>
  <c r="M39" i="13"/>
  <c r="D39" i="13" s="1"/>
  <c r="M40" i="13"/>
  <c r="D40" i="13" s="1"/>
  <c r="M41" i="13"/>
  <c r="D41" i="13" s="1"/>
  <c r="M42" i="13"/>
  <c r="D42" i="13" s="1"/>
  <c r="M43" i="13"/>
  <c r="D43" i="13" s="1"/>
  <c r="M9" i="14"/>
  <c r="D9" i="14" s="1"/>
  <c r="M10" i="14"/>
  <c r="D10" i="14" s="1"/>
  <c r="M11" i="14"/>
  <c r="D11" i="14" s="1"/>
  <c r="M12" i="14"/>
  <c r="D12" i="14" s="1"/>
  <c r="M13" i="14"/>
  <c r="D13" i="14" s="1"/>
  <c r="M14" i="14"/>
  <c r="D14" i="14" s="1"/>
  <c r="M15" i="14"/>
  <c r="D15" i="14" s="1"/>
  <c r="M16" i="14"/>
  <c r="D16" i="14" s="1"/>
  <c r="M17" i="14"/>
  <c r="D17" i="14" s="1"/>
  <c r="M18" i="14"/>
  <c r="D18" i="14" s="1"/>
  <c r="M19" i="14"/>
  <c r="D19" i="14" s="1"/>
  <c r="M20" i="14"/>
  <c r="D20" i="14" s="1"/>
  <c r="M21" i="14"/>
  <c r="D21" i="14" s="1"/>
  <c r="M22" i="14"/>
  <c r="D22" i="14" s="1"/>
  <c r="M23" i="14"/>
  <c r="D23" i="14" s="1"/>
  <c r="M24" i="14"/>
  <c r="D24" i="14" s="1"/>
  <c r="M25" i="14"/>
  <c r="D25" i="14" s="1"/>
  <c r="M26" i="14"/>
  <c r="D26" i="14" s="1"/>
  <c r="M27" i="14"/>
  <c r="D27" i="14" s="1"/>
  <c r="M28" i="14"/>
  <c r="D28" i="14" s="1"/>
  <c r="M29" i="14"/>
  <c r="D29" i="14" s="1"/>
  <c r="M30" i="14"/>
  <c r="D30" i="14" s="1"/>
  <c r="M31" i="14"/>
  <c r="D31" i="14" s="1"/>
  <c r="M32" i="14"/>
  <c r="D32" i="14" s="1"/>
  <c r="M33" i="14"/>
  <c r="D33" i="14" s="1"/>
  <c r="M34" i="14"/>
  <c r="D34" i="14" s="1"/>
  <c r="M35" i="14"/>
  <c r="D35" i="14" s="1"/>
  <c r="M36" i="14"/>
  <c r="D36" i="14" s="1"/>
  <c r="M37" i="14"/>
  <c r="D37" i="14" s="1"/>
  <c r="M38" i="14"/>
  <c r="D38" i="14" s="1"/>
  <c r="M39" i="14"/>
  <c r="D39" i="14" s="1"/>
  <c r="M40" i="14"/>
  <c r="D40" i="14" s="1"/>
  <c r="M41" i="14"/>
  <c r="D41" i="14" s="1"/>
  <c r="M42" i="14"/>
  <c r="D42" i="14" s="1"/>
  <c r="M43" i="14"/>
  <c r="D43" i="14" s="1"/>
  <c r="M9" i="15"/>
  <c r="D9" i="15" s="1"/>
  <c r="M10" i="15"/>
  <c r="D10" i="15" s="1"/>
  <c r="M11" i="15"/>
  <c r="D11" i="15" s="1"/>
  <c r="M12" i="15"/>
  <c r="D12" i="15" s="1"/>
  <c r="M13" i="15"/>
  <c r="D13" i="15" s="1"/>
  <c r="M14" i="15"/>
  <c r="D14" i="15" s="1"/>
  <c r="M15" i="15"/>
  <c r="D15" i="15" s="1"/>
  <c r="M16" i="15"/>
  <c r="D16" i="15" s="1"/>
  <c r="M17" i="15"/>
  <c r="D17" i="15" s="1"/>
  <c r="M18" i="15"/>
  <c r="D18" i="15" s="1"/>
  <c r="M19" i="15"/>
  <c r="D19" i="15" s="1"/>
  <c r="M20" i="15"/>
  <c r="D20" i="15" s="1"/>
  <c r="M21" i="15"/>
  <c r="D21" i="15" s="1"/>
  <c r="M22" i="15"/>
  <c r="D22" i="15" s="1"/>
  <c r="M23" i="15"/>
  <c r="D23" i="15" s="1"/>
  <c r="M24" i="15"/>
  <c r="D24" i="15" s="1"/>
  <c r="M25" i="15"/>
  <c r="D25" i="15" s="1"/>
  <c r="M26" i="15"/>
  <c r="D26" i="15" s="1"/>
  <c r="M27" i="15"/>
  <c r="D27" i="15" s="1"/>
  <c r="M28" i="15"/>
  <c r="D28" i="15" s="1"/>
  <c r="M29" i="15"/>
  <c r="D29" i="15" s="1"/>
  <c r="M30" i="15"/>
  <c r="D30" i="15" s="1"/>
  <c r="M31" i="15"/>
  <c r="D31" i="15" s="1"/>
  <c r="M32" i="15"/>
  <c r="D32" i="15" s="1"/>
  <c r="M33" i="15"/>
  <c r="D33" i="15" s="1"/>
  <c r="M34" i="15"/>
  <c r="D34" i="15" s="1"/>
  <c r="M35" i="15"/>
  <c r="D35" i="15" s="1"/>
  <c r="M36" i="15"/>
  <c r="D36" i="15" s="1"/>
  <c r="M37" i="15"/>
  <c r="D37" i="15" s="1"/>
  <c r="M38" i="15"/>
  <c r="D38" i="15" s="1"/>
  <c r="M39" i="15"/>
  <c r="D39" i="15" s="1"/>
  <c r="M40" i="15"/>
  <c r="D40" i="15" s="1"/>
  <c r="M41" i="15"/>
  <c r="D41" i="15" s="1"/>
  <c r="M42" i="15"/>
  <c r="D42" i="15" s="1"/>
  <c r="M43" i="15"/>
  <c r="D43" i="15" s="1"/>
  <c r="M9" i="16"/>
  <c r="M10" i="16"/>
  <c r="D10" i="16"/>
  <c r="M11" i="16"/>
  <c r="D11" i="16"/>
  <c r="M12" i="16"/>
  <c r="D12" i="16"/>
  <c r="M13" i="16"/>
  <c r="D13" i="16"/>
  <c r="M14" i="16"/>
  <c r="M15" i="16"/>
  <c r="D15" i="16" s="1"/>
  <c r="M16" i="16"/>
  <c r="D16" i="16" s="1"/>
  <c r="M17" i="16"/>
  <c r="M18" i="16"/>
  <c r="D18" i="16"/>
  <c r="M19" i="16"/>
  <c r="D19" i="16"/>
  <c r="M20" i="16"/>
  <c r="D20" i="16"/>
  <c r="M21" i="16"/>
  <c r="D21" i="16"/>
  <c r="M22" i="16"/>
  <c r="D22" i="16"/>
  <c r="M23" i="16"/>
  <c r="D23" i="16"/>
  <c r="M24" i="16"/>
  <c r="D24" i="16"/>
  <c r="M25" i="16"/>
  <c r="M26" i="16"/>
  <c r="D26" i="16" s="1"/>
  <c r="M27" i="16"/>
  <c r="D27" i="16" s="1"/>
  <c r="M28" i="16"/>
  <c r="D28" i="16" s="1"/>
  <c r="M29" i="16"/>
  <c r="D29" i="16" s="1"/>
  <c r="M31" i="16"/>
  <c r="D31" i="16" s="1"/>
  <c r="M32" i="16"/>
  <c r="D32" i="16" s="1"/>
  <c r="M33" i="16"/>
  <c r="D33" i="16"/>
  <c r="M34" i="16"/>
  <c r="D34" i="16"/>
  <c r="M35" i="16"/>
  <c r="D35" i="16"/>
  <c r="M36" i="16"/>
  <c r="D36" i="16"/>
  <c r="M37" i="16"/>
  <c r="D37" i="16"/>
  <c r="M38" i="16"/>
  <c r="D38" i="16"/>
  <c r="M39" i="16"/>
  <c r="D39" i="16"/>
  <c r="M40" i="16"/>
  <c r="D40" i="16"/>
  <c r="M41" i="16"/>
  <c r="D41" i="16"/>
  <c r="M42" i="16"/>
  <c r="D42" i="16"/>
  <c r="M43" i="16"/>
  <c r="D43" i="16"/>
  <c r="M9" i="17"/>
  <c r="D9" i="17"/>
  <c r="M10" i="17"/>
  <c r="D10" i="17"/>
  <c r="M11" i="17"/>
  <c r="D11" i="17"/>
  <c r="M12" i="17"/>
  <c r="D12" i="17"/>
  <c r="M13" i="17"/>
  <c r="D13" i="17"/>
  <c r="M14" i="17"/>
  <c r="D14" i="17"/>
  <c r="M15" i="17"/>
  <c r="D15" i="17"/>
  <c r="M16" i="17"/>
  <c r="D16" i="17"/>
  <c r="M17" i="17"/>
  <c r="D17" i="17"/>
  <c r="M18" i="17"/>
  <c r="D18" i="17"/>
  <c r="M19" i="17"/>
  <c r="D19" i="17"/>
  <c r="M20" i="17"/>
  <c r="D20" i="17"/>
  <c r="M21" i="17"/>
  <c r="D21" i="17"/>
  <c r="M22" i="17"/>
  <c r="D22" i="17"/>
  <c r="M23" i="17"/>
  <c r="D23" i="17"/>
  <c r="M24" i="17"/>
  <c r="D24" i="17"/>
  <c r="M25" i="17"/>
  <c r="D25" i="17"/>
  <c r="M26" i="17"/>
  <c r="D26" i="17"/>
  <c r="M27" i="17"/>
  <c r="D27" i="17"/>
  <c r="M28" i="17"/>
  <c r="D28" i="17"/>
  <c r="M29" i="17"/>
  <c r="D29" i="17"/>
  <c r="M30" i="17"/>
  <c r="D30" i="17"/>
  <c r="M31" i="17"/>
  <c r="D31" i="17"/>
  <c r="M32" i="17"/>
  <c r="D32" i="17"/>
  <c r="M33" i="17"/>
  <c r="D33" i="17"/>
  <c r="M34" i="17"/>
  <c r="D34" i="17"/>
  <c r="M35" i="17"/>
  <c r="D35" i="17"/>
  <c r="M36" i="17"/>
  <c r="D36" i="17"/>
  <c r="M37" i="17"/>
  <c r="D37" i="17"/>
  <c r="M38" i="17"/>
  <c r="D38" i="17"/>
  <c r="M39" i="17"/>
  <c r="D39" i="17"/>
  <c r="M40" i="17"/>
  <c r="D40" i="17"/>
  <c r="M41" i="17"/>
  <c r="D41" i="17"/>
  <c r="M42" i="17"/>
  <c r="D42" i="17"/>
  <c r="M43" i="17"/>
  <c r="D43" i="17"/>
  <c r="M9" i="18"/>
  <c r="D9" i="18"/>
  <c r="M10" i="18"/>
  <c r="D10" i="18"/>
  <c r="M11" i="18"/>
  <c r="D11" i="18"/>
  <c r="M12" i="18"/>
  <c r="D12" i="18"/>
  <c r="M13" i="18"/>
  <c r="D13" i="18"/>
  <c r="M14" i="18"/>
  <c r="D14" i="18"/>
  <c r="M15" i="18"/>
  <c r="D15" i="18"/>
  <c r="M16" i="18"/>
  <c r="D16" i="18"/>
  <c r="M17" i="18"/>
  <c r="D17" i="18"/>
  <c r="M18" i="18"/>
  <c r="D18" i="18"/>
  <c r="M19" i="18"/>
  <c r="D19" i="18"/>
  <c r="M20" i="18"/>
  <c r="D20" i="18"/>
  <c r="M21" i="18"/>
  <c r="D21" i="18"/>
  <c r="M22" i="18"/>
  <c r="D22" i="18"/>
  <c r="M23" i="18"/>
  <c r="D23" i="18"/>
  <c r="M24" i="18"/>
  <c r="D24" i="18"/>
  <c r="M25" i="18"/>
  <c r="D25" i="18"/>
  <c r="M26" i="18"/>
  <c r="D26" i="18"/>
  <c r="M27" i="18"/>
  <c r="D27" i="18"/>
  <c r="M28" i="18"/>
  <c r="D28" i="18"/>
  <c r="M29" i="18"/>
  <c r="D29" i="18"/>
  <c r="M30" i="18"/>
  <c r="D30" i="18"/>
  <c r="M31" i="18"/>
  <c r="D31" i="18"/>
  <c r="M32" i="18"/>
  <c r="D32" i="18"/>
  <c r="M33" i="18"/>
  <c r="D33" i="18"/>
  <c r="M34" i="18"/>
  <c r="D34" i="18"/>
  <c r="M35" i="18"/>
  <c r="D35" i="18"/>
  <c r="M36" i="18"/>
  <c r="D36" i="18"/>
  <c r="M37" i="18"/>
  <c r="D37" i="18"/>
  <c r="M38" i="18"/>
  <c r="D38" i="18"/>
  <c r="M39" i="18"/>
  <c r="D39" i="18"/>
  <c r="M40" i="18"/>
  <c r="D40" i="18"/>
  <c r="M41" i="18"/>
  <c r="D41" i="18"/>
  <c r="M42" i="18"/>
  <c r="D42" i="18"/>
  <c r="M43" i="18"/>
  <c r="D43" i="18"/>
  <c r="M9" i="19"/>
  <c r="D9" i="19"/>
  <c r="M10" i="19"/>
  <c r="D10" i="19"/>
  <c r="M11" i="19"/>
  <c r="D11" i="19"/>
  <c r="M12" i="19"/>
  <c r="D12" i="19"/>
  <c r="M13" i="19"/>
  <c r="D13" i="19"/>
  <c r="M14" i="19"/>
  <c r="D14" i="19"/>
  <c r="M15" i="19"/>
  <c r="D15" i="19"/>
  <c r="M16" i="19"/>
  <c r="D16" i="19"/>
  <c r="M17" i="19"/>
  <c r="D17" i="19"/>
  <c r="M18" i="19"/>
  <c r="D18" i="19"/>
  <c r="M19" i="19"/>
  <c r="D19" i="19"/>
  <c r="M20" i="19"/>
  <c r="D20" i="19"/>
  <c r="M21" i="19"/>
  <c r="D21" i="19"/>
  <c r="M22" i="19"/>
  <c r="D22" i="19"/>
  <c r="M23" i="19"/>
  <c r="D23" i="19"/>
  <c r="M24" i="19"/>
  <c r="D24" i="19"/>
  <c r="M25" i="19"/>
  <c r="D25" i="19"/>
  <c r="M26" i="19"/>
  <c r="D26" i="19"/>
  <c r="M27" i="19"/>
  <c r="D27" i="19"/>
  <c r="M28" i="19"/>
  <c r="D28" i="19"/>
  <c r="M29" i="19"/>
  <c r="D29" i="19"/>
  <c r="M30" i="19"/>
  <c r="D30" i="19"/>
  <c r="M31" i="19"/>
  <c r="D31" i="19"/>
  <c r="M32" i="19"/>
  <c r="D32" i="19"/>
  <c r="M33" i="19"/>
  <c r="D33" i="19"/>
  <c r="M34" i="19"/>
  <c r="D34" i="19"/>
  <c r="M35" i="19"/>
  <c r="D35" i="19"/>
  <c r="M36" i="19"/>
  <c r="D36" i="19"/>
  <c r="M37" i="19"/>
  <c r="D37" i="19"/>
  <c r="M38" i="19"/>
  <c r="D38" i="19"/>
  <c r="M39" i="19"/>
  <c r="D39" i="19"/>
  <c r="M40" i="19"/>
  <c r="D40" i="19"/>
  <c r="M41" i="19"/>
  <c r="D41" i="19"/>
  <c r="M42" i="19"/>
  <c r="D42" i="19"/>
  <c r="M43" i="19"/>
  <c r="D43" i="19"/>
  <c r="M9" i="20"/>
  <c r="D9" i="20"/>
  <c r="M10" i="20"/>
  <c r="D10" i="20"/>
  <c r="M11" i="20"/>
  <c r="D11" i="20"/>
  <c r="M12" i="20"/>
  <c r="D12" i="20"/>
  <c r="M13" i="20"/>
  <c r="D13" i="20"/>
  <c r="M14" i="20"/>
  <c r="D14" i="20"/>
  <c r="M15" i="20"/>
  <c r="D15" i="20"/>
  <c r="M16" i="20"/>
  <c r="D16" i="20"/>
  <c r="M17" i="20"/>
  <c r="D17" i="20"/>
  <c r="M18" i="20"/>
  <c r="D18" i="20"/>
  <c r="M19" i="20"/>
  <c r="D19" i="20"/>
  <c r="M20" i="20"/>
  <c r="D20" i="20"/>
  <c r="M21" i="20"/>
  <c r="D21" i="20"/>
  <c r="M22" i="20"/>
  <c r="D22" i="20"/>
  <c r="M23" i="20"/>
  <c r="D23" i="20"/>
  <c r="M24" i="20"/>
  <c r="D24" i="20"/>
  <c r="M25" i="20"/>
  <c r="D25" i="20"/>
  <c r="M26" i="20"/>
  <c r="D26" i="20"/>
  <c r="M27" i="20"/>
  <c r="D27" i="20"/>
  <c r="M28" i="20"/>
  <c r="D28" i="20"/>
  <c r="M29" i="20"/>
  <c r="D29" i="20" s="1"/>
  <c r="M30" i="20"/>
  <c r="D30" i="20"/>
  <c r="M31" i="20"/>
  <c r="D31" i="20"/>
  <c r="M32" i="20"/>
  <c r="D32" i="20"/>
  <c r="M33" i="20"/>
  <c r="D33" i="20"/>
  <c r="M34" i="20"/>
  <c r="D34" i="20"/>
  <c r="M35" i="20"/>
  <c r="D35" i="20"/>
  <c r="M36" i="20"/>
  <c r="D36" i="20"/>
  <c r="M37" i="20"/>
  <c r="D37" i="20"/>
  <c r="M38" i="20"/>
  <c r="D38" i="20"/>
  <c r="M39" i="20"/>
  <c r="D39" i="20"/>
  <c r="M40" i="20"/>
  <c r="D40" i="20"/>
  <c r="M41" i="20"/>
  <c r="D41" i="20"/>
  <c r="M42" i="20"/>
  <c r="D42" i="20"/>
  <c r="M43" i="20"/>
  <c r="D43" i="20"/>
  <c r="M9" i="21"/>
  <c r="D9" i="21"/>
  <c r="M10" i="21"/>
  <c r="D10" i="21"/>
  <c r="M11" i="21"/>
  <c r="D11" i="21"/>
  <c r="M12" i="21"/>
  <c r="D12" i="21"/>
  <c r="M13" i="21"/>
  <c r="D13" i="21"/>
  <c r="M14" i="21"/>
  <c r="D14" i="21"/>
  <c r="M15" i="21"/>
  <c r="D15" i="21"/>
  <c r="M16" i="21"/>
  <c r="D16" i="21"/>
  <c r="M17" i="21"/>
  <c r="D17" i="21"/>
  <c r="M18" i="21"/>
  <c r="D18" i="21"/>
  <c r="M19" i="21"/>
  <c r="D19" i="21"/>
  <c r="M20" i="21"/>
  <c r="D20" i="21"/>
  <c r="M21" i="21"/>
  <c r="D21" i="21"/>
  <c r="M22" i="21"/>
  <c r="D22" i="21"/>
  <c r="M23" i="21"/>
  <c r="D23" i="21"/>
  <c r="M24" i="21"/>
  <c r="D24" i="21"/>
  <c r="M25" i="21"/>
  <c r="M26" i="21"/>
  <c r="M27" i="21"/>
  <c r="D27" i="21"/>
  <c r="M28" i="21"/>
  <c r="D28" i="21"/>
  <c r="M29" i="21"/>
  <c r="D29" i="21"/>
  <c r="M30" i="21"/>
  <c r="D30" i="21"/>
  <c r="M31" i="21"/>
  <c r="D31" i="21"/>
  <c r="M32" i="21"/>
  <c r="D32" i="21"/>
  <c r="M33" i="21"/>
  <c r="D33" i="21"/>
  <c r="M34" i="21"/>
  <c r="D34" i="21"/>
  <c r="M35" i="21"/>
  <c r="D35" i="21"/>
  <c r="M36" i="21"/>
  <c r="D36" i="21"/>
  <c r="M37" i="21"/>
  <c r="D37" i="21"/>
  <c r="M38" i="21"/>
  <c r="D38" i="21"/>
  <c r="M39" i="21"/>
  <c r="D39" i="21"/>
  <c r="M40" i="21"/>
  <c r="D40" i="21"/>
  <c r="M41" i="21"/>
  <c r="D41" i="21"/>
  <c r="M42" i="21"/>
  <c r="D42" i="21"/>
  <c r="M43" i="21"/>
  <c r="D43" i="21"/>
  <c r="M9" i="22"/>
  <c r="D9" i="22"/>
  <c r="M10" i="22"/>
  <c r="D10" i="22"/>
  <c r="M11" i="22"/>
  <c r="D11" i="22"/>
  <c r="M12" i="22"/>
  <c r="D12" i="22"/>
  <c r="M13" i="22"/>
  <c r="D13" i="22"/>
  <c r="M14" i="22"/>
  <c r="D14" i="22"/>
  <c r="M15" i="22"/>
  <c r="D15" i="22"/>
  <c r="M16" i="22"/>
  <c r="D16" i="22"/>
  <c r="M17" i="22"/>
  <c r="D17" i="22"/>
  <c r="M18" i="22"/>
  <c r="D18" i="22"/>
  <c r="M19" i="22"/>
  <c r="D19" i="22"/>
  <c r="M20" i="22"/>
  <c r="D20" i="22"/>
  <c r="M21" i="22"/>
  <c r="D21" i="22"/>
  <c r="M22" i="22"/>
  <c r="D22" i="22"/>
  <c r="M23" i="22"/>
  <c r="D23" i="22"/>
  <c r="M24" i="22"/>
  <c r="D24" i="22"/>
  <c r="M25" i="22"/>
  <c r="D25" i="22"/>
  <c r="M26" i="22"/>
  <c r="D26" i="22"/>
  <c r="M27" i="22"/>
  <c r="D27" i="22"/>
  <c r="M28" i="22"/>
  <c r="D28" i="22"/>
  <c r="M29" i="22"/>
  <c r="D29" i="22"/>
  <c r="M30" i="22"/>
  <c r="D30" i="22"/>
  <c r="M31" i="22"/>
  <c r="D31" i="22"/>
  <c r="M32" i="22"/>
  <c r="D32" i="22"/>
  <c r="M33" i="22"/>
  <c r="D33" i="22"/>
  <c r="M34" i="22"/>
  <c r="D34" i="22"/>
  <c r="M35" i="22"/>
  <c r="D35" i="22"/>
  <c r="M36" i="22"/>
  <c r="D36" i="22"/>
  <c r="M37" i="22"/>
  <c r="D37" i="22"/>
  <c r="M38" i="22"/>
  <c r="D38" i="22"/>
  <c r="M39" i="22"/>
  <c r="D39" i="22"/>
  <c r="M40" i="22"/>
  <c r="D40" i="22"/>
  <c r="M41" i="22"/>
  <c r="D41" i="22"/>
  <c r="M42" i="22"/>
  <c r="D42" i="22"/>
  <c r="M43" i="22"/>
  <c r="D43" i="22"/>
  <c r="M9" i="23"/>
  <c r="D9" i="23"/>
  <c r="M10" i="23"/>
  <c r="D10" i="23"/>
  <c r="M11" i="23"/>
  <c r="D11" i="23"/>
  <c r="M12" i="23"/>
  <c r="D12" i="23"/>
  <c r="M13" i="23"/>
  <c r="D13" i="23"/>
  <c r="M14" i="23"/>
  <c r="D14" i="23"/>
  <c r="M15" i="23"/>
  <c r="D15" i="23"/>
  <c r="M16" i="23"/>
  <c r="D16" i="23"/>
  <c r="M17" i="23"/>
  <c r="D17" i="23"/>
  <c r="M18" i="23"/>
  <c r="D18" i="23"/>
  <c r="M19" i="23"/>
  <c r="D19" i="23"/>
  <c r="M20" i="23"/>
  <c r="D20" i="23"/>
  <c r="M21" i="23"/>
  <c r="D21" i="23"/>
  <c r="M22" i="23"/>
  <c r="D22" i="23"/>
  <c r="M23" i="23"/>
  <c r="D23" i="23"/>
  <c r="M24" i="23"/>
  <c r="D24" i="23"/>
  <c r="M25" i="23"/>
  <c r="D25" i="23"/>
  <c r="M26" i="23"/>
  <c r="D26" i="23"/>
  <c r="M27" i="23"/>
  <c r="D27" i="23"/>
  <c r="M28" i="23"/>
  <c r="D28" i="23"/>
  <c r="M29" i="23"/>
  <c r="D29" i="23"/>
  <c r="M30" i="23"/>
  <c r="D30" i="23"/>
  <c r="M31" i="23"/>
  <c r="D31" i="23"/>
  <c r="M32" i="23"/>
  <c r="D32" i="23"/>
  <c r="M33" i="23"/>
  <c r="D33" i="23"/>
  <c r="M34" i="23"/>
  <c r="D34" i="23"/>
  <c r="M35" i="23"/>
  <c r="D35" i="23"/>
  <c r="M36" i="23"/>
  <c r="D36" i="23"/>
  <c r="M37" i="23"/>
  <c r="D37" i="23"/>
  <c r="M38" i="23"/>
  <c r="D38" i="23"/>
  <c r="M39" i="23"/>
  <c r="D39" i="23"/>
  <c r="M40" i="23"/>
  <c r="D40" i="23"/>
  <c r="M41" i="23"/>
  <c r="D41" i="23"/>
  <c r="M42" i="23"/>
  <c r="D42" i="23"/>
  <c r="M43" i="23"/>
  <c r="D43" i="23"/>
  <c r="M9" i="24"/>
  <c r="D9" i="24"/>
  <c r="M10" i="24"/>
  <c r="D10" i="24"/>
  <c r="M11" i="24"/>
  <c r="D11" i="24"/>
  <c r="M12" i="24"/>
  <c r="D12" i="24"/>
  <c r="M13" i="24"/>
  <c r="D13" i="24"/>
  <c r="M14" i="24"/>
  <c r="D14" i="24"/>
  <c r="M15" i="24"/>
  <c r="D15" i="24"/>
  <c r="M16" i="24"/>
  <c r="D16" i="24"/>
  <c r="M17" i="24"/>
  <c r="D17" i="24"/>
  <c r="M18" i="24"/>
  <c r="D18" i="24"/>
  <c r="M19" i="24"/>
  <c r="D19" i="24"/>
  <c r="M20" i="24"/>
  <c r="D20" i="24"/>
  <c r="M21" i="24"/>
  <c r="D21" i="24"/>
  <c r="M22" i="24"/>
  <c r="D22" i="24"/>
  <c r="M23" i="24"/>
  <c r="D23" i="24"/>
  <c r="M24" i="24"/>
  <c r="D24" i="24"/>
  <c r="M25" i="24"/>
  <c r="D25" i="24"/>
  <c r="M26" i="24"/>
  <c r="D26" i="24"/>
  <c r="M27" i="24"/>
  <c r="D27" i="24"/>
  <c r="M28" i="24"/>
  <c r="D28" i="24"/>
  <c r="M29" i="24"/>
  <c r="D29" i="24"/>
  <c r="M30" i="24"/>
  <c r="D30" i="24"/>
  <c r="M31" i="24"/>
  <c r="D31" i="24"/>
  <c r="M32" i="24"/>
  <c r="D32" i="24"/>
  <c r="M33" i="24"/>
  <c r="D33" i="24"/>
  <c r="M34" i="24"/>
  <c r="D34" i="24"/>
  <c r="M35" i="24"/>
  <c r="D35" i="24"/>
  <c r="M36" i="24"/>
  <c r="D36" i="24"/>
  <c r="M37" i="24"/>
  <c r="D37" i="24"/>
  <c r="M38" i="24"/>
  <c r="D38" i="24"/>
  <c r="M39" i="24"/>
  <c r="D39" i="24"/>
  <c r="M40" i="24"/>
  <c r="D40" i="24"/>
  <c r="M41" i="24"/>
  <c r="D41" i="24"/>
  <c r="M42" i="24"/>
  <c r="D42" i="24"/>
  <c r="M43" i="24"/>
  <c r="D43" i="24"/>
  <c r="M9" i="25"/>
  <c r="D9" i="25"/>
  <c r="M10" i="25"/>
  <c r="D10" i="25"/>
  <c r="M11" i="25"/>
  <c r="D11" i="25"/>
  <c r="M12" i="25"/>
  <c r="D12" i="25"/>
  <c r="M13" i="25"/>
  <c r="D13" i="25"/>
  <c r="M14" i="25"/>
  <c r="D14" i="25"/>
  <c r="M15" i="25"/>
  <c r="D15" i="25"/>
  <c r="M16" i="25"/>
  <c r="D16" i="25"/>
  <c r="M17" i="25"/>
  <c r="D17" i="25"/>
  <c r="M18" i="25"/>
  <c r="D18" i="25"/>
  <c r="M19" i="25"/>
  <c r="D19" i="25"/>
  <c r="M20" i="25"/>
  <c r="D20" i="25"/>
  <c r="M21" i="25"/>
  <c r="D21" i="25"/>
  <c r="M22" i="25"/>
  <c r="D22" i="25"/>
  <c r="M23" i="25"/>
  <c r="D23" i="25"/>
  <c r="M24" i="25"/>
  <c r="D24" i="25"/>
  <c r="M25" i="25"/>
  <c r="D25" i="25"/>
  <c r="M26" i="25"/>
  <c r="D26" i="25"/>
  <c r="M27" i="25"/>
  <c r="D27" i="25"/>
  <c r="M28" i="25"/>
  <c r="D28" i="25"/>
  <c r="M29" i="25"/>
  <c r="D29" i="25"/>
  <c r="M30" i="25"/>
  <c r="D30" i="25"/>
  <c r="M31" i="25"/>
  <c r="D31" i="25"/>
  <c r="M32" i="25"/>
  <c r="D32" i="25"/>
  <c r="M33" i="25"/>
  <c r="D33" i="25"/>
  <c r="M34" i="25"/>
  <c r="D34" i="25"/>
  <c r="M35" i="25"/>
  <c r="D35" i="25"/>
  <c r="M36" i="25"/>
  <c r="D36" i="25"/>
  <c r="M37" i="25"/>
  <c r="D37" i="25"/>
  <c r="M38" i="25"/>
  <c r="D38" i="25"/>
  <c r="M39" i="25"/>
  <c r="D39" i="25"/>
  <c r="M40" i="25"/>
  <c r="D40" i="25"/>
  <c r="M41" i="25"/>
  <c r="D41" i="25"/>
  <c r="M42" i="25"/>
  <c r="D42" i="25"/>
  <c r="M43" i="25"/>
  <c r="D43" i="25"/>
  <c r="M9" i="26"/>
  <c r="D9" i="26"/>
  <c r="M10" i="26"/>
  <c r="D10" i="26"/>
  <c r="M11" i="26"/>
  <c r="D11" i="26"/>
  <c r="M12" i="26"/>
  <c r="D12" i="26"/>
  <c r="M13" i="26"/>
  <c r="D13" i="26"/>
  <c r="M14" i="26"/>
  <c r="D14" i="26"/>
  <c r="M15" i="26"/>
  <c r="D15" i="26"/>
  <c r="M16" i="26"/>
  <c r="D16" i="26"/>
  <c r="M17" i="26"/>
  <c r="D17" i="26"/>
  <c r="M18" i="26"/>
  <c r="D18" i="26"/>
  <c r="M19" i="26"/>
  <c r="D19" i="26"/>
  <c r="M20" i="26"/>
  <c r="D20" i="26"/>
  <c r="M21" i="26"/>
  <c r="D21" i="26"/>
  <c r="M22" i="26"/>
  <c r="D22" i="26"/>
  <c r="M23" i="26"/>
  <c r="D23" i="26"/>
  <c r="M24" i="26"/>
  <c r="D24" i="26"/>
  <c r="M25" i="26"/>
  <c r="D25" i="26"/>
  <c r="M26" i="26"/>
  <c r="D26" i="26"/>
  <c r="M27" i="26"/>
  <c r="D27" i="26"/>
  <c r="M28" i="26"/>
  <c r="D28" i="26"/>
  <c r="M29" i="26"/>
  <c r="D29" i="26"/>
  <c r="M30" i="26"/>
  <c r="D30" i="26"/>
  <c r="M31" i="26"/>
  <c r="D31" i="26"/>
  <c r="M32" i="26"/>
  <c r="D32" i="26"/>
  <c r="M33" i="26"/>
  <c r="D33" i="26"/>
  <c r="M34" i="26"/>
  <c r="D34" i="26"/>
  <c r="M35" i="26"/>
  <c r="D35" i="26"/>
  <c r="M36" i="26"/>
  <c r="D36" i="26"/>
  <c r="M37" i="26"/>
  <c r="D37" i="26"/>
  <c r="M38" i="26"/>
  <c r="D38" i="26"/>
  <c r="M39" i="26"/>
  <c r="D39" i="26"/>
  <c r="M40" i="26"/>
  <c r="D40" i="26"/>
  <c r="M41" i="26"/>
  <c r="D41" i="26"/>
  <c r="M42" i="26"/>
  <c r="D42" i="26"/>
  <c r="M43" i="26"/>
  <c r="D43" i="26"/>
  <c r="M9" i="27"/>
  <c r="D9" i="27"/>
  <c r="M10" i="27"/>
  <c r="D10" i="27"/>
  <c r="M11" i="27"/>
  <c r="D11" i="27"/>
  <c r="M12" i="27"/>
  <c r="D12" i="27"/>
  <c r="M13" i="27"/>
  <c r="D13" i="27"/>
  <c r="M14" i="27"/>
  <c r="D14" i="27"/>
  <c r="M15" i="27"/>
  <c r="D15" i="27"/>
  <c r="M16" i="27"/>
  <c r="D16" i="27"/>
  <c r="M17" i="27"/>
  <c r="D17" i="27"/>
  <c r="M18" i="27"/>
  <c r="D18" i="27"/>
  <c r="M19" i="27"/>
  <c r="D19" i="27"/>
  <c r="M20" i="27"/>
  <c r="D20" i="27"/>
  <c r="M21" i="27"/>
  <c r="D21" i="27"/>
  <c r="M22" i="27"/>
  <c r="D22" i="27"/>
  <c r="M23" i="27"/>
  <c r="D23" i="27"/>
  <c r="M24" i="27"/>
  <c r="D24" i="27"/>
  <c r="M25" i="27"/>
  <c r="D25" i="27"/>
  <c r="M26" i="27"/>
  <c r="D26" i="27"/>
  <c r="M27" i="27"/>
  <c r="D27" i="27"/>
  <c r="M28" i="27"/>
  <c r="D28" i="27"/>
  <c r="M29" i="27"/>
  <c r="D29" i="27"/>
  <c r="M30" i="27"/>
  <c r="D30" i="27"/>
  <c r="M31" i="27"/>
  <c r="D31" i="27"/>
  <c r="M32" i="27"/>
  <c r="D32" i="27"/>
  <c r="M33" i="27"/>
  <c r="D33" i="27"/>
  <c r="M34" i="27"/>
  <c r="D34" i="27"/>
  <c r="M35" i="27"/>
  <c r="D35" i="27"/>
  <c r="M36" i="27"/>
  <c r="D36" i="27"/>
  <c r="M37" i="27"/>
  <c r="D37" i="27"/>
  <c r="M38" i="27"/>
  <c r="D38" i="27"/>
  <c r="M39" i="27"/>
  <c r="D39" i="27"/>
  <c r="M40" i="27"/>
  <c r="D40" i="27"/>
  <c r="M41" i="27"/>
  <c r="D41" i="27"/>
  <c r="M42" i="27"/>
  <c r="D42" i="27"/>
  <c r="M43" i="27"/>
  <c r="D43" i="27"/>
  <c r="M9" i="28"/>
  <c r="D9" i="28"/>
  <c r="M10" i="28"/>
  <c r="D10" i="28"/>
  <c r="M11" i="28"/>
  <c r="D11" i="28"/>
  <c r="M12" i="28"/>
  <c r="D12" i="28"/>
  <c r="M13" i="28"/>
  <c r="D13" i="28"/>
  <c r="M14" i="28"/>
  <c r="D14" i="28"/>
  <c r="M15" i="28"/>
  <c r="D15" i="28"/>
  <c r="M16" i="28"/>
  <c r="D16" i="28"/>
  <c r="M17" i="28"/>
  <c r="D17" i="28"/>
  <c r="M18" i="28"/>
  <c r="D18" i="28"/>
  <c r="M19" i="28"/>
  <c r="D19" i="28"/>
  <c r="M20" i="28"/>
  <c r="D20" i="28"/>
  <c r="M21" i="28"/>
  <c r="D21" i="28"/>
  <c r="M22" i="28"/>
  <c r="D22" i="28"/>
  <c r="M23" i="28"/>
  <c r="D23" i="28"/>
  <c r="M24" i="28"/>
  <c r="D24" i="28"/>
  <c r="M25" i="28"/>
  <c r="D25" i="28"/>
  <c r="M26" i="28"/>
  <c r="D26" i="28"/>
  <c r="M27" i="28"/>
  <c r="D27" i="28"/>
  <c r="M28" i="28"/>
  <c r="D28" i="28"/>
  <c r="M29" i="28"/>
  <c r="D29" i="28"/>
  <c r="M30" i="28"/>
  <c r="D30" i="28"/>
  <c r="M31" i="28"/>
  <c r="D31" i="28"/>
  <c r="M32" i="28"/>
  <c r="D32" i="28"/>
  <c r="M33" i="28"/>
  <c r="D33" i="28"/>
  <c r="M34" i="28"/>
  <c r="D34" i="28"/>
  <c r="M35" i="28"/>
  <c r="D35" i="28"/>
  <c r="M36" i="28"/>
  <c r="D36" i="28"/>
  <c r="M37" i="28"/>
  <c r="D37" i="28"/>
  <c r="M38" i="28"/>
  <c r="D38" i="28"/>
  <c r="M39" i="28"/>
  <c r="D39" i="28"/>
  <c r="M40" i="28"/>
  <c r="D40" i="28"/>
  <c r="M41" i="28"/>
  <c r="D41" i="28"/>
  <c r="M42" i="28"/>
  <c r="D42" i="28"/>
  <c r="M43" i="28"/>
  <c r="D43" i="28"/>
  <c r="M9" i="29"/>
  <c r="D9" i="29"/>
  <c r="M10" i="29"/>
  <c r="D10" i="29"/>
  <c r="M11" i="29"/>
  <c r="D11" i="29"/>
  <c r="M12" i="29"/>
  <c r="D12" i="29"/>
  <c r="M13" i="29"/>
  <c r="D13" i="29"/>
  <c r="M14" i="29"/>
  <c r="D14" i="29"/>
  <c r="M15" i="29"/>
  <c r="D15" i="29"/>
  <c r="M16" i="29"/>
  <c r="D16" i="29"/>
  <c r="M17" i="29"/>
  <c r="D17" i="29"/>
  <c r="M18" i="29"/>
  <c r="D18" i="29"/>
  <c r="M19" i="29"/>
  <c r="D19" i="29"/>
  <c r="M20" i="29"/>
  <c r="D20" i="29"/>
  <c r="M21" i="29"/>
  <c r="D21" i="29"/>
  <c r="M22" i="29"/>
  <c r="D22" i="29"/>
  <c r="M23" i="29"/>
  <c r="D23" i="29"/>
  <c r="M24" i="29"/>
  <c r="D24" i="29"/>
  <c r="M25" i="29"/>
  <c r="D25" i="29"/>
  <c r="M26" i="29"/>
  <c r="D26" i="29"/>
  <c r="M27" i="29"/>
  <c r="D27" i="29"/>
  <c r="M28" i="29"/>
  <c r="D28" i="29"/>
  <c r="M29" i="29"/>
  <c r="D29" i="29"/>
  <c r="M30" i="29"/>
  <c r="D30" i="29"/>
  <c r="M31" i="29"/>
  <c r="D31" i="29"/>
  <c r="M32" i="29"/>
  <c r="D32" i="29"/>
  <c r="M33" i="29"/>
  <c r="D33" i="29"/>
  <c r="M34" i="29"/>
  <c r="D34" i="29"/>
  <c r="M35" i="29"/>
  <c r="D35" i="29"/>
  <c r="M36" i="29"/>
  <c r="D36" i="29"/>
  <c r="M37" i="29"/>
  <c r="D37" i="29"/>
  <c r="M38" i="29"/>
  <c r="D38" i="29"/>
  <c r="M39" i="29"/>
  <c r="D39" i="29"/>
  <c r="M40" i="29"/>
  <c r="D40" i="29"/>
  <c r="M41" i="29"/>
  <c r="D41" i="29"/>
  <c r="M42" i="29"/>
  <c r="D42" i="29"/>
  <c r="M43" i="29"/>
  <c r="D43" i="29"/>
  <c r="M9" i="30"/>
  <c r="D9" i="30"/>
  <c r="M10" i="30"/>
  <c r="M11" i="30"/>
  <c r="D11" i="30" s="1"/>
  <c r="M12" i="30"/>
  <c r="D12" i="30" s="1"/>
  <c r="M13" i="30"/>
  <c r="M14" i="30"/>
  <c r="M15" i="30"/>
  <c r="M16" i="30"/>
  <c r="M17" i="30"/>
  <c r="M18" i="30"/>
  <c r="M19" i="30"/>
  <c r="D19" i="30"/>
  <c r="M20" i="30"/>
  <c r="M21" i="30"/>
  <c r="M22" i="30"/>
  <c r="D22" i="30"/>
  <c r="M23" i="30"/>
  <c r="D23" i="30"/>
  <c r="M25" i="30"/>
  <c r="D25" i="30" s="1"/>
  <c r="M26" i="30"/>
  <c r="D26" i="30" s="1"/>
  <c r="M27" i="30"/>
  <c r="D27" i="30"/>
  <c r="M28" i="30"/>
  <c r="D28" i="30"/>
  <c r="M29" i="30"/>
  <c r="D29" i="30" s="1"/>
  <c r="M30" i="30"/>
  <c r="D30" i="30" s="1"/>
  <c r="M31" i="30"/>
  <c r="D31" i="30" s="1"/>
  <c r="M32" i="30"/>
  <c r="D32" i="30"/>
  <c r="M33" i="30"/>
  <c r="D33" i="30"/>
  <c r="M34" i="30"/>
  <c r="M35" i="30"/>
  <c r="M36" i="30"/>
  <c r="D36" i="30"/>
  <c r="M37" i="30"/>
  <c r="D37" i="30" s="1"/>
  <c r="M38" i="30"/>
  <c r="M39" i="30"/>
  <c r="D39" i="30" s="1"/>
  <c r="M40" i="30"/>
  <c r="M41" i="30"/>
  <c r="M42" i="30"/>
  <c r="M43" i="30"/>
  <c r="M9" i="31"/>
  <c r="D9" i="31" s="1"/>
  <c r="M10" i="31"/>
  <c r="D10" i="31" s="1"/>
  <c r="M11" i="31"/>
  <c r="D11" i="31" s="1"/>
  <c r="M12" i="31"/>
  <c r="D12" i="31" s="1"/>
  <c r="M13" i="31"/>
  <c r="D13" i="31" s="1"/>
  <c r="M14" i="31"/>
  <c r="M15" i="31"/>
  <c r="D15" i="31"/>
  <c r="M16" i="31"/>
  <c r="D16" i="31"/>
  <c r="M17" i="31"/>
  <c r="M18" i="31"/>
  <c r="D18" i="31" s="1"/>
  <c r="M19" i="31"/>
  <c r="D19" i="31" s="1"/>
  <c r="M20" i="31"/>
  <c r="D20" i="31" s="1"/>
  <c r="M21" i="31"/>
  <c r="D21" i="31" s="1"/>
  <c r="M22" i="31"/>
  <c r="D22" i="31" s="1"/>
  <c r="M23" i="31"/>
  <c r="D23" i="31" s="1"/>
  <c r="M24" i="31"/>
  <c r="D24" i="31" s="1"/>
  <c r="M25" i="31"/>
  <c r="D25" i="31" s="1"/>
  <c r="M26" i="31"/>
  <c r="D26" i="31" s="1"/>
  <c r="M27" i="31"/>
  <c r="D27" i="31" s="1"/>
  <c r="M28" i="31"/>
  <c r="D28" i="31" s="1"/>
  <c r="M29" i="31"/>
  <c r="D29" i="31" s="1"/>
  <c r="M30" i="31"/>
  <c r="D30" i="31" s="1"/>
  <c r="M31" i="31"/>
  <c r="D31" i="31" s="1"/>
  <c r="M32" i="31"/>
  <c r="D32" i="31" s="1"/>
  <c r="M33" i="31"/>
  <c r="D33" i="31" s="1"/>
  <c r="M34" i="31"/>
  <c r="D34" i="31" s="1"/>
  <c r="M35" i="31"/>
  <c r="D35" i="31" s="1"/>
  <c r="M36" i="31"/>
  <c r="D36" i="31" s="1"/>
  <c r="M37" i="31"/>
  <c r="D37" i="31" s="1"/>
  <c r="M38" i="31"/>
  <c r="D38" i="31" s="1"/>
  <c r="M39" i="31"/>
  <c r="D39" i="31" s="1"/>
  <c r="M40" i="31"/>
  <c r="D40" i="31" s="1"/>
  <c r="M41" i="31"/>
  <c r="D41" i="31" s="1"/>
  <c r="M42" i="31"/>
  <c r="D42" i="31" s="1"/>
  <c r="M43" i="31"/>
  <c r="D43" i="31" s="1"/>
  <c r="M9" i="32"/>
  <c r="D9" i="32" s="1"/>
  <c r="M10" i="32"/>
  <c r="D10" i="32" s="1"/>
  <c r="M11" i="32"/>
  <c r="D11" i="32" s="1"/>
  <c r="M12" i="32"/>
  <c r="D12" i="32" s="1"/>
  <c r="M13" i="32"/>
  <c r="D13" i="32" s="1"/>
  <c r="M14" i="32"/>
  <c r="D14" i="32" s="1"/>
  <c r="M15" i="32"/>
  <c r="D15" i="32" s="1"/>
  <c r="M16" i="32"/>
  <c r="D16" i="32" s="1"/>
  <c r="M17" i="32"/>
  <c r="D17" i="32" s="1"/>
  <c r="M18" i="32"/>
  <c r="D18" i="32" s="1"/>
  <c r="M19" i="32"/>
  <c r="D19" i="32" s="1"/>
  <c r="M20" i="32"/>
  <c r="D20" i="32" s="1"/>
  <c r="M21" i="32"/>
  <c r="D21" i="32" s="1"/>
  <c r="M22" i="32"/>
  <c r="D22" i="32" s="1"/>
  <c r="M23" i="32"/>
  <c r="D23" i="32" s="1"/>
  <c r="M24" i="32"/>
  <c r="D24" i="32" s="1"/>
  <c r="M25" i="32"/>
  <c r="M26" i="32"/>
  <c r="D26" i="32"/>
  <c r="M27" i="32"/>
  <c r="D27" i="32"/>
  <c r="M28" i="32"/>
  <c r="D28" i="32"/>
  <c r="M29" i="32"/>
  <c r="D29" i="32"/>
  <c r="M30" i="32"/>
  <c r="D30" i="32"/>
  <c r="M31" i="32"/>
  <c r="D31" i="32"/>
  <c r="M32" i="32"/>
  <c r="D32" i="32"/>
  <c r="M33" i="32"/>
  <c r="D33" i="32"/>
  <c r="M34" i="32"/>
  <c r="D34" i="32"/>
  <c r="M35" i="32"/>
  <c r="D35" i="32"/>
  <c r="M36" i="32"/>
  <c r="D36" i="32"/>
  <c r="M37" i="32"/>
  <c r="D37" i="32"/>
  <c r="M38" i="32"/>
  <c r="D38" i="32"/>
  <c r="M39" i="32"/>
  <c r="D39" i="32"/>
  <c r="M40" i="32"/>
  <c r="D40" i="32"/>
  <c r="M41" i="32"/>
  <c r="D41" i="32"/>
  <c r="M42" i="32"/>
  <c r="D42" i="32"/>
  <c r="M43" i="32"/>
  <c r="D43" i="32"/>
  <c r="M9" i="33"/>
  <c r="D9" i="33"/>
  <c r="M10" i="33"/>
  <c r="D10" i="33"/>
  <c r="M11" i="33"/>
  <c r="D11" i="33"/>
  <c r="M12" i="33"/>
  <c r="D12" i="33"/>
  <c r="M13" i="33"/>
  <c r="D13" i="33"/>
  <c r="M14" i="33"/>
  <c r="D14" i="33"/>
  <c r="M15" i="33"/>
  <c r="D15" i="33"/>
  <c r="M16" i="33"/>
  <c r="D16" i="33" s="1"/>
  <c r="M17" i="33"/>
  <c r="D17" i="33"/>
  <c r="M18" i="33"/>
  <c r="D18" i="33"/>
  <c r="M19" i="33"/>
  <c r="D19" i="33"/>
  <c r="M20" i="33"/>
  <c r="D20" i="33"/>
  <c r="M21" i="33"/>
  <c r="D21" i="33"/>
  <c r="M22" i="33"/>
  <c r="D22" i="33"/>
  <c r="M23" i="33"/>
  <c r="D23" i="33"/>
  <c r="M24" i="33"/>
  <c r="D24" i="33"/>
  <c r="M25" i="33"/>
  <c r="D25" i="33"/>
  <c r="M26" i="33"/>
  <c r="D26" i="33"/>
  <c r="M27" i="33"/>
  <c r="D27" i="33"/>
  <c r="M28" i="33"/>
  <c r="D28" i="33"/>
  <c r="M29" i="33"/>
  <c r="D29" i="33"/>
  <c r="M30" i="33"/>
  <c r="D30" i="33"/>
  <c r="M31" i="33"/>
  <c r="D31" i="33"/>
  <c r="M32" i="33"/>
  <c r="D32" i="33"/>
  <c r="M33" i="33"/>
  <c r="D33" i="33"/>
  <c r="M34" i="33"/>
  <c r="D34" i="33"/>
  <c r="M35" i="33"/>
  <c r="D35" i="33"/>
  <c r="M36" i="33"/>
  <c r="D36" i="33"/>
  <c r="M37" i="33"/>
  <c r="D37" i="33"/>
  <c r="M38" i="33"/>
  <c r="D38" i="33"/>
  <c r="M39" i="33"/>
  <c r="D39" i="33"/>
  <c r="M40" i="33"/>
  <c r="D40" i="33"/>
  <c r="M41" i="33"/>
  <c r="D41" i="33"/>
  <c r="M42" i="33"/>
  <c r="D42" i="33"/>
  <c r="M43" i="33"/>
  <c r="D43" i="33" s="1"/>
  <c r="M9" i="34"/>
  <c r="D9" i="34" s="1"/>
  <c r="M10" i="34"/>
  <c r="D10" i="34" s="1"/>
  <c r="M11" i="34"/>
  <c r="D11" i="34" s="1"/>
  <c r="M12" i="34"/>
  <c r="D12" i="34" s="1"/>
  <c r="M13" i="34"/>
  <c r="D13" i="34" s="1"/>
  <c r="M14" i="34"/>
  <c r="D14" i="34" s="1"/>
  <c r="M15" i="34"/>
  <c r="D15" i="34" s="1"/>
  <c r="M16" i="34"/>
  <c r="D16" i="34" s="1"/>
  <c r="M17" i="34"/>
  <c r="D17" i="34" s="1"/>
  <c r="M18" i="34"/>
  <c r="D18" i="34" s="1"/>
  <c r="M19" i="34"/>
  <c r="D19" i="34" s="1"/>
  <c r="M20" i="34"/>
  <c r="D20" i="34" s="1"/>
  <c r="M21" i="34"/>
  <c r="D21" i="34" s="1"/>
  <c r="M22" i="34"/>
  <c r="D22" i="34" s="1"/>
  <c r="M23" i="34"/>
  <c r="D23" i="34" s="1"/>
  <c r="M24" i="34"/>
  <c r="D24" i="34" s="1"/>
  <c r="M25" i="34"/>
  <c r="D25" i="34" s="1"/>
  <c r="M26" i="34"/>
  <c r="D26" i="34" s="1"/>
  <c r="M27" i="34"/>
  <c r="D27" i="34" s="1"/>
  <c r="M28" i="34"/>
  <c r="D28" i="34" s="1"/>
  <c r="M29" i="34"/>
  <c r="D29" i="34" s="1"/>
  <c r="M30" i="34"/>
  <c r="D30" i="34" s="1"/>
  <c r="M31" i="34"/>
  <c r="D31" i="34" s="1"/>
  <c r="M32" i="34"/>
  <c r="D32" i="34" s="1"/>
  <c r="M33" i="34"/>
  <c r="D33" i="34" s="1"/>
  <c r="M34" i="34"/>
  <c r="D34" i="34" s="1"/>
  <c r="M35" i="34"/>
  <c r="D35" i="34" s="1"/>
  <c r="M36" i="34"/>
  <c r="D36" i="34" s="1"/>
  <c r="M37" i="34"/>
  <c r="D37" i="34" s="1"/>
  <c r="M38" i="34"/>
  <c r="D38" i="34" s="1"/>
  <c r="M39" i="34"/>
  <c r="D39" i="34" s="1"/>
  <c r="M40" i="34"/>
  <c r="D40" i="34" s="1"/>
  <c r="M41" i="34"/>
  <c r="D41" i="34" s="1"/>
  <c r="M42" i="34"/>
  <c r="D42" i="34" s="1"/>
  <c r="M43" i="34"/>
  <c r="D43" i="34" s="1"/>
  <c r="M9" i="35"/>
  <c r="D9" i="35" s="1"/>
  <c r="M10" i="35"/>
  <c r="D10" i="35" s="1"/>
  <c r="M11" i="35"/>
  <c r="D11" i="35" s="1"/>
  <c r="M12" i="35"/>
  <c r="D12" i="35" s="1"/>
  <c r="M13" i="35"/>
  <c r="D13" i="35" s="1"/>
  <c r="M14" i="35"/>
  <c r="D14" i="35" s="1"/>
  <c r="M15" i="35"/>
  <c r="D15" i="35" s="1"/>
  <c r="M16" i="35"/>
  <c r="D16" i="35" s="1"/>
  <c r="M17" i="35"/>
  <c r="D17" i="35" s="1"/>
  <c r="M18" i="35"/>
  <c r="D18" i="35" s="1"/>
  <c r="M19" i="35"/>
  <c r="D19" i="35" s="1"/>
  <c r="M20" i="35"/>
  <c r="D20" i="35" s="1"/>
  <c r="M21" i="35"/>
  <c r="D21" i="35" s="1"/>
  <c r="M22" i="35"/>
  <c r="D22" i="35" s="1"/>
  <c r="M23" i="35"/>
  <c r="D23" i="35" s="1"/>
  <c r="M24" i="35"/>
  <c r="D24" i="35" s="1"/>
  <c r="M25" i="35"/>
  <c r="D25" i="35" s="1"/>
  <c r="M26" i="35"/>
  <c r="D26" i="35" s="1"/>
  <c r="M27" i="35"/>
  <c r="D27" i="35" s="1"/>
  <c r="M28" i="35"/>
  <c r="D28" i="35" s="1"/>
  <c r="M29" i="35"/>
  <c r="D29" i="35" s="1"/>
  <c r="M30" i="35"/>
  <c r="D30" i="35" s="1"/>
  <c r="M31" i="35"/>
  <c r="D31" i="35" s="1"/>
  <c r="M32" i="35"/>
  <c r="D32" i="35" s="1"/>
  <c r="M33" i="35"/>
  <c r="D33" i="35" s="1"/>
  <c r="M34" i="35"/>
  <c r="D34" i="35"/>
  <c r="M35" i="35"/>
  <c r="D35" i="35"/>
  <c r="M36" i="35"/>
  <c r="D36" i="35"/>
  <c r="M37" i="35"/>
  <c r="D37" i="35"/>
  <c r="M38" i="35"/>
  <c r="D38" i="35"/>
  <c r="M39" i="35"/>
  <c r="D39" i="35"/>
  <c r="M40" i="35"/>
  <c r="D40" i="35"/>
  <c r="M41" i="35"/>
  <c r="D41" i="35"/>
  <c r="M42" i="35"/>
  <c r="D42" i="35"/>
  <c r="M43" i="35"/>
  <c r="D43" i="35"/>
  <c r="M9" i="36"/>
  <c r="D9" i="36" s="1"/>
  <c r="M10" i="36"/>
  <c r="D10" i="36"/>
  <c r="M11" i="36"/>
  <c r="D11" i="36"/>
  <c r="M12" i="36"/>
  <c r="D12" i="36"/>
  <c r="M13" i="36"/>
  <c r="D13" i="36"/>
  <c r="M14" i="36"/>
  <c r="M15" i="36"/>
  <c r="D15" i="36" s="1"/>
  <c r="M16" i="36"/>
  <c r="D16" i="36" s="1"/>
  <c r="M17" i="36"/>
  <c r="D17" i="36" s="1"/>
  <c r="M18" i="36"/>
  <c r="D18" i="36" s="1"/>
  <c r="M19" i="36"/>
  <c r="D19" i="36" s="1"/>
  <c r="M20" i="36"/>
  <c r="D20" i="36" s="1"/>
  <c r="M21" i="36"/>
  <c r="D21" i="36" s="1"/>
  <c r="M22" i="36"/>
  <c r="D22" i="36" s="1"/>
  <c r="M23" i="36"/>
  <c r="D23" i="36" s="1"/>
  <c r="M24" i="36"/>
  <c r="M25" i="36"/>
  <c r="D25" i="36" s="1"/>
  <c r="M26" i="36"/>
  <c r="D26" i="36"/>
  <c r="M27" i="36"/>
  <c r="D27" i="36"/>
  <c r="M28" i="36"/>
  <c r="D28" i="36"/>
  <c r="M29" i="36"/>
  <c r="D29" i="36"/>
  <c r="M30" i="36"/>
  <c r="M31" i="36"/>
  <c r="D31" i="36" s="1"/>
  <c r="M32" i="36"/>
  <c r="D32" i="36" s="1"/>
  <c r="M33" i="36"/>
  <c r="M34" i="36"/>
  <c r="D34" i="36"/>
  <c r="M35" i="36"/>
  <c r="D35" i="36" s="1"/>
  <c r="M36" i="36"/>
  <c r="D36" i="36"/>
  <c r="M37" i="36"/>
  <c r="D37" i="36"/>
  <c r="M38" i="36"/>
  <c r="D38" i="36"/>
  <c r="M39" i="36"/>
  <c r="D39" i="36" s="1"/>
  <c r="D39" i="7" s="1"/>
  <c r="M40" i="36"/>
  <c r="D40" i="36"/>
  <c r="M41" i="36"/>
  <c r="M42" i="36"/>
  <c r="D42" i="36" s="1"/>
  <c r="M43" i="36"/>
  <c r="D43" i="36" s="1"/>
  <c r="M9" i="37"/>
  <c r="D9" i="37" s="1"/>
  <c r="M10" i="37"/>
  <c r="D10" i="37" s="1"/>
  <c r="M11" i="37"/>
  <c r="D11" i="37" s="1"/>
  <c r="M12" i="37"/>
  <c r="D12" i="37" s="1"/>
  <c r="M13" i="37"/>
  <c r="M14" i="37"/>
  <c r="D14" i="37"/>
  <c r="M15" i="37"/>
  <c r="D15" i="37"/>
  <c r="M16" i="37"/>
  <c r="D16" i="37"/>
  <c r="M17" i="37"/>
  <c r="D17" i="37"/>
  <c r="M18" i="37"/>
  <c r="D18" i="37"/>
  <c r="M19" i="37"/>
  <c r="D19" i="37"/>
  <c r="M20" i="37"/>
  <c r="D20" i="37"/>
  <c r="M21" i="37"/>
  <c r="D21" i="37"/>
  <c r="M22" i="37"/>
  <c r="D22" i="37"/>
  <c r="M23" i="37"/>
  <c r="D23" i="37"/>
  <c r="M24" i="37"/>
  <c r="D24" i="37"/>
  <c r="M25" i="37"/>
  <c r="D25" i="37"/>
  <c r="M26" i="37"/>
  <c r="D26" i="37"/>
  <c r="M27" i="37"/>
  <c r="D27" i="37"/>
  <c r="M28" i="37"/>
  <c r="D28" i="37"/>
  <c r="M29" i="37"/>
  <c r="D29" i="37"/>
  <c r="M30" i="37"/>
  <c r="D30" i="37"/>
  <c r="M31" i="37"/>
  <c r="D31" i="37"/>
  <c r="M32" i="37"/>
  <c r="D32" i="37"/>
  <c r="M33" i="37"/>
  <c r="D33" i="37"/>
  <c r="M34" i="37"/>
  <c r="D34" i="37"/>
  <c r="M35" i="37"/>
  <c r="M36" i="37"/>
  <c r="D36" i="37" s="1"/>
  <c r="M37" i="37"/>
  <c r="D37" i="37" s="1"/>
  <c r="M38" i="37"/>
  <c r="D38" i="37" s="1"/>
  <c r="M39" i="37"/>
  <c r="D39" i="37" s="1"/>
  <c r="M40" i="37"/>
  <c r="D40" i="37" s="1"/>
  <c r="M41" i="37"/>
  <c r="D41" i="37" s="1"/>
  <c r="M42" i="37"/>
  <c r="D42" i="37" s="1"/>
  <c r="M43" i="37"/>
  <c r="D43" i="37" s="1"/>
  <c r="M9" i="38"/>
  <c r="D9" i="38" s="1"/>
  <c r="M10" i="38"/>
  <c r="D10" i="38" s="1"/>
  <c r="M11" i="38"/>
  <c r="D11" i="38" s="1"/>
  <c r="M12" i="38"/>
  <c r="D12" i="38" s="1"/>
  <c r="M13" i="38"/>
  <c r="D13" i="38" s="1"/>
  <c r="M14" i="38"/>
  <c r="D14" i="38" s="1"/>
  <c r="M15" i="38"/>
  <c r="D15" i="38" s="1"/>
  <c r="M16" i="38"/>
  <c r="M17" i="38"/>
  <c r="D17" i="38"/>
  <c r="M18" i="38"/>
  <c r="D18" i="38"/>
  <c r="M19" i="38"/>
  <c r="D19" i="38"/>
  <c r="M20" i="38"/>
  <c r="D20" i="38"/>
  <c r="M21" i="38"/>
  <c r="D21" i="38" s="1"/>
  <c r="M22" i="38"/>
  <c r="D22" i="38" s="1"/>
  <c r="M23" i="38"/>
  <c r="D23" i="38" s="1"/>
  <c r="M24" i="38"/>
  <c r="D24" i="38" s="1"/>
  <c r="M25" i="38"/>
  <c r="D25" i="38" s="1"/>
  <c r="M26" i="38"/>
  <c r="D26" i="38" s="1"/>
  <c r="M27" i="38"/>
  <c r="D27" i="38" s="1"/>
  <c r="M28" i="38"/>
  <c r="D28" i="38" s="1"/>
  <c r="M29" i="38"/>
  <c r="D29" i="38" s="1"/>
  <c r="M30" i="38"/>
  <c r="D30" i="38" s="1"/>
  <c r="M31" i="38"/>
  <c r="D31" i="38" s="1"/>
  <c r="M32" i="38"/>
  <c r="D32" i="38" s="1"/>
  <c r="M33" i="38"/>
  <c r="D33" i="38" s="1"/>
  <c r="M34" i="38"/>
  <c r="D34" i="38" s="1"/>
  <c r="M35" i="38"/>
  <c r="D35" i="38" s="1"/>
  <c r="M36" i="38"/>
  <c r="D36" i="38" s="1"/>
  <c r="M37" i="38"/>
  <c r="D37" i="38" s="1"/>
  <c r="M38" i="38"/>
  <c r="D38" i="38" s="1"/>
  <c r="M39" i="38"/>
  <c r="D39" i="38" s="1"/>
  <c r="M40" i="38"/>
  <c r="D40" i="38" s="1"/>
  <c r="M41" i="38"/>
  <c r="D41" i="38" s="1"/>
  <c r="M42" i="38"/>
  <c r="D42" i="38" s="1"/>
  <c r="M43" i="38"/>
  <c r="D43" i="38" s="1"/>
  <c r="M9" i="39"/>
  <c r="D9" i="39" s="1"/>
  <c r="M10" i="39"/>
  <c r="D10" i="39" s="1"/>
  <c r="M11" i="39"/>
  <c r="D11" i="39" s="1"/>
  <c r="M12" i="39"/>
  <c r="D12" i="39" s="1"/>
  <c r="M13" i="39"/>
  <c r="D13" i="39" s="1"/>
  <c r="M14" i="39"/>
  <c r="D14" i="39" s="1"/>
  <c r="M15" i="39"/>
  <c r="D15" i="39" s="1"/>
  <c r="M16" i="39"/>
  <c r="D16" i="39" s="1"/>
  <c r="M17" i="39"/>
  <c r="D17" i="39" s="1"/>
  <c r="M18" i="39"/>
  <c r="D18" i="39" s="1"/>
  <c r="M19" i="39"/>
  <c r="D19" i="39" s="1"/>
  <c r="M20" i="39"/>
  <c r="D20" i="39" s="1"/>
  <c r="M21" i="39"/>
  <c r="D21" i="39" s="1"/>
  <c r="M22" i="39"/>
  <c r="D22" i="39" s="1"/>
  <c r="M23" i="39"/>
  <c r="D23" i="39" s="1"/>
  <c r="M24" i="39"/>
  <c r="D24" i="39" s="1"/>
  <c r="M25" i="39"/>
  <c r="D25" i="39" s="1"/>
  <c r="M26" i="39"/>
  <c r="M27" i="39"/>
  <c r="D27" i="39"/>
  <c r="M28" i="39"/>
  <c r="D28" i="39"/>
  <c r="M29" i="39"/>
  <c r="D29" i="39"/>
  <c r="M30" i="39"/>
  <c r="D30" i="39"/>
  <c r="M31" i="39"/>
  <c r="D31" i="39"/>
  <c r="M32" i="39"/>
  <c r="D32" i="39"/>
  <c r="M33" i="39"/>
  <c r="D33" i="39"/>
  <c r="M34" i="39"/>
  <c r="D34" i="39"/>
  <c r="M35" i="39"/>
  <c r="D35" i="39"/>
  <c r="M36" i="39"/>
  <c r="D36" i="39"/>
  <c r="M37" i="39"/>
  <c r="D37" i="39"/>
  <c r="M38" i="39"/>
  <c r="D38" i="39"/>
  <c r="M39" i="39"/>
  <c r="D39" i="39"/>
  <c r="M40" i="39"/>
  <c r="D40" i="39"/>
  <c r="M41" i="39"/>
  <c r="D41" i="39"/>
  <c r="M42" i="39"/>
  <c r="D42" i="39"/>
  <c r="M43" i="39"/>
  <c r="D43" i="39"/>
  <c r="M9" i="40"/>
  <c r="D9" i="40"/>
  <c r="M10" i="40"/>
  <c r="D10" i="40"/>
  <c r="M11" i="40"/>
  <c r="D11" i="40"/>
  <c r="M12" i="40"/>
  <c r="D12" i="40"/>
  <c r="M13" i="40"/>
  <c r="D13" i="40"/>
  <c r="M14" i="40"/>
  <c r="D14" i="40"/>
  <c r="M15" i="40"/>
  <c r="D15" i="40"/>
  <c r="M16" i="40"/>
  <c r="D16" i="40"/>
  <c r="M17" i="40"/>
  <c r="D17" i="40"/>
  <c r="M18" i="40"/>
  <c r="D18" i="40"/>
  <c r="M19" i="40"/>
  <c r="D19" i="40"/>
  <c r="M20" i="40"/>
  <c r="D20" i="40"/>
  <c r="M21" i="40"/>
  <c r="D21" i="40"/>
  <c r="M22" i="40"/>
  <c r="D22" i="40"/>
  <c r="M23" i="40"/>
  <c r="D23" i="40"/>
  <c r="M24" i="40"/>
  <c r="D24" i="40"/>
  <c r="M25" i="40"/>
  <c r="D25" i="40"/>
  <c r="M26" i="40"/>
  <c r="D26" i="40"/>
  <c r="M27" i="40"/>
  <c r="D27" i="40"/>
  <c r="M28" i="40"/>
  <c r="D28" i="40"/>
  <c r="M29" i="40"/>
  <c r="D29" i="40"/>
  <c r="M30" i="40"/>
  <c r="D30" i="40"/>
  <c r="M31" i="40"/>
  <c r="D31" i="40"/>
  <c r="M32" i="40"/>
  <c r="D32" i="40"/>
  <c r="M33" i="40"/>
  <c r="D33" i="40"/>
  <c r="M34" i="40"/>
  <c r="D34" i="40"/>
  <c r="M35" i="40"/>
  <c r="D35" i="40"/>
  <c r="M36" i="40"/>
  <c r="D36" i="40"/>
  <c r="M37" i="40"/>
  <c r="D37" i="40"/>
  <c r="M38" i="40"/>
  <c r="D38" i="40"/>
  <c r="M39" i="40"/>
  <c r="D39" i="40"/>
  <c r="M40" i="40"/>
  <c r="D40" i="40"/>
  <c r="M41" i="40"/>
  <c r="D41" i="40"/>
  <c r="M42" i="40"/>
  <c r="D42" i="40"/>
  <c r="M43" i="40"/>
  <c r="D43" i="40"/>
  <c r="M9" i="41"/>
  <c r="D9" i="41"/>
  <c r="M10" i="41"/>
  <c r="D10" i="41"/>
  <c r="M11" i="41"/>
  <c r="D11" i="41"/>
  <c r="M12" i="41"/>
  <c r="D12" i="41"/>
  <c r="M13" i="41"/>
  <c r="D13" i="41"/>
  <c r="M14" i="41"/>
  <c r="D14" i="41"/>
  <c r="M15" i="41"/>
  <c r="D15" i="41"/>
  <c r="M16" i="41"/>
  <c r="D16" i="41"/>
  <c r="M17" i="41"/>
  <c r="D17" i="41"/>
  <c r="M18" i="41"/>
  <c r="D18" i="41"/>
  <c r="M19" i="41"/>
  <c r="D19" i="41"/>
  <c r="M20" i="41"/>
  <c r="D20" i="41"/>
  <c r="M21" i="41"/>
  <c r="D21" i="41"/>
  <c r="M22" i="41"/>
  <c r="D22" i="41"/>
  <c r="M23" i="41"/>
  <c r="D23" i="41"/>
  <c r="M24" i="41"/>
  <c r="D24" i="41"/>
  <c r="M25" i="41"/>
  <c r="D25" i="41"/>
  <c r="M26" i="41"/>
  <c r="D26" i="41"/>
  <c r="M27" i="41"/>
  <c r="D27" i="41"/>
  <c r="M28" i="41"/>
  <c r="D28" i="41"/>
  <c r="M29" i="41"/>
  <c r="D29" i="41"/>
  <c r="M30" i="41"/>
  <c r="D30" i="41"/>
  <c r="M31" i="41"/>
  <c r="D31" i="41"/>
  <c r="M32" i="41"/>
  <c r="D32" i="41"/>
  <c r="M33" i="41"/>
  <c r="D33" i="41"/>
  <c r="M34" i="41"/>
  <c r="D34" i="41"/>
  <c r="M35" i="41"/>
  <c r="D35" i="41"/>
  <c r="M36" i="41"/>
  <c r="D36" i="41"/>
  <c r="M37" i="41"/>
  <c r="D37" i="41"/>
  <c r="M38" i="41"/>
  <c r="D38" i="41"/>
  <c r="M39" i="41"/>
  <c r="D39" i="41"/>
  <c r="M40" i="41"/>
  <c r="D40" i="41"/>
  <c r="M41" i="41"/>
  <c r="D41" i="41"/>
  <c r="M42" i="41"/>
  <c r="D42" i="41"/>
  <c r="M43" i="41"/>
  <c r="D43" i="41"/>
  <c r="M9" i="8"/>
  <c r="D9" i="8"/>
  <c r="M10" i="8"/>
  <c r="D10" i="8"/>
  <c r="M11" i="8"/>
  <c r="D11" i="8"/>
  <c r="M12" i="8"/>
  <c r="D12" i="8"/>
  <c r="M13" i="8"/>
  <c r="D13" i="8"/>
  <c r="M14" i="8"/>
  <c r="D14" i="8"/>
  <c r="M15" i="8"/>
  <c r="D15" i="8"/>
  <c r="M16" i="8"/>
  <c r="D16" i="8"/>
  <c r="M17" i="8"/>
  <c r="D17" i="8"/>
  <c r="M18" i="8"/>
  <c r="D18" i="8"/>
  <c r="D18" i="7" s="1"/>
  <c r="M19" i="8"/>
  <c r="D19" i="8"/>
  <c r="M20" i="8"/>
  <c r="D20" i="8"/>
  <c r="M21" i="8"/>
  <c r="D21" i="8"/>
  <c r="M22" i="8"/>
  <c r="D22" i="8"/>
  <c r="M23" i="8"/>
  <c r="D23" i="8"/>
  <c r="M24" i="8"/>
  <c r="D24" i="8"/>
  <c r="M25" i="8"/>
  <c r="D25" i="8"/>
  <c r="M26" i="8"/>
  <c r="D26" i="8"/>
  <c r="M27" i="8"/>
  <c r="D27" i="8"/>
  <c r="M28" i="8"/>
  <c r="D28" i="8"/>
  <c r="D28" i="7" s="1"/>
  <c r="M29" i="8"/>
  <c r="D29" i="8"/>
  <c r="M30" i="8"/>
  <c r="D30" i="8"/>
  <c r="M31" i="8"/>
  <c r="D31" i="8"/>
  <c r="D31" i="7" s="1"/>
  <c r="M32" i="8"/>
  <c r="D32" i="8"/>
  <c r="M33" i="8"/>
  <c r="D33" i="8"/>
  <c r="M34" i="8"/>
  <c r="D34" i="8"/>
  <c r="M35" i="8"/>
  <c r="D35" i="8"/>
  <c r="M36" i="8"/>
  <c r="D36" i="8"/>
  <c r="D36" i="7" s="1"/>
  <c r="M37" i="8"/>
  <c r="D37" i="8"/>
  <c r="M38" i="8"/>
  <c r="D38" i="8"/>
  <c r="M39" i="8"/>
  <c r="D39" i="8"/>
  <c r="M40" i="8"/>
  <c r="D40" i="8"/>
  <c r="M41" i="8"/>
  <c r="D41" i="8"/>
  <c r="M42" i="8"/>
  <c r="D42" i="8"/>
  <c r="M43" i="8"/>
  <c r="D43" i="8"/>
  <c r="Q6" i="6"/>
  <c r="Q7" i="6"/>
  <c r="Q8" i="6"/>
  <c r="Q6" i="9"/>
  <c r="Q7" i="9"/>
  <c r="Q8" i="9"/>
  <c r="Q6" i="10"/>
  <c r="Q7" i="10"/>
  <c r="Q8" i="10"/>
  <c r="Q6" i="11"/>
  <c r="Q7" i="11"/>
  <c r="Q8" i="11"/>
  <c r="Q6" i="12"/>
  <c r="Q7" i="12"/>
  <c r="Q8" i="12"/>
  <c r="Q6" i="13"/>
  <c r="Q7" i="13"/>
  <c r="Q8" i="13"/>
  <c r="Q6" i="14"/>
  <c r="Q7" i="14"/>
  <c r="Q8" i="14"/>
  <c r="Q6" i="15"/>
  <c r="Q7" i="15"/>
  <c r="Q8" i="15"/>
  <c r="Q6" i="16"/>
  <c r="Q7" i="16"/>
  <c r="Q8" i="16"/>
  <c r="Q6" i="17"/>
  <c r="Q7" i="17"/>
  <c r="Q8" i="17"/>
  <c r="Q6" i="18"/>
  <c r="Q7" i="18"/>
  <c r="Q8" i="18"/>
  <c r="Q6" i="19"/>
  <c r="Q7" i="19"/>
  <c r="Q8" i="19"/>
  <c r="Q6" i="20"/>
  <c r="Q7" i="20"/>
  <c r="Q8" i="20"/>
  <c r="Q6" i="21"/>
  <c r="Q7" i="21"/>
  <c r="Q8" i="21"/>
  <c r="Q6" i="22"/>
  <c r="Q7" i="22"/>
  <c r="Q8" i="22"/>
  <c r="Q6" i="23"/>
  <c r="Q7" i="23"/>
  <c r="Q8" i="23"/>
  <c r="Q6" i="24"/>
  <c r="Q7" i="24"/>
  <c r="Q8" i="24"/>
  <c r="Q6" i="25"/>
  <c r="Q7" i="25"/>
  <c r="Q8" i="25"/>
  <c r="Q6" i="26"/>
  <c r="Q7" i="26"/>
  <c r="Q8" i="26"/>
  <c r="Q6" i="27"/>
  <c r="Q7" i="27"/>
  <c r="Q8" i="27"/>
  <c r="K8" i="7" s="1"/>
  <c r="Q6" i="28"/>
  <c r="Q7" i="28"/>
  <c r="Q8" i="28"/>
  <c r="Q6" i="29"/>
  <c r="Q7" i="29"/>
  <c r="Q8" i="29"/>
  <c r="Q6" i="30"/>
  <c r="Q7" i="30"/>
  <c r="Q8" i="30"/>
  <c r="Q6" i="31"/>
  <c r="Q7" i="31"/>
  <c r="Q8" i="31"/>
  <c r="Q6" i="32"/>
  <c r="Q7" i="32"/>
  <c r="Q8" i="32"/>
  <c r="Q6" i="33"/>
  <c r="Q7" i="33"/>
  <c r="Q8" i="33"/>
  <c r="Q6" i="34"/>
  <c r="Q7" i="34"/>
  <c r="Q8" i="34"/>
  <c r="Q6" i="35"/>
  <c r="Q7" i="35"/>
  <c r="Q8" i="35"/>
  <c r="Q6" i="36"/>
  <c r="Q7" i="36"/>
  <c r="Q8" i="36"/>
  <c r="Q6" i="37"/>
  <c r="Q7" i="37"/>
  <c r="Q8" i="37"/>
  <c r="Q6" i="38"/>
  <c r="Q7" i="38"/>
  <c r="Q8" i="38"/>
  <c r="Q6" i="39"/>
  <c r="Q7" i="39"/>
  <c r="Q8" i="39"/>
  <c r="Q6" i="40"/>
  <c r="Q7" i="40"/>
  <c r="Q8" i="40"/>
  <c r="Q6" i="41"/>
  <c r="Q7" i="41"/>
  <c r="Q8" i="41"/>
  <c r="Q6" i="8"/>
  <c r="Q7" i="8"/>
  <c r="Q8" i="8"/>
  <c r="M6" i="6"/>
  <c r="M7" i="6"/>
  <c r="D7" i="6"/>
  <c r="M8" i="6"/>
  <c r="D8" i="6"/>
  <c r="M6" i="9"/>
  <c r="M7" i="9"/>
  <c r="D7" i="9" s="1"/>
  <c r="M8" i="9"/>
  <c r="M6" i="10"/>
  <c r="D6" i="10"/>
  <c r="M7" i="10"/>
  <c r="D7" i="10"/>
  <c r="M8" i="10"/>
  <c r="D8" i="10"/>
  <c r="M6" i="11"/>
  <c r="D6" i="11"/>
  <c r="M7" i="11"/>
  <c r="D7" i="11"/>
  <c r="M8" i="11"/>
  <c r="M6" i="12"/>
  <c r="D6" i="12" s="1"/>
  <c r="M7" i="12"/>
  <c r="D7" i="12" s="1"/>
  <c r="M8" i="12"/>
  <c r="D8" i="12" s="1"/>
  <c r="M6" i="13"/>
  <c r="D6" i="13" s="1"/>
  <c r="M7" i="13"/>
  <c r="D7" i="13" s="1"/>
  <c r="M8" i="13"/>
  <c r="D8" i="13" s="1"/>
  <c r="M6" i="14"/>
  <c r="D6" i="14" s="1"/>
  <c r="M7" i="14"/>
  <c r="D7" i="14" s="1"/>
  <c r="M8" i="14"/>
  <c r="D8" i="14" s="1"/>
  <c r="M6" i="15"/>
  <c r="D6" i="15" s="1"/>
  <c r="M7" i="15"/>
  <c r="D7" i="15" s="1"/>
  <c r="M8" i="15"/>
  <c r="M6" i="16"/>
  <c r="D6" i="16"/>
  <c r="M7" i="16"/>
  <c r="D7" i="16"/>
  <c r="M8" i="16"/>
  <c r="D8" i="16"/>
  <c r="M6" i="17"/>
  <c r="D6" i="17" s="1"/>
  <c r="M7" i="17"/>
  <c r="D7" i="17" s="1"/>
  <c r="D7" i="7" s="1"/>
  <c r="M8" i="17"/>
  <c r="D8" i="17"/>
  <c r="M6" i="18"/>
  <c r="D6" i="18"/>
  <c r="M7" i="18"/>
  <c r="D7" i="18"/>
  <c r="M8" i="18"/>
  <c r="D8" i="18"/>
  <c r="M6" i="19"/>
  <c r="D6" i="19"/>
  <c r="M7" i="19"/>
  <c r="D7" i="19"/>
  <c r="M8" i="19"/>
  <c r="M6" i="20"/>
  <c r="D6" i="20" s="1"/>
  <c r="M7" i="20"/>
  <c r="D7" i="20" s="1"/>
  <c r="M8" i="20"/>
  <c r="D8" i="20" s="1"/>
  <c r="M6" i="21"/>
  <c r="D6" i="21" s="1"/>
  <c r="M7" i="21"/>
  <c r="D7" i="21" s="1"/>
  <c r="M8" i="21"/>
  <c r="M6" i="22"/>
  <c r="D6" i="22"/>
  <c r="M7" i="22"/>
  <c r="D7" i="22"/>
  <c r="M8" i="22"/>
  <c r="D8" i="22"/>
  <c r="M6" i="23"/>
  <c r="D6" i="23"/>
  <c r="M7" i="23"/>
  <c r="D7" i="23"/>
  <c r="M8" i="23"/>
  <c r="M6" i="24"/>
  <c r="D6" i="24" s="1"/>
  <c r="M7" i="24"/>
  <c r="D7" i="24" s="1"/>
  <c r="M8" i="24"/>
  <c r="D8" i="24" s="1"/>
  <c r="M6" i="25"/>
  <c r="D6" i="25" s="1"/>
  <c r="M7" i="25"/>
  <c r="D7" i="25" s="1"/>
  <c r="M8" i="25"/>
  <c r="M6" i="26"/>
  <c r="D6" i="26"/>
  <c r="M7" i="26"/>
  <c r="D7" i="26"/>
  <c r="M8" i="26"/>
  <c r="D8" i="26"/>
  <c r="M6" i="27"/>
  <c r="D6" i="27"/>
  <c r="M7" i="27"/>
  <c r="D7" i="27"/>
  <c r="M8" i="27"/>
  <c r="D8" i="27"/>
  <c r="M6" i="28"/>
  <c r="D6" i="28"/>
  <c r="M7" i="28"/>
  <c r="D7" i="28"/>
  <c r="M8" i="28"/>
  <c r="M6" i="29"/>
  <c r="D6" i="29" s="1"/>
  <c r="M7" i="29"/>
  <c r="D7" i="29" s="1"/>
  <c r="D8" i="29"/>
  <c r="M6" i="30"/>
  <c r="M7" i="30"/>
  <c r="M8" i="30"/>
  <c r="M6" i="31"/>
  <c r="D6" i="31" s="1"/>
  <c r="M7" i="31"/>
  <c r="D7" i="31" s="1"/>
  <c r="M8" i="31"/>
  <c r="D8" i="31" s="1"/>
  <c r="M6" i="32"/>
  <c r="D6" i="32" s="1"/>
  <c r="M7" i="32"/>
  <c r="D7" i="32" s="1"/>
  <c r="M8" i="32"/>
  <c r="D8" i="32" s="1"/>
  <c r="M6" i="33"/>
  <c r="D6" i="33" s="1"/>
  <c r="M7" i="33"/>
  <c r="D7" i="33" s="1"/>
  <c r="M8" i="33"/>
  <c r="D8" i="33" s="1"/>
  <c r="M6" i="34"/>
  <c r="D6" i="34" s="1"/>
  <c r="M7" i="34"/>
  <c r="D7" i="34" s="1"/>
  <c r="M8" i="34"/>
  <c r="D8" i="34" s="1"/>
  <c r="M6" i="35"/>
  <c r="D6" i="35" s="1"/>
  <c r="M7" i="35"/>
  <c r="D7" i="35" s="1"/>
  <c r="M8" i="35"/>
  <c r="D8" i="35" s="1"/>
  <c r="M6" i="36"/>
  <c r="D6" i="36" s="1"/>
  <c r="M7" i="36"/>
  <c r="M8" i="36"/>
  <c r="D8" i="36"/>
  <c r="M6" i="37"/>
  <c r="D6" i="37"/>
  <c r="M7" i="37"/>
  <c r="D7" i="37"/>
  <c r="M8" i="37"/>
  <c r="M6" i="38"/>
  <c r="D6" i="38" s="1"/>
  <c r="M7" i="38"/>
  <c r="D7" i="38" s="1"/>
  <c r="M8" i="38"/>
  <c r="D8" i="38" s="1"/>
  <c r="M6" i="39"/>
  <c r="D6" i="39" s="1"/>
  <c r="M7" i="39"/>
  <c r="D7" i="39" s="1"/>
  <c r="M8" i="39"/>
  <c r="D8" i="39" s="1"/>
  <c r="M6" i="40"/>
  <c r="D6" i="40" s="1"/>
  <c r="M7" i="40"/>
  <c r="D7" i="40" s="1"/>
  <c r="M8" i="40"/>
  <c r="D8" i="40" s="1"/>
  <c r="M6" i="41"/>
  <c r="D6" i="41" s="1"/>
  <c r="M7" i="41"/>
  <c r="D7" i="41" s="1"/>
  <c r="M8" i="41"/>
  <c r="D8" i="41" s="1"/>
  <c r="M6" i="8"/>
  <c r="D6" i="8" s="1"/>
  <c r="M7" i="8"/>
  <c r="D7" i="8" s="1"/>
  <c r="M8" i="8"/>
  <c r="D8" i="8" s="1"/>
  <c r="Q5" i="6"/>
  <c r="Q5" i="9"/>
  <c r="Q5" i="10"/>
  <c r="Q5" i="11"/>
  <c r="Q5" i="12"/>
  <c r="Q5" i="13"/>
  <c r="Q5" i="14"/>
  <c r="Q5" i="15"/>
  <c r="Q5" i="16"/>
  <c r="Q5" i="17"/>
  <c r="Q5" i="18"/>
  <c r="Q5" i="19"/>
  <c r="Q5" i="20"/>
  <c r="Q5" i="21"/>
  <c r="Q5" i="22"/>
  <c r="Q5" i="23"/>
  <c r="Q5" i="24"/>
  <c r="Q5" i="25"/>
  <c r="Q5" i="26"/>
  <c r="Q5" i="27"/>
  <c r="Q5" i="28"/>
  <c r="Q5" i="29"/>
  <c r="Q5" i="30"/>
  <c r="Q5" i="31"/>
  <c r="Q5" i="32"/>
  <c r="Q5" i="33"/>
  <c r="Q5" i="34"/>
  <c r="Q5" i="35"/>
  <c r="Q5" i="36"/>
  <c r="Q5" i="37"/>
  <c r="Q5" i="38"/>
  <c r="Q5" i="39"/>
  <c r="Q5" i="40"/>
  <c r="Q5" i="41"/>
  <c r="Q5" i="8"/>
  <c r="M5" i="6"/>
  <c r="M5" i="9"/>
  <c r="D5" i="9"/>
  <c r="M5" i="10"/>
  <c r="D5" i="10"/>
  <c r="M5" i="11"/>
  <c r="D5" i="11"/>
  <c r="M5" i="12"/>
  <c r="D5" i="12"/>
  <c r="M5" i="13"/>
  <c r="D5" i="13"/>
  <c r="M5" i="14"/>
  <c r="D5" i="14"/>
  <c r="M5" i="15"/>
  <c r="D5" i="15"/>
  <c r="M5" i="16"/>
  <c r="M5" i="17"/>
  <c r="D5" i="17" s="1"/>
  <c r="M5" i="18"/>
  <c r="D5" i="18" s="1"/>
  <c r="M5" i="19"/>
  <c r="D5" i="19" s="1"/>
  <c r="M5" i="20"/>
  <c r="M44" i="20" s="1"/>
  <c r="M5" i="21"/>
  <c r="D5" i="21" s="1"/>
  <c r="M5" i="22"/>
  <c r="D5" i="22" s="1"/>
  <c r="M5" i="23"/>
  <c r="D5" i="23" s="1"/>
  <c r="M5" i="24"/>
  <c r="D5" i="24" s="1"/>
  <c r="M5" i="25"/>
  <c r="D5" i="25" s="1"/>
  <c r="M5" i="26"/>
  <c r="D5" i="26" s="1"/>
  <c r="M5" i="27"/>
  <c r="D5" i="27" s="1"/>
  <c r="M5" i="28"/>
  <c r="D5" i="28" s="1"/>
  <c r="M5" i="29"/>
  <c r="D5" i="29" s="1"/>
  <c r="M5" i="30"/>
  <c r="M5" i="31"/>
  <c r="D5" i="31"/>
  <c r="M5" i="32"/>
  <c r="D5" i="32"/>
  <c r="M5" i="33"/>
  <c r="D5" i="33"/>
  <c r="M5" i="34"/>
  <c r="D5" i="34"/>
  <c r="M5" i="35"/>
  <c r="D5" i="35"/>
  <c r="M5" i="36"/>
  <c r="M44" i="36" s="1"/>
  <c r="M56" i="36" s="1"/>
  <c r="M5" i="37"/>
  <c r="D5" i="37" s="1"/>
  <c r="M5" i="38"/>
  <c r="D5" i="38" s="1"/>
  <c r="M5" i="39"/>
  <c r="D5" i="39" s="1"/>
  <c r="M5" i="40"/>
  <c r="D5" i="40" s="1"/>
  <c r="M5" i="41"/>
  <c r="D5" i="41" s="1"/>
  <c r="M5" i="8"/>
  <c r="D5" i="8" s="1"/>
  <c r="J52" i="7"/>
  <c r="D24" i="30"/>
  <c r="D18" i="30"/>
  <c r="D17" i="30"/>
  <c r="D14" i="30"/>
  <c r="D7" i="30"/>
  <c r="D41" i="36"/>
  <c r="D33" i="36"/>
  <c r="D30" i="36"/>
  <c r="D24" i="36"/>
  <c r="D14" i="36"/>
  <c r="K49" i="7"/>
  <c r="J19" i="7"/>
  <c r="D40" i="9"/>
  <c r="D23" i="9"/>
  <c r="D17" i="9"/>
  <c r="D14" i="9"/>
  <c r="D12" i="9"/>
  <c r="D9" i="9"/>
  <c r="K16" i="7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3" i="1"/>
  <c r="C3" i="1"/>
  <c r="D4" i="1"/>
  <c r="C4" i="1"/>
  <c r="C2" i="7"/>
  <c r="C1" i="7"/>
  <c r="C46" i="7"/>
  <c r="E46" i="7"/>
  <c r="F46" i="7"/>
  <c r="G46" i="7"/>
  <c r="H46" i="7"/>
  <c r="I46" i="7"/>
  <c r="J46" i="7"/>
  <c r="K46" i="7"/>
  <c r="L46" i="7"/>
  <c r="C47" i="7"/>
  <c r="E47" i="7"/>
  <c r="F47" i="7"/>
  <c r="G47" i="7"/>
  <c r="H47" i="7"/>
  <c r="I47" i="7"/>
  <c r="J47" i="7"/>
  <c r="K47" i="7"/>
  <c r="L47" i="7"/>
  <c r="C48" i="7"/>
  <c r="E48" i="7"/>
  <c r="F48" i="7"/>
  <c r="G48" i="7"/>
  <c r="H48" i="7"/>
  <c r="I48" i="7"/>
  <c r="J48" i="7"/>
  <c r="K48" i="7"/>
  <c r="L48" i="7"/>
  <c r="C49" i="7"/>
  <c r="E49" i="7"/>
  <c r="F49" i="7"/>
  <c r="G49" i="7"/>
  <c r="H49" i="7"/>
  <c r="I49" i="7"/>
  <c r="J49" i="7"/>
  <c r="L49" i="7"/>
  <c r="C50" i="7"/>
  <c r="E50" i="7"/>
  <c r="F50" i="7"/>
  <c r="G50" i="7"/>
  <c r="H50" i="7"/>
  <c r="I50" i="7"/>
  <c r="J50" i="7"/>
  <c r="K50" i="7"/>
  <c r="L50" i="7"/>
  <c r="C51" i="7"/>
  <c r="E51" i="7"/>
  <c r="F51" i="7"/>
  <c r="G51" i="7"/>
  <c r="H51" i="7"/>
  <c r="I51" i="7"/>
  <c r="J51" i="7"/>
  <c r="K51" i="7"/>
  <c r="L51" i="7"/>
  <c r="C52" i="7"/>
  <c r="E52" i="7"/>
  <c r="F52" i="7"/>
  <c r="G52" i="7"/>
  <c r="H52" i="7"/>
  <c r="I52" i="7"/>
  <c r="K52" i="7"/>
  <c r="L52" i="7"/>
  <c r="C53" i="7"/>
  <c r="E53" i="7"/>
  <c r="F53" i="7"/>
  <c r="G53" i="7"/>
  <c r="H53" i="7"/>
  <c r="I53" i="7"/>
  <c r="J53" i="7"/>
  <c r="K53" i="7"/>
  <c r="L53" i="7"/>
  <c r="C54" i="7"/>
  <c r="E54" i="7"/>
  <c r="F54" i="7"/>
  <c r="G54" i="7"/>
  <c r="H54" i="7"/>
  <c r="I54" i="7"/>
  <c r="J54" i="7"/>
  <c r="K54" i="7"/>
  <c r="L54" i="7"/>
  <c r="C55" i="7"/>
  <c r="E55" i="7"/>
  <c r="F55" i="7"/>
  <c r="G55" i="7"/>
  <c r="H55" i="7"/>
  <c r="I55" i="7"/>
  <c r="J55" i="7"/>
  <c r="K55" i="7"/>
  <c r="L55" i="7"/>
  <c r="L45" i="7"/>
  <c r="K45" i="7"/>
  <c r="J45" i="7"/>
  <c r="I45" i="7"/>
  <c r="H45" i="7"/>
  <c r="G45" i="7"/>
  <c r="F45" i="7"/>
  <c r="E45" i="7"/>
  <c r="C45" i="7"/>
  <c r="C7" i="7"/>
  <c r="E7" i="7"/>
  <c r="F7" i="7"/>
  <c r="G7" i="7"/>
  <c r="H7" i="7"/>
  <c r="I7" i="7"/>
  <c r="L7" i="7"/>
  <c r="C8" i="7"/>
  <c r="E8" i="7"/>
  <c r="F8" i="7"/>
  <c r="G8" i="7"/>
  <c r="J8" i="7"/>
  <c r="L8" i="7"/>
  <c r="C9" i="7"/>
  <c r="E9" i="7"/>
  <c r="F9" i="7"/>
  <c r="G9" i="7"/>
  <c r="H9" i="7"/>
  <c r="I9" i="7"/>
  <c r="J9" i="7"/>
  <c r="K9" i="7"/>
  <c r="L9" i="7"/>
  <c r="C10" i="7"/>
  <c r="E10" i="7"/>
  <c r="F10" i="7"/>
  <c r="G10" i="7"/>
  <c r="H10" i="7"/>
  <c r="I10" i="7"/>
  <c r="J10" i="7"/>
  <c r="K10" i="7"/>
  <c r="L10" i="7"/>
  <c r="C11" i="7"/>
  <c r="E11" i="7"/>
  <c r="F11" i="7"/>
  <c r="G11" i="7"/>
  <c r="H11" i="7"/>
  <c r="I11" i="7"/>
  <c r="J11" i="7"/>
  <c r="K11" i="7"/>
  <c r="L11" i="7"/>
  <c r="C12" i="7"/>
  <c r="E12" i="7"/>
  <c r="F12" i="7"/>
  <c r="G12" i="7"/>
  <c r="H12" i="7"/>
  <c r="I12" i="7"/>
  <c r="J12" i="7"/>
  <c r="K12" i="7"/>
  <c r="L12" i="7"/>
  <c r="C13" i="7"/>
  <c r="E13" i="7"/>
  <c r="F13" i="7"/>
  <c r="G13" i="7"/>
  <c r="H13" i="7"/>
  <c r="I13" i="7"/>
  <c r="J13" i="7"/>
  <c r="K13" i="7"/>
  <c r="L13" i="7"/>
  <c r="C14" i="7"/>
  <c r="E14" i="7"/>
  <c r="F14" i="7"/>
  <c r="G14" i="7"/>
  <c r="H14" i="7"/>
  <c r="I14" i="7"/>
  <c r="J14" i="7"/>
  <c r="K14" i="7"/>
  <c r="L14" i="7"/>
  <c r="C15" i="7"/>
  <c r="E15" i="7"/>
  <c r="F15" i="7"/>
  <c r="G15" i="7"/>
  <c r="H15" i="7"/>
  <c r="I15" i="7"/>
  <c r="J15" i="7"/>
  <c r="K15" i="7"/>
  <c r="L15" i="7"/>
  <c r="C16" i="7"/>
  <c r="E16" i="7"/>
  <c r="F16" i="7"/>
  <c r="G16" i="7"/>
  <c r="H16" i="7"/>
  <c r="I16" i="7"/>
  <c r="J16" i="7"/>
  <c r="L16" i="7"/>
  <c r="C17" i="7"/>
  <c r="E17" i="7"/>
  <c r="F17" i="7"/>
  <c r="G17" i="7"/>
  <c r="H17" i="7"/>
  <c r="I17" i="7"/>
  <c r="J17" i="7"/>
  <c r="K17" i="7"/>
  <c r="L17" i="7"/>
  <c r="C18" i="7"/>
  <c r="E18" i="7"/>
  <c r="F18" i="7"/>
  <c r="G18" i="7"/>
  <c r="H18" i="7"/>
  <c r="I18" i="7"/>
  <c r="J18" i="7"/>
  <c r="K18" i="7"/>
  <c r="L18" i="7"/>
  <c r="C19" i="7"/>
  <c r="E19" i="7"/>
  <c r="F19" i="7"/>
  <c r="G19" i="7"/>
  <c r="H19" i="7"/>
  <c r="I19" i="7"/>
  <c r="K19" i="7"/>
  <c r="L19" i="7"/>
  <c r="C20" i="7"/>
  <c r="E20" i="7"/>
  <c r="F20" i="7"/>
  <c r="G20" i="7"/>
  <c r="H20" i="7"/>
  <c r="I20" i="7"/>
  <c r="J20" i="7"/>
  <c r="K20" i="7"/>
  <c r="L20" i="7"/>
  <c r="C21" i="7"/>
  <c r="E21" i="7"/>
  <c r="F21" i="7"/>
  <c r="G21" i="7"/>
  <c r="H21" i="7"/>
  <c r="I21" i="7"/>
  <c r="J21" i="7"/>
  <c r="K21" i="7"/>
  <c r="L21" i="7"/>
  <c r="E22" i="7"/>
  <c r="F22" i="7"/>
  <c r="G22" i="7"/>
  <c r="H22" i="7"/>
  <c r="I22" i="7"/>
  <c r="J22" i="7"/>
  <c r="K22" i="7"/>
  <c r="L22" i="7"/>
  <c r="E23" i="7"/>
  <c r="F23" i="7"/>
  <c r="G23" i="7"/>
  <c r="H23" i="7"/>
  <c r="I23" i="7"/>
  <c r="J23" i="7"/>
  <c r="K23" i="7"/>
  <c r="L23" i="7"/>
  <c r="E24" i="7"/>
  <c r="F24" i="7"/>
  <c r="G24" i="7"/>
  <c r="H24" i="7"/>
  <c r="I24" i="7"/>
  <c r="J24" i="7"/>
  <c r="K24" i="7"/>
  <c r="L24" i="7"/>
  <c r="E25" i="7"/>
  <c r="F25" i="7"/>
  <c r="G25" i="7"/>
  <c r="H25" i="7"/>
  <c r="I25" i="7"/>
  <c r="J25" i="7"/>
  <c r="K25" i="7"/>
  <c r="L25" i="7"/>
  <c r="E26" i="7"/>
  <c r="F26" i="7"/>
  <c r="G26" i="7"/>
  <c r="H26" i="7"/>
  <c r="I26" i="7"/>
  <c r="J26" i="7"/>
  <c r="K26" i="7"/>
  <c r="L26" i="7"/>
  <c r="E27" i="7"/>
  <c r="F27" i="7"/>
  <c r="G27" i="7"/>
  <c r="H27" i="7"/>
  <c r="I27" i="7"/>
  <c r="J27" i="7"/>
  <c r="K27" i="7"/>
  <c r="L27" i="7"/>
  <c r="E28" i="7"/>
  <c r="F28" i="7"/>
  <c r="G28" i="7"/>
  <c r="H28" i="7"/>
  <c r="I28" i="7"/>
  <c r="J28" i="7"/>
  <c r="K28" i="7"/>
  <c r="L28" i="7"/>
  <c r="E29" i="7"/>
  <c r="F29" i="7"/>
  <c r="G29" i="7"/>
  <c r="H29" i="7"/>
  <c r="I29" i="7"/>
  <c r="J29" i="7"/>
  <c r="K29" i="7"/>
  <c r="L29" i="7"/>
  <c r="E30" i="7"/>
  <c r="F30" i="7"/>
  <c r="G30" i="7"/>
  <c r="H30" i="7"/>
  <c r="I30" i="7"/>
  <c r="K30" i="7"/>
  <c r="L30" i="7"/>
  <c r="E31" i="7"/>
  <c r="F31" i="7"/>
  <c r="G31" i="7"/>
  <c r="H31" i="7"/>
  <c r="I31" i="7"/>
  <c r="J31" i="7"/>
  <c r="K31" i="7"/>
  <c r="L31" i="7"/>
  <c r="E32" i="7"/>
  <c r="F32" i="7"/>
  <c r="G32" i="7"/>
  <c r="H32" i="7"/>
  <c r="I32" i="7"/>
  <c r="J32" i="7"/>
  <c r="K32" i="7"/>
  <c r="L32" i="7"/>
  <c r="C33" i="7"/>
  <c r="E33" i="7"/>
  <c r="F33" i="7"/>
  <c r="G33" i="7"/>
  <c r="H33" i="7"/>
  <c r="I33" i="7"/>
  <c r="J33" i="7"/>
  <c r="K33" i="7"/>
  <c r="L33" i="7"/>
  <c r="C34" i="7"/>
  <c r="E34" i="7"/>
  <c r="F34" i="7"/>
  <c r="G34" i="7"/>
  <c r="H34" i="7"/>
  <c r="I34" i="7"/>
  <c r="J34" i="7"/>
  <c r="K34" i="7"/>
  <c r="L34" i="7"/>
  <c r="C35" i="7"/>
  <c r="E35" i="7"/>
  <c r="F35" i="7"/>
  <c r="G35" i="7"/>
  <c r="H35" i="7"/>
  <c r="I35" i="7"/>
  <c r="J35" i="7"/>
  <c r="K35" i="7"/>
  <c r="L35" i="7"/>
  <c r="C36" i="7"/>
  <c r="E36" i="7"/>
  <c r="F36" i="7"/>
  <c r="G36" i="7"/>
  <c r="H36" i="7"/>
  <c r="I36" i="7"/>
  <c r="J36" i="7"/>
  <c r="K36" i="7"/>
  <c r="L36" i="7"/>
  <c r="C37" i="7"/>
  <c r="E37" i="7"/>
  <c r="F37" i="7"/>
  <c r="G37" i="7"/>
  <c r="H37" i="7"/>
  <c r="I37" i="7"/>
  <c r="J37" i="7"/>
  <c r="K37" i="7"/>
  <c r="L37" i="7"/>
  <c r="C38" i="7"/>
  <c r="E38" i="7"/>
  <c r="F38" i="7"/>
  <c r="G38" i="7"/>
  <c r="H38" i="7"/>
  <c r="I38" i="7"/>
  <c r="J38" i="7"/>
  <c r="K38" i="7"/>
  <c r="L38" i="7"/>
  <c r="C39" i="7"/>
  <c r="E39" i="7"/>
  <c r="F39" i="7"/>
  <c r="G39" i="7"/>
  <c r="H39" i="7"/>
  <c r="I39" i="7"/>
  <c r="J39" i="7"/>
  <c r="K39" i="7"/>
  <c r="L39" i="7"/>
  <c r="C40" i="7"/>
  <c r="E40" i="7"/>
  <c r="F40" i="7"/>
  <c r="G40" i="7"/>
  <c r="H40" i="7"/>
  <c r="I40" i="7"/>
  <c r="J40" i="7"/>
  <c r="K40" i="7"/>
  <c r="L40" i="7"/>
  <c r="C41" i="7"/>
  <c r="E41" i="7"/>
  <c r="F41" i="7"/>
  <c r="G41" i="7"/>
  <c r="H41" i="7"/>
  <c r="I41" i="7"/>
  <c r="J41" i="7"/>
  <c r="K41" i="7"/>
  <c r="L41" i="7"/>
  <c r="C42" i="7"/>
  <c r="E42" i="7"/>
  <c r="F42" i="7"/>
  <c r="G42" i="7"/>
  <c r="H42" i="7"/>
  <c r="I42" i="7"/>
  <c r="J42" i="7"/>
  <c r="K42" i="7"/>
  <c r="L42" i="7"/>
  <c r="C43" i="7"/>
  <c r="E43" i="7"/>
  <c r="F43" i="7"/>
  <c r="G43" i="7"/>
  <c r="H43" i="7"/>
  <c r="I43" i="7"/>
  <c r="J43" i="7"/>
  <c r="K43" i="7"/>
  <c r="L43" i="7"/>
  <c r="C5" i="7"/>
  <c r="E5" i="7"/>
  <c r="F5" i="7"/>
  <c r="G5" i="7"/>
  <c r="H5" i="7"/>
  <c r="I5" i="7"/>
  <c r="K5" i="7"/>
  <c r="L5" i="7"/>
  <c r="E6" i="7"/>
  <c r="F6" i="7"/>
  <c r="G6" i="7"/>
  <c r="H6" i="7"/>
  <c r="I6" i="7"/>
  <c r="J6" i="7"/>
  <c r="K6" i="7"/>
  <c r="L6" i="7"/>
  <c r="C6" i="7"/>
  <c r="R44" i="41"/>
  <c r="R56" i="41"/>
  <c r="Q44" i="41"/>
  <c r="Q56" i="41"/>
  <c r="M44" i="41"/>
  <c r="M56" i="41"/>
  <c r="I44" i="41"/>
  <c r="I56" i="41" s="1"/>
  <c r="H44" i="41"/>
  <c r="H56" i="41" s="1"/>
  <c r="G44" i="41"/>
  <c r="G56" i="41" s="1"/>
  <c r="F44" i="41"/>
  <c r="F56" i="41" s="1"/>
  <c r="E44" i="41"/>
  <c r="E56" i="41" s="1"/>
  <c r="C44" i="41"/>
  <c r="C56" i="41" s="1"/>
  <c r="E37" i="1" s="1"/>
  <c r="R44" i="40"/>
  <c r="R56" i="40"/>
  <c r="Q44" i="40"/>
  <c r="Q56" i="40"/>
  <c r="M44" i="40"/>
  <c r="I44" i="40"/>
  <c r="I56" i="40" s="1"/>
  <c r="H44" i="40"/>
  <c r="H56" i="40" s="1"/>
  <c r="G44" i="40"/>
  <c r="G56" i="40" s="1"/>
  <c r="F44" i="40"/>
  <c r="F56" i="40" s="1"/>
  <c r="E44" i="40"/>
  <c r="E56" i="40" s="1"/>
  <c r="C44" i="40"/>
  <c r="C56" i="40" s="1"/>
  <c r="E36" i="1" s="1"/>
  <c r="R44" i="39"/>
  <c r="R56" i="39"/>
  <c r="Q44" i="39"/>
  <c r="Q56" i="39"/>
  <c r="M44" i="39"/>
  <c r="M56" i="39" s="1"/>
  <c r="I44" i="39"/>
  <c r="I56" i="39" s="1"/>
  <c r="H44" i="39"/>
  <c r="H56" i="39" s="1"/>
  <c r="C67" i="39" s="1"/>
  <c r="G44" i="39"/>
  <c r="G56" i="39" s="1"/>
  <c r="F44" i="39"/>
  <c r="E44" i="39"/>
  <c r="E56" i="39" s="1"/>
  <c r="C44" i="39"/>
  <c r="C56" i="39" s="1"/>
  <c r="E35" i="1" s="1"/>
  <c r="R44" i="38"/>
  <c r="R56" i="38"/>
  <c r="Q44" i="38"/>
  <c r="Q56" i="38"/>
  <c r="I44" i="38"/>
  <c r="I56" i="38"/>
  <c r="H44" i="38"/>
  <c r="H56" i="38"/>
  <c r="G44" i="38"/>
  <c r="G56" i="38"/>
  <c r="F44" i="38"/>
  <c r="F56" i="38"/>
  <c r="E44" i="38"/>
  <c r="E56" i="38"/>
  <c r="C44" i="38"/>
  <c r="C56" i="38"/>
  <c r="E34" i="1" s="1"/>
  <c r="R44" i="37"/>
  <c r="R56" i="37" s="1"/>
  <c r="C73" i="37" s="1"/>
  <c r="Q44" i="37"/>
  <c r="Q56" i="37" s="1"/>
  <c r="M44" i="37"/>
  <c r="I44" i="37"/>
  <c r="I56" i="37"/>
  <c r="H44" i="37"/>
  <c r="H56" i="37" s="1"/>
  <c r="C67" i="37"/>
  <c r="G44" i="37"/>
  <c r="G56" i="37" s="1"/>
  <c r="C64" i="37" s="1"/>
  <c r="F44" i="37"/>
  <c r="F56" i="37" s="1"/>
  <c r="C63" i="37"/>
  <c r="E44" i="37"/>
  <c r="E56" i="37"/>
  <c r="C44" i="37"/>
  <c r="C56" i="37"/>
  <c r="E33" i="1" s="1"/>
  <c r="R44" i="36"/>
  <c r="R56" i="36" s="1"/>
  <c r="N32" i="1" s="1"/>
  <c r="Q44" i="36"/>
  <c r="Q56" i="36" s="1"/>
  <c r="I44" i="36"/>
  <c r="H44" i="36"/>
  <c r="H56" i="36" s="1"/>
  <c r="C67" i="36" s="1"/>
  <c r="G44" i="36"/>
  <c r="G56" i="36" s="1"/>
  <c r="F44" i="36"/>
  <c r="F56" i="36" s="1"/>
  <c r="C63" i="36" s="1"/>
  <c r="E44" i="36"/>
  <c r="E56" i="36" s="1"/>
  <c r="C62" i="36" s="1"/>
  <c r="C44" i="36"/>
  <c r="C56" i="36" s="1"/>
  <c r="E32" i="1" s="1"/>
  <c r="R44" i="35"/>
  <c r="R56" i="35"/>
  <c r="Q44" i="35"/>
  <c r="Q56" i="35"/>
  <c r="M44" i="35"/>
  <c r="M56" i="35"/>
  <c r="I44" i="35"/>
  <c r="I56" i="35"/>
  <c r="H44" i="35"/>
  <c r="H56" i="35"/>
  <c r="G44" i="35"/>
  <c r="G56" i="35"/>
  <c r="F44" i="35"/>
  <c r="F56" i="35"/>
  <c r="E44" i="35"/>
  <c r="E56" i="35"/>
  <c r="C44" i="35"/>
  <c r="C56" i="35"/>
  <c r="E31" i="1" s="1"/>
  <c r="R44" i="34"/>
  <c r="R56" i="34" s="1"/>
  <c r="Q44" i="34"/>
  <c r="Q56" i="34" s="1"/>
  <c r="I44" i="34"/>
  <c r="I56" i="34" s="1"/>
  <c r="C68" i="34" s="1"/>
  <c r="H44" i="34"/>
  <c r="H56" i="34" s="1"/>
  <c r="G44" i="34"/>
  <c r="G56" i="34" s="1"/>
  <c r="F44" i="34"/>
  <c r="F56" i="34" s="1"/>
  <c r="E44" i="34"/>
  <c r="E56" i="34" s="1"/>
  <c r="C44" i="34"/>
  <c r="C56" i="34" s="1"/>
  <c r="E30" i="1"/>
  <c r="R44" i="33"/>
  <c r="R56" i="33" s="1"/>
  <c r="Q44" i="33"/>
  <c r="Q56" i="33" s="1"/>
  <c r="M44" i="33"/>
  <c r="I44" i="33"/>
  <c r="I56" i="33" s="1"/>
  <c r="H44" i="33"/>
  <c r="H56" i="33" s="1"/>
  <c r="G44" i="33"/>
  <c r="G56" i="33" s="1"/>
  <c r="F44" i="33"/>
  <c r="F56" i="33" s="1"/>
  <c r="H29" i="1" s="1"/>
  <c r="E44" i="33"/>
  <c r="C44" i="33"/>
  <c r="C56" i="33"/>
  <c r="E29" i="1" s="1"/>
  <c r="R44" i="32"/>
  <c r="R56" i="32" s="1"/>
  <c r="Q44" i="32"/>
  <c r="Q56" i="32" s="1"/>
  <c r="M44" i="32"/>
  <c r="I44" i="32"/>
  <c r="I56" i="32"/>
  <c r="C68" i="32" s="1"/>
  <c r="H44" i="32"/>
  <c r="H56" i="32" s="1"/>
  <c r="G44" i="32"/>
  <c r="G56" i="32" s="1"/>
  <c r="F44" i="32"/>
  <c r="E44" i="32"/>
  <c r="E56" i="32" s="1"/>
  <c r="C44" i="32"/>
  <c r="C56" i="32" s="1"/>
  <c r="E28" i="1" s="1"/>
  <c r="R44" i="31"/>
  <c r="R56" i="31"/>
  <c r="Q44" i="31"/>
  <c r="Q56" i="31"/>
  <c r="M44" i="31"/>
  <c r="I44" i="31"/>
  <c r="I56" i="31" s="1"/>
  <c r="H44" i="31"/>
  <c r="H56" i="31" s="1"/>
  <c r="G44" i="31"/>
  <c r="G56" i="31" s="1"/>
  <c r="F44" i="31"/>
  <c r="F56" i="31" s="1"/>
  <c r="H27" i="1" s="1"/>
  <c r="E44" i="31"/>
  <c r="E56" i="31" s="1"/>
  <c r="C44" i="31"/>
  <c r="C56" i="31" s="1"/>
  <c r="E27" i="1"/>
  <c r="R44" i="30"/>
  <c r="R56" i="30"/>
  <c r="N26" i="1" s="1"/>
  <c r="Q44" i="30"/>
  <c r="Q56" i="30" s="1"/>
  <c r="M44" i="30"/>
  <c r="M56" i="30" s="1"/>
  <c r="I44" i="30"/>
  <c r="I56" i="30" s="1"/>
  <c r="C68" i="30" s="1"/>
  <c r="H44" i="30"/>
  <c r="H56" i="30" s="1"/>
  <c r="C67" i="30" s="1"/>
  <c r="G44" i="30"/>
  <c r="G56" i="30" s="1"/>
  <c r="C64" i="30" s="1"/>
  <c r="F44" i="30"/>
  <c r="F56" i="30" s="1"/>
  <c r="C63" i="30" s="1"/>
  <c r="E44" i="30"/>
  <c r="C44" i="30"/>
  <c r="C56" i="30" s="1"/>
  <c r="E26" i="1" s="1"/>
  <c r="R44" i="29"/>
  <c r="R56" i="29"/>
  <c r="Q44" i="29"/>
  <c r="Q56" i="29" s="1"/>
  <c r="M44" i="29"/>
  <c r="M56" i="29" s="1"/>
  <c r="L25" i="1" s="1"/>
  <c r="I44" i="29"/>
  <c r="I56" i="29" s="1"/>
  <c r="H44" i="29"/>
  <c r="H56" i="29" s="1"/>
  <c r="C67" i="29" s="1"/>
  <c r="G44" i="29"/>
  <c r="G56" i="29" s="1"/>
  <c r="I25" i="1" s="1"/>
  <c r="F44" i="29"/>
  <c r="F56" i="29" s="1"/>
  <c r="H25" i="1" s="1"/>
  <c r="E44" i="29"/>
  <c r="E56" i="29" s="1"/>
  <c r="C44" i="29"/>
  <c r="C56" i="29" s="1"/>
  <c r="E25" i="1"/>
  <c r="R44" i="28"/>
  <c r="R56" i="28"/>
  <c r="N24" i="1" s="1"/>
  <c r="Q44" i="28"/>
  <c r="Q56" i="28" s="1"/>
  <c r="M24" i="1"/>
  <c r="I44" i="28"/>
  <c r="I56" i="28"/>
  <c r="H44" i="28"/>
  <c r="H56" i="28"/>
  <c r="G44" i="28"/>
  <c r="G56" i="28" s="1"/>
  <c r="I24" i="1" s="1"/>
  <c r="C64" i="28"/>
  <c r="F44" i="28"/>
  <c r="F56" i="28"/>
  <c r="H24" i="1" s="1"/>
  <c r="E44" i="28"/>
  <c r="C44" i="28"/>
  <c r="C56" i="28"/>
  <c r="E24" i="1" s="1"/>
  <c r="R44" i="27"/>
  <c r="R56" i="27" s="1"/>
  <c r="N23" i="1" s="1"/>
  <c r="Q44" i="27"/>
  <c r="Q56" i="27" s="1"/>
  <c r="M23" i="1" s="1"/>
  <c r="M44" i="27"/>
  <c r="M56" i="27" s="1"/>
  <c r="I44" i="27"/>
  <c r="I56" i="27" s="1"/>
  <c r="K23" i="1" s="1"/>
  <c r="H44" i="27"/>
  <c r="H56" i="27" s="1"/>
  <c r="G44" i="27"/>
  <c r="G56" i="27" s="1"/>
  <c r="F44" i="27"/>
  <c r="F56" i="27" s="1"/>
  <c r="E44" i="27"/>
  <c r="C44" i="27"/>
  <c r="C56" i="27" s="1"/>
  <c r="E23" i="1"/>
  <c r="R44" i="26"/>
  <c r="R56" i="26"/>
  <c r="Q44" i="26"/>
  <c r="M44" i="26"/>
  <c r="M56" i="26"/>
  <c r="C71" i="26" s="1"/>
  <c r="I44" i="26"/>
  <c r="I56" i="26" s="1"/>
  <c r="C68" i="26" s="1"/>
  <c r="H44" i="26"/>
  <c r="H56" i="26" s="1"/>
  <c r="C67" i="26" s="1"/>
  <c r="G44" i="26"/>
  <c r="G56" i="26" s="1"/>
  <c r="C64" i="26" s="1"/>
  <c r="F44" i="26"/>
  <c r="F56" i="26" s="1"/>
  <c r="C63" i="26" s="1"/>
  <c r="E44" i="26"/>
  <c r="E56" i="26" s="1"/>
  <c r="C44" i="26"/>
  <c r="C56" i="26" s="1"/>
  <c r="E22" i="1"/>
  <c r="R44" i="25"/>
  <c r="R56" i="25"/>
  <c r="Q44" i="25"/>
  <c r="Q56" i="25" s="1"/>
  <c r="C72" i="25"/>
  <c r="M44" i="25"/>
  <c r="I44" i="25"/>
  <c r="I56" i="25" s="1"/>
  <c r="H44" i="25"/>
  <c r="H56" i="25" s="1"/>
  <c r="G44" i="25"/>
  <c r="G56" i="25" s="1"/>
  <c r="F44" i="25"/>
  <c r="F56" i="25" s="1"/>
  <c r="E44" i="25"/>
  <c r="E56" i="25" s="1"/>
  <c r="C62" i="25" s="1"/>
  <c r="C44" i="25"/>
  <c r="C56" i="25" s="1"/>
  <c r="E21" i="1"/>
  <c r="R44" i="24"/>
  <c r="R56" i="24"/>
  <c r="Q44" i="24"/>
  <c r="Q56" i="24" s="1"/>
  <c r="M44" i="24"/>
  <c r="M56" i="24" s="1"/>
  <c r="I44" i="24"/>
  <c r="I56" i="24"/>
  <c r="K20" i="1" s="1"/>
  <c r="H44" i="24"/>
  <c r="H56" i="24"/>
  <c r="G44" i="24"/>
  <c r="G56" i="24" s="1"/>
  <c r="F44" i="24"/>
  <c r="F56" i="24" s="1"/>
  <c r="E44" i="24"/>
  <c r="E56" i="24"/>
  <c r="C44" i="24"/>
  <c r="C56" i="24" s="1"/>
  <c r="E20" i="1" s="1"/>
  <c r="R44" i="23"/>
  <c r="R56" i="23"/>
  <c r="Q44" i="23"/>
  <c r="Q56" i="23"/>
  <c r="M19" i="1" s="1"/>
  <c r="M44" i="23"/>
  <c r="I44" i="23"/>
  <c r="I56" i="23" s="1"/>
  <c r="K19" i="1" s="1"/>
  <c r="H44" i="23"/>
  <c r="H56" i="23" s="1"/>
  <c r="G44" i="23"/>
  <c r="G56" i="23"/>
  <c r="F44" i="23"/>
  <c r="E44" i="23"/>
  <c r="E56" i="23"/>
  <c r="C62" i="23" s="1"/>
  <c r="C44" i="23"/>
  <c r="C56" i="23"/>
  <c r="E19" i="1" s="1"/>
  <c r="R44" i="22"/>
  <c r="R56" i="22" s="1"/>
  <c r="N18" i="1" s="1"/>
  <c r="Q44" i="22"/>
  <c r="Q56" i="22" s="1"/>
  <c r="M44" i="22"/>
  <c r="M56" i="22" s="1"/>
  <c r="L18" i="1"/>
  <c r="I44" i="22"/>
  <c r="I56" i="22"/>
  <c r="K18" i="1" s="1"/>
  <c r="H44" i="22"/>
  <c r="H56" i="22"/>
  <c r="G44" i="22"/>
  <c r="G56" i="22"/>
  <c r="I18" i="1" s="1"/>
  <c r="F44" i="22"/>
  <c r="F56" i="22" s="1"/>
  <c r="C63" i="22" s="1"/>
  <c r="E44" i="22"/>
  <c r="E56" i="22"/>
  <c r="C44" i="22"/>
  <c r="C56" i="22"/>
  <c r="E18" i="1" s="1"/>
  <c r="R44" i="21"/>
  <c r="R56" i="21" s="1"/>
  <c r="C73" i="21" s="1"/>
  <c r="Q44" i="21"/>
  <c r="Q56" i="21" s="1"/>
  <c r="M44" i="21"/>
  <c r="M56" i="21" s="1"/>
  <c r="I44" i="21"/>
  <c r="I56" i="21" s="1"/>
  <c r="C68" i="21" s="1"/>
  <c r="H44" i="21"/>
  <c r="H56" i="21" s="1"/>
  <c r="G44" i="21"/>
  <c r="G56" i="21" s="1"/>
  <c r="F44" i="21"/>
  <c r="F56" i="21" s="1"/>
  <c r="E44" i="21"/>
  <c r="E56" i="21" s="1"/>
  <c r="C44" i="21"/>
  <c r="C56" i="21" s="1"/>
  <c r="E17" i="1"/>
  <c r="R44" i="20"/>
  <c r="R56" i="20"/>
  <c r="N16" i="1" s="1"/>
  <c r="Q44" i="20"/>
  <c r="Q56" i="20" s="1"/>
  <c r="I44" i="20"/>
  <c r="I56" i="20" s="1"/>
  <c r="H44" i="20"/>
  <c r="H56" i="20" s="1"/>
  <c r="G44" i="20"/>
  <c r="G56" i="20" s="1"/>
  <c r="C64" i="20" s="1"/>
  <c r="F44" i="20"/>
  <c r="F56" i="20" s="1"/>
  <c r="H16" i="1" s="1"/>
  <c r="E44" i="20"/>
  <c r="E56" i="20"/>
  <c r="C44" i="20"/>
  <c r="C56" i="20"/>
  <c r="E16" i="1" s="1"/>
  <c r="R44" i="19"/>
  <c r="R56" i="19" s="1"/>
  <c r="N15" i="1" s="1"/>
  <c r="Q44" i="19"/>
  <c r="Q56" i="19" s="1"/>
  <c r="M44" i="19"/>
  <c r="M56" i="19" s="1"/>
  <c r="L15" i="1" s="1"/>
  <c r="I44" i="19"/>
  <c r="I56" i="19" s="1"/>
  <c r="H44" i="19"/>
  <c r="H56" i="19" s="1"/>
  <c r="G44" i="19"/>
  <c r="G56" i="19" s="1"/>
  <c r="I15" i="1" s="1"/>
  <c r="F44" i="19"/>
  <c r="F56" i="19" s="1"/>
  <c r="H15" i="1" s="1"/>
  <c r="E44" i="19"/>
  <c r="E56" i="19" s="1"/>
  <c r="C44" i="19"/>
  <c r="C56" i="19" s="1"/>
  <c r="E15" i="1"/>
  <c r="R44" i="18"/>
  <c r="R56" i="18"/>
  <c r="Q44" i="18"/>
  <c r="Q56" i="18"/>
  <c r="I44" i="18"/>
  <c r="I56" i="18"/>
  <c r="H44" i="18"/>
  <c r="H56" i="18"/>
  <c r="C67" i="18" s="1"/>
  <c r="G44" i="18"/>
  <c r="G56" i="18" s="1"/>
  <c r="F44" i="18"/>
  <c r="F56" i="18" s="1"/>
  <c r="C63" i="18" s="1"/>
  <c r="E44" i="18"/>
  <c r="E56" i="18"/>
  <c r="G14" i="1" s="1"/>
  <c r="C44" i="18"/>
  <c r="C56" i="18"/>
  <c r="E14" i="1" s="1"/>
  <c r="R44" i="17"/>
  <c r="R56" i="17" s="1"/>
  <c r="C73" i="17"/>
  <c r="Q44" i="17"/>
  <c r="Q56" i="17" s="1"/>
  <c r="M44" i="17"/>
  <c r="I44" i="17"/>
  <c r="I56" i="17"/>
  <c r="H44" i="17"/>
  <c r="H56" i="17"/>
  <c r="G44" i="17"/>
  <c r="G56" i="17" s="1"/>
  <c r="I13" i="1" s="1"/>
  <c r="F44" i="17"/>
  <c r="E44" i="17"/>
  <c r="E56" i="17"/>
  <c r="C62" i="17" s="1"/>
  <c r="C44" i="17"/>
  <c r="C56" i="17" s="1"/>
  <c r="E13" i="1" s="1"/>
  <c r="R44" i="16"/>
  <c r="R56" i="16" s="1"/>
  <c r="Q44" i="16"/>
  <c r="Q56" i="16" s="1"/>
  <c r="M12" i="1" s="1"/>
  <c r="I44" i="16"/>
  <c r="I56" i="16" s="1"/>
  <c r="C68" i="16" s="1"/>
  <c r="H44" i="16"/>
  <c r="H56" i="16" s="1"/>
  <c r="C67" i="16" s="1"/>
  <c r="G44" i="16"/>
  <c r="G56" i="16" s="1"/>
  <c r="F44" i="16"/>
  <c r="F56" i="16" s="1"/>
  <c r="H12" i="1" s="1"/>
  <c r="E44" i="16"/>
  <c r="E56" i="16" s="1"/>
  <c r="C44" i="16"/>
  <c r="C56" i="16" s="1"/>
  <c r="E12" i="1" s="1"/>
  <c r="R44" i="15"/>
  <c r="R56" i="15"/>
  <c r="Q44" i="15"/>
  <c r="Q56" i="15" s="1"/>
  <c r="C72" i="15" s="1"/>
  <c r="M44" i="15"/>
  <c r="M56" i="15" s="1"/>
  <c r="C71" i="15"/>
  <c r="I44" i="15"/>
  <c r="I56" i="15"/>
  <c r="H44" i="15"/>
  <c r="G44" i="15"/>
  <c r="G56" i="15"/>
  <c r="F44" i="15"/>
  <c r="F56" i="15"/>
  <c r="C63" i="15" s="1"/>
  <c r="E44" i="15"/>
  <c r="E56" i="15"/>
  <c r="C44" i="15"/>
  <c r="C56" i="15"/>
  <c r="E11" i="1" s="1"/>
  <c r="R44" i="14"/>
  <c r="R56" i="14" s="1"/>
  <c r="N10" i="1"/>
  <c r="Q44" i="14"/>
  <c r="Q56" i="14"/>
  <c r="M44" i="14"/>
  <c r="I44" i="14"/>
  <c r="I56" i="14" s="1"/>
  <c r="H44" i="14"/>
  <c r="H56" i="14"/>
  <c r="G44" i="14"/>
  <c r="G56" i="14"/>
  <c r="F44" i="14"/>
  <c r="E44" i="14"/>
  <c r="E56" i="14"/>
  <c r="C44" i="14"/>
  <c r="C56" i="14"/>
  <c r="E10" i="1" s="1"/>
  <c r="R44" i="13"/>
  <c r="R56" i="13" s="1"/>
  <c r="C73" i="13" s="1"/>
  <c r="Q44" i="13"/>
  <c r="Q56" i="13"/>
  <c r="M44" i="13"/>
  <c r="I44" i="13"/>
  <c r="I56" i="13" s="1"/>
  <c r="H44" i="13"/>
  <c r="H56" i="13" s="1"/>
  <c r="G44" i="13"/>
  <c r="G56" i="13" s="1"/>
  <c r="C64" i="13" s="1"/>
  <c r="F44" i="13"/>
  <c r="E44" i="13"/>
  <c r="E56" i="13"/>
  <c r="C44" i="13"/>
  <c r="C56" i="13"/>
  <c r="E9" i="1" s="1"/>
  <c r="R44" i="12"/>
  <c r="R56" i="12" s="1"/>
  <c r="Q44" i="12"/>
  <c r="Q56" i="12" s="1"/>
  <c r="C72" i="12"/>
  <c r="I44" i="12"/>
  <c r="I56" i="12"/>
  <c r="H44" i="12"/>
  <c r="H56" i="12"/>
  <c r="G44" i="12"/>
  <c r="G56" i="12" s="1"/>
  <c r="I8" i="1" s="1"/>
  <c r="F44" i="12"/>
  <c r="F56" i="12" s="1"/>
  <c r="E44" i="12"/>
  <c r="E56" i="12"/>
  <c r="C44" i="12"/>
  <c r="C56" i="12"/>
  <c r="E8" i="1" s="1"/>
  <c r="R44" i="11"/>
  <c r="R56" i="11" s="1"/>
  <c r="N7" i="1"/>
  <c r="Q44" i="11"/>
  <c r="Q56" i="11"/>
  <c r="C72" i="11" s="1"/>
  <c r="M44" i="11"/>
  <c r="M56" i="11"/>
  <c r="I44" i="11"/>
  <c r="I56" i="11" s="1"/>
  <c r="K7" i="1" s="1"/>
  <c r="H44" i="11"/>
  <c r="H56" i="11" s="1"/>
  <c r="G44" i="11"/>
  <c r="G56" i="11"/>
  <c r="C64" i="11" s="1"/>
  <c r="F44" i="11"/>
  <c r="E44" i="11"/>
  <c r="C44" i="11"/>
  <c r="C56" i="11" s="1"/>
  <c r="E7" i="1" s="1"/>
  <c r="R44" i="10"/>
  <c r="R56" i="10"/>
  <c r="N6" i="1" s="1"/>
  <c r="Q44" i="10"/>
  <c r="Q56" i="10"/>
  <c r="C72" i="10" s="1"/>
  <c r="M44" i="10"/>
  <c r="M56" i="10"/>
  <c r="I44" i="10"/>
  <c r="I56" i="10"/>
  <c r="C68" i="10" s="1"/>
  <c r="H44" i="10"/>
  <c r="H56" i="10"/>
  <c r="G44" i="10"/>
  <c r="G56" i="10"/>
  <c r="I6" i="1" s="1"/>
  <c r="F44" i="10"/>
  <c r="F56" i="10" s="1"/>
  <c r="C63" i="10" s="1"/>
  <c r="E44" i="10"/>
  <c r="E56" i="10" s="1"/>
  <c r="G6" i="1" s="1"/>
  <c r="C62" i="10"/>
  <c r="C44" i="10"/>
  <c r="C56" i="10"/>
  <c r="E6" i="1" s="1"/>
  <c r="R44" i="9"/>
  <c r="R56" i="9" s="1"/>
  <c r="Q44" i="9"/>
  <c r="Q56" i="9" s="1"/>
  <c r="M5" i="1" s="1"/>
  <c r="M44" i="9"/>
  <c r="M56" i="9" s="1"/>
  <c r="I44" i="9"/>
  <c r="I56" i="9" s="1"/>
  <c r="H44" i="9"/>
  <c r="H56" i="9" s="1"/>
  <c r="G44" i="9"/>
  <c r="G56" i="9" s="1"/>
  <c r="I5" i="1" s="1"/>
  <c r="F44" i="9"/>
  <c r="F56" i="9" s="1"/>
  <c r="H5" i="1" s="1"/>
  <c r="E44" i="9"/>
  <c r="E56" i="9" s="1"/>
  <c r="C44" i="9"/>
  <c r="C56" i="9" s="1"/>
  <c r="E5" i="1"/>
  <c r="R44" i="8"/>
  <c r="R56" i="8"/>
  <c r="Q44" i="8"/>
  <c r="Q56" i="8"/>
  <c r="I44" i="8"/>
  <c r="I56" i="8"/>
  <c r="H44" i="8"/>
  <c r="H56" i="8"/>
  <c r="C67" i="8" s="1"/>
  <c r="G44" i="8"/>
  <c r="G56" i="8" s="1"/>
  <c r="F44" i="8"/>
  <c r="F56" i="8" s="1"/>
  <c r="E44" i="8"/>
  <c r="E56" i="8" s="1"/>
  <c r="C62" i="8" s="1"/>
  <c r="C44" i="8"/>
  <c r="C56" i="8" s="1"/>
  <c r="E3" i="1" s="1"/>
  <c r="R44" i="6"/>
  <c r="R56" i="6"/>
  <c r="C73" i="6" s="1"/>
  <c r="Q44" i="6"/>
  <c r="Q56" i="6" s="1"/>
  <c r="M44" i="6"/>
  <c r="M56" i="6" s="1"/>
  <c r="I44" i="6"/>
  <c r="I56" i="6" s="1"/>
  <c r="H44" i="6"/>
  <c r="H56" i="6" s="1"/>
  <c r="G44" i="6"/>
  <c r="G56" i="6" s="1"/>
  <c r="F44" i="6"/>
  <c r="E44" i="6"/>
  <c r="E56" i="6" s="1"/>
  <c r="G4" i="1" s="1"/>
  <c r="C44" i="6"/>
  <c r="C56" i="6"/>
  <c r="E4" i="1" s="1"/>
  <c r="D38" i="1"/>
  <c r="Q56" i="26"/>
  <c r="G32" i="1"/>
  <c r="C73" i="36"/>
  <c r="C71" i="22"/>
  <c r="M56" i="32"/>
  <c r="C71" i="32"/>
  <c r="L22" i="1"/>
  <c r="M56" i="33"/>
  <c r="M56" i="31"/>
  <c r="M56" i="40"/>
  <c r="M44" i="8"/>
  <c r="M56" i="8" s="1"/>
  <c r="M44" i="18"/>
  <c r="J5" i="7"/>
  <c r="L29" i="1"/>
  <c r="D6" i="9"/>
  <c r="N4" i="1"/>
  <c r="D22" i="11"/>
  <c r="M44" i="12"/>
  <c r="M56" i="12"/>
  <c r="L8" i="1" s="1"/>
  <c r="C73" i="11"/>
  <c r="C73" i="14"/>
  <c r="M10" i="1"/>
  <c r="M56" i="14"/>
  <c r="D41" i="12"/>
  <c r="D27" i="12"/>
  <c r="D26" i="12"/>
  <c r="D17" i="12"/>
  <c r="C73" i="12"/>
  <c r="C71" i="14"/>
  <c r="L10" i="1"/>
  <c r="C64" i="10"/>
  <c r="C64" i="29"/>
  <c r="C73" i="29"/>
  <c r="C62" i="29"/>
  <c r="C63" i="29"/>
  <c r="C65" i="29" s="1"/>
  <c r="D35" i="37"/>
  <c r="C68" i="37"/>
  <c r="D13" i="37"/>
  <c r="C72" i="37"/>
  <c r="M33" i="1"/>
  <c r="N33" i="1"/>
  <c r="H33" i="1"/>
  <c r="M56" i="37"/>
  <c r="G13" i="1"/>
  <c r="M56" i="17"/>
  <c r="C73" i="28"/>
  <c r="C67" i="28"/>
  <c r="C72" i="28"/>
  <c r="M44" i="28"/>
  <c r="M56" i="28"/>
  <c r="D26" i="21"/>
  <c r="D25" i="21"/>
  <c r="K17" i="1"/>
  <c r="I17" i="1"/>
  <c r="C62" i="21"/>
  <c r="C67" i="21"/>
  <c r="C69" i="21" s="1"/>
  <c r="H17" i="1"/>
  <c r="D44" i="21"/>
  <c r="N17" i="1"/>
  <c r="D56" i="21"/>
  <c r="F17" i="1" s="1"/>
  <c r="C72" i="21"/>
  <c r="C72" i="23"/>
  <c r="C67" i="23"/>
  <c r="N19" i="1"/>
  <c r="G19" i="1"/>
  <c r="M56" i="23"/>
  <c r="G21" i="1"/>
  <c r="K21" i="1"/>
  <c r="M21" i="1"/>
  <c r="I21" i="1"/>
  <c r="D44" i="25"/>
  <c r="M56" i="25"/>
  <c r="I22" i="1"/>
  <c r="G22" i="1"/>
  <c r="K22" i="1"/>
  <c r="H22" i="1"/>
  <c r="C73" i="27"/>
  <c r="C74" i="27" s="1"/>
  <c r="C71" i="27"/>
  <c r="C64" i="27"/>
  <c r="C72" i="27"/>
  <c r="C71" i="37"/>
  <c r="C74" i="37" s="1"/>
  <c r="L33" i="1"/>
  <c r="L13" i="1"/>
  <c r="D71" i="21"/>
  <c r="D67" i="21"/>
  <c r="D68" i="21"/>
  <c r="D73" i="21"/>
  <c r="C71" i="23"/>
  <c r="L19" i="1"/>
  <c r="D69" i="21"/>
  <c r="D26" i="39"/>
  <c r="G35" i="1"/>
  <c r="C62" i="39"/>
  <c r="C72" i="39"/>
  <c r="M35" i="1"/>
  <c r="C64" i="39"/>
  <c r="I35" i="1"/>
  <c r="N35" i="1"/>
  <c r="C73" i="39"/>
  <c r="C72" i="34"/>
  <c r="M30" i="1"/>
  <c r="C64" i="34"/>
  <c r="I30" i="1"/>
  <c r="C62" i="34"/>
  <c r="C65" i="34" s="1"/>
  <c r="N30" i="1"/>
  <c r="H30" i="1"/>
  <c r="C63" i="34"/>
  <c r="D17" i="31"/>
  <c r="D14" i="31"/>
  <c r="I27" i="1"/>
  <c r="C64" i="31"/>
  <c r="G27" i="1"/>
  <c r="C62" i="31"/>
  <c r="C63" i="31"/>
  <c r="C65" i="31" s="1"/>
  <c r="C73" i="31"/>
  <c r="N27" i="1"/>
  <c r="D44" i="31"/>
  <c r="M27" i="1"/>
  <c r="C72" i="31"/>
  <c r="K27" i="1"/>
  <c r="C68" i="31"/>
  <c r="C73" i="22"/>
  <c r="C62" i="22"/>
  <c r="C64" i="22"/>
  <c r="C71" i="39"/>
  <c r="L35" i="1"/>
  <c r="L28" i="1"/>
  <c r="D25" i="32"/>
  <c r="C72" i="32"/>
  <c r="I28" i="1"/>
  <c r="C64" i="32"/>
  <c r="C67" i="32"/>
  <c r="C69" i="32" s="1"/>
  <c r="C62" i="32"/>
  <c r="G28" i="1"/>
  <c r="H11" i="1"/>
  <c r="N11" i="1"/>
  <c r="I11" i="1"/>
  <c r="G11" i="1"/>
  <c r="M11" i="1"/>
  <c r="K14" i="1"/>
  <c r="C62" i="18"/>
  <c r="C72" i="18"/>
  <c r="N31" i="1"/>
  <c r="C73" i="35"/>
  <c r="C63" i="35"/>
  <c r="H31" i="1"/>
  <c r="G31" i="1"/>
  <c r="C62" i="35"/>
  <c r="C71" i="35"/>
  <c r="L31" i="1"/>
  <c r="I31" i="1"/>
  <c r="C64" i="35"/>
  <c r="D44" i="35"/>
  <c r="C72" i="35"/>
  <c r="C74" i="35"/>
  <c r="M31" i="1"/>
  <c r="D16" i="38"/>
  <c r="C72" i="38"/>
  <c r="M34" i="1"/>
  <c r="H34" i="1"/>
  <c r="C63" i="38"/>
  <c r="C65" i="38" s="1"/>
  <c r="C64" i="38"/>
  <c r="I34" i="1"/>
  <c r="C62" i="38"/>
  <c r="G34" i="1"/>
  <c r="C73" i="38"/>
  <c r="N34" i="1"/>
  <c r="M44" i="38"/>
  <c r="C65" i="35"/>
  <c r="D44" i="38"/>
  <c r="M56" i="38"/>
  <c r="C71" i="38"/>
  <c r="C74" i="38" s="1"/>
  <c r="L34" i="1"/>
  <c r="H6" i="1"/>
  <c r="C65" i="10"/>
  <c r="M6" i="1"/>
  <c r="C38" i="1"/>
  <c r="I29" i="1"/>
  <c r="C63" i="33"/>
  <c r="C71" i="33"/>
  <c r="G36" i="1"/>
  <c r="C62" i="40"/>
  <c r="I36" i="1"/>
  <c r="C64" i="40"/>
  <c r="C63" i="40"/>
  <c r="N36" i="1"/>
  <c r="C73" i="40"/>
  <c r="D44" i="40"/>
  <c r="M36" i="1"/>
  <c r="C72" i="40"/>
  <c r="C73" i="10"/>
  <c r="D29" i="13"/>
  <c r="G9" i="1"/>
  <c r="D14" i="13"/>
  <c r="C72" i="13"/>
  <c r="I9" i="1"/>
  <c r="M56" i="13"/>
  <c r="C62" i="41"/>
  <c r="G37" i="1"/>
  <c r="C72" i="41"/>
  <c r="C63" i="41"/>
  <c r="C64" i="41"/>
  <c r="I37" i="1"/>
  <c r="D53" i="7"/>
  <c r="C63" i="19"/>
  <c r="C62" i="19"/>
  <c r="C65" i="19" s="1"/>
  <c r="G15" i="1"/>
  <c r="C73" i="19"/>
  <c r="C64" i="19"/>
  <c r="C67" i="19"/>
  <c r="C71" i="19"/>
  <c r="D44" i="19"/>
  <c r="M15" i="1"/>
  <c r="D47" i="7"/>
  <c r="D14" i="16"/>
  <c r="D25" i="16"/>
  <c r="D17" i="16"/>
  <c r="D17" i="7"/>
  <c r="D9" i="16"/>
  <c r="G12" i="1"/>
  <c r="C72" i="16"/>
  <c r="C63" i="16"/>
  <c r="C73" i="16"/>
  <c r="C64" i="16"/>
  <c r="D5" i="16"/>
  <c r="C73" i="20"/>
  <c r="G16" i="1"/>
  <c r="M56" i="20"/>
  <c r="L16" i="1" s="1"/>
  <c r="D5" i="20"/>
  <c r="C65" i="40"/>
  <c r="C71" i="20"/>
  <c r="M30" i="16"/>
  <c r="D30" i="16"/>
  <c r="J30" i="7"/>
  <c r="C73" i="30"/>
  <c r="I7" i="1"/>
  <c r="M7" i="1"/>
  <c r="N8" i="1"/>
  <c r="M25" i="1"/>
  <c r="M44" i="16"/>
  <c r="D44" i="16"/>
  <c r="F56" i="11"/>
  <c r="K9" i="1"/>
  <c r="G10" i="1"/>
  <c r="C71" i="29"/>
  <c r="G33" i="1"/>
  <c r="D35" i="30"/>
  <c r="K28" i="1"/>
  <c r="D8" i="30"/>
  <c r="D13" i="30"/>
  <c r="D13" i="7" s="1"/>
  <c r="D15" i="30"/>
  <c r="D16" i="30"/>
  <c r="D20" i="30"/>
  <c r="D21" i="30"/>
  <c r="D40" i="30"/>
  <c r="D41" i="30"/>
  <c r="D42" i="30"/>
  <c r="D42" i="7" s="1"/>
  <c r="D43" i="30"/>
  <c r="D5" i="36"/>
  <c r="D5" i="30"/>
  <c r="D8" i="37"/>
  <c r="D7" i="36"/>
  <c r="D6" i="30"/>
  <c r="D8" i="28"/>
  <c r="D8" i="25"/>
  <c r="D8" i="23"/>
  <c r="D8" i="21"/>
  <c r="D8" i="19"/>
  <c r="D8" i="15"/>
  <c r="D8" i="11"/>
  <c r="D38" i="30"/>
  <c r="D34" i="30"/>
  <c r="D10" i="30"/>
  <c r="D10" i="7"/>
  <c r="D12" i="11"/>
  <c r="N44" i="38"/>
  <c r="N56" i="38" s="1"/>
  <c r="L44" i="10"/>
  <c r="L56" i="10" s="1"/>
  <c r="L56" i="19"/>
  <c r="C63" i="11"/>
  <c r="M56" i="16"/>
  <c r="L12" i="1"/>
  <c r="C71" i="16"/>
  <c r="H26" i="1"/>
  <c r="I26" i="1"/>
  <c r="C71" i="12"/>
  <c r="C74" i="12" s="1"/>
  <c r="L11" i="1"/>
  <c r="C63" i="28"/>
  <c r="M44" i="34"/>
  <c r="M56" i="34" s="1"/>
  <c r="D48" i="7"/>
  <c r="D50" i="7"/>
  <c r="D52" i="7"/>
  <c r="D44" i="26"/>
  <c r="C69" i="26"/>
  <c r="D56" i="25"/>
  <c r="C68" i="24"/>
  <c r="C68" i="23"/>
  <c r="C68" i="22"/>
  <c r="C67" i="22"/>
  <c r="D56" i="19"/>
  <c r="D63" i="19" s="1"/>
  <c r="D27" i="7"/>
  <c r="C67" i="17"/>
  <c r="C69" i="17" s="1"/>
  <c r="C68" i="17"/>
  <c r="K12" i="1"/>
  <c r="K11" i="1"/>
  <c r="C67" i="14"/>
  <c r="C68" i="12"/>
  <c r="C67" i="12"/>
  <c r="C69" i="12" s="1"/>
  <c r="C68" i="11"/>
  <c r="C67" i="10"/>
  <c r="K6" i="1"/>
  <c r="C69" i="10"/>
  <c r="D8" i="9"/>
  <c r="D19" i="7"/>
  <c r="C64" i="9"/>
  <c r="C44" i="7"/>
  <c r="C56" i="7" s="1"/>
  <c r="C73" i="9"/>
  <c r="G44" i="7"/>
  <c r="G56" i="7" s="1"/>
  <c r="C64" i="7" s="1"/>
  <c r="E44" i="7"/>
  <c r="E56" i="7" s="1"/>
  <c r="C62" i="7" s="1"/>
  <c r="C68" i="9"/>
  <c r="C68" i="6"/>
  <c r="C67" i="6"/>
  <c r="C71" i="8"/>
  <c r="G3" i="1"/>
  <c r="K3" i="1"/>
  <c r="C73" i="8"/>
  <c r="M3" i="1"/>
  <c r="D62" i="25"/>
  <c r="F21" i="1"/>
  <c r="D63" i="25"/>
  <c r="D73" i="25"/>
  <c r="D64" i="19"/>
  <c r="F15" i="1"/>
  <c r="C69" i="16"/>
  <c r="M32" i="1"/>
  <c r="C72" i="36"/>
  <c r="C68" i="41"/>
  <c r="K37" i="1"/>
  <c r="C67" i="41"/>
  <c r="C69" i="41" s="1"/>
  <c r="D56" i="41"/>
  <c r="D68" i="41" s="1"/>
  <c r="C67" i="40"/>
  <c r="C69" i="40" s="1"/>
  <c r="C68" i="40"/>
  <c r="K36" i="1"/>
  <c r="C68" i="39"/>
  <c r="K35" i="1"/>
  <c r="C67" i="38"/>
  <c r="C68" i="38"/>
  <c r="C69" i="38"/>
  <c r="D56" i="38"/>
  <c r="K34" i="1"/>
  <c r="C68" i="35"/>
  <c r="K31" i="1"/>
  <c r="D56" i="35"/>
  <c r="C67" i="35"/>
  <c r="K30" i="1"/>
  <c r="C67" i="34"/>
  <c r="C69" i="34"/>
  <c r="D56" i="34"/>
  <c r="D72" i="34" s="1"/>
  <c r="D67" i="34"/>
  <c r="F30" i="1"/>
  <c r="D63" i="34"/>
  <c r="D68" i="34"/>
  <c r="K29" i="1"/>
  <c r="C67" i="33"/>
  <c r="C67" i="31"/>
  <c r="C69" i="31" s="1"/>
  <c r="D56" i="31"/>
  <c r="K26" i="1"/>
  <c r="K25" i="1"/>
  <c r="D44" i="29"/>
  <c r="C67" i="27"/>
  <c r="C68" i="27"/>
  <c r="C69" i="39"/>
  <c r="D63" i="38"/>
  <c r="C69" i="35"/>
  <c r="D62" i="35"/>
  <c r="D68" i="35"/>
  <c r="D62" i="31"/>
  <c r="D68" i="31"/>
  <c r="M4" i="1"/>
  <c r="C71" i="9"/>
  <c r="C74" i="9" s="1"/>
  <c r="C72" i="9"/>
  <c r="D5" i="6"/>
  <c r="C71" i="28"/>
  <c r="C74" i="28"/>
  <c r="L24" i="1"/>
  <c r="D44" i="10"/>
  <c r="L6" i="1"/>
  <c r="D56" i="10"/>
  <c r="D64" i="10"/>
  <c r="C71" i="10"/>
  <c r="C74" i="10"/>
  <c r="C75" i="10" s="1"/>
  <c r="D8" i="7"/>
  <c r="L26" i="1"/>
  <c r="C71" i="30"/>
  <c r="M26" i="1"/>
  <c r="C72" i="30"/>
  <c r="D72" i="10"/>
  <c r="D67" i="10"/>
  <c r="D71" i="10"/>
  <c r="F6" i="1"/>
  <c r="D68" i="10"/>
  <c r="D69" i="10"/>
  <c r="D73" i="10"/>
  <c r="D63" i="10"/>
  <c r="D65" i="10" s="1"/>
  <c r="D75" i="10" s="1"/>
  <c r="D62" i="10"/>
  <c r="C74" i="30"/>
  <c r="D74" i="10"/>
  <c r="D29" i="7" l="1"/>
  <c r="D25" i="7"/>
  <c r="C65" i="41"/>
  <c r="D73" i="41"/>
  <c r="D67" i="41"/>
  <c r="D64" i="41"/>
  <c r="D44" i="41"/>
  <c r="D44" i="37"/>
  <c r="D40" i="7"/>
  <c r="D35" i="7"/>
  <c r="C64" i="24"/>
  <c r="I20" i="1"/>
  <c r="H20" i="1"/>
  <c r="D56" i="24"/>
  <c r="C63" i="24"/>
  <c r="D44" i="24"/>
  <c r="D44" i="22"/>
  <c r="D41" i="7"/>
  <c r="I14" i="1"/>
  <c r="C64" i="18"/>
  <c r="C65" i="18"/>
  <c r="H14" i="1"/>
  <c r="D44" i="12"/>
  <c r="C64" i="12"/>
  <c r="H8" i="1"/>
  <c r="C63" i="12"/>
  <c r="D56" i="12"/>
  <c r="D62" i="12" s="1"/>
  <c r="D23" i="7"/>
  <c r="D44" i="9"/>
  <c r="C63" i="9"/>
  <c r="C62" i="6"/>
  <c r="D44" i="6"/>
  <c r="F56" i="6"/>
  <c r="C64" i="8"/>
  <c r="I3" i="1"/>
  <c r="D56" i="8"/>
  <c r="F3" i="1" s="1"/>
  <c r="D44" i="8"/>
  <c r="D64" i="8"/>
  <c r="D5" i="7"/>
  <c r="D44" i="20"/>
  <c r="C67" i="20"/>
  <c r="C68" i="20"/>
  <c r="C69" i="20" s="1"/>
  <c r="K16" i="1"/>
  <c r="C72" i="20"/>
  <c r="M16" i="1"/>
  <c r="C74" i="20"/>
  <c r="C69" i="30"/>
  <c r="D55" i="7"/>
  <c r="M29" i="1"/>
  <c r="C72" i="33"/>
  <c r="C73" i="33"/>
  <c r="N29" i="1"/>
  <c r="C74" i="33"/>
  <c r="E38" i="1"/>
  <c r="C69" i="27"/>
  <c r="H32" i="1"/>
  <c r="F44" i="7"/>
  <c r="I44" i="7"/>
  <c r="I56" i="7" s="1"/>
  <c r="C68" i="7" s="1"/>
  <c r="K7" i="7"/>
  <c r="K44" i="7" s="1"/>
  <c r="K56" i="7" s="1"/>
  <c r="H44" i="7"/>
  <c r="H56" i="7" s="1"/>
  <c r="C67" i="7" s="1"/>
  <c r="C69" i="7" s="1"/>
  <c r="L44" i="7"/>
  <c r="L56" i="7" s="1"/>
  <c r="C73" i="7" s="1"/>
  <c r="C71" i="36"/>
  <c r="C74" i="36" s="1"/>
  <c r="L32" i="1"/>
  <c r="D72" i="31"/>
  <c r="D73" i="31"/>
  <c r="D64" i="31"/>
  <c r="D72" i="38"/>
  <c r="D62" i="38"/>
  <c r="D73" i="38"/>
  <c r="D71" i="38"/>
  <c r="D74" i="38" s="1"/>
  <c r="C71" i="34"/>
  <c r="L30" i="1"/>
  <c r="D71" i="34"/>
  <c r="C71" i="25"/>
  <c r="L21" i="1"/>
  <c r="D71" i="25"/>
  <c r="C69" i="23"/>
  <c r="C71" i="17"/>
  <c r="L3" i="1"/>
  <c r="C71" i="31"/>
  <c r="C74" i="31" s="1"/>
  <c r="C75" i="31" s="1"/>
  <c r="L27" i="1"/>
  <c r="D71" i="31"/>
  <c r="D74" i="31" s="1"/>
  <c r="C72" i="26"/>
  <c r="M22" i="1"/>
  <c r="C64" i="6"/>
  <c r="K4" i="1"/>
  <c r="C72" i="6"/>
  <c r="H3" i="1"/>
  <c r="C63" i="8"/>
  <c r="C68" i="8"/>
  <c r="C69" i="8" s="1"/>
  <c r="C72" i="8"/>
  <c r="C74" i="8" s="1"/>
  <c r="N3" i="1"/>
  <c r="C62" i="9"/>
  <c r="C65" i="9" s="1"/>
  <c r="G5" i="1"/>
  <c r="D56" i="9"/>
  <c r="D67" i="9" s="1"/>
  <c r="K5" i="1"/>
  <c r="L7" i="1"/>
  <c r="C71" i="11"/>
  <c r="C74" i="11" s="1"/>
  <c r="G8" i="1"/>
  <c r="C62" i="12"/>
  <c r="C65" i="12" s="1"/>
  <c r="C75" i="12" s="1"/>
  <c r="K8" i="1"/>
  <c r="F56" i="13"/>
  <c r="D44" i="13"/>
  <c r="C67" i="13"/>
  <c r="F56" i="14"/>
  <c r="D44" i="14"/>
  <c r="C68" i="14"/>
  <c r="C69" i="14" s="1"/>
  <c r="C72" i="14"/>
  <c r="C74" i="14" s="1"/>
  <c r="C62" i="15"/>
  <c r="C64" i="15"/>
  <c r="C68" i="15"/>
  <c r="F56" i="17"/>
  <c r="D44" i="17"/>
  <c r="M13" i="1"/>
  <c r="C72" i="17"/>
  <c r="C68" i="18"/>
  <c r="C69" i="18" s="1"/>
  <c r="M14" i="1"/>
  <c r="C73" i="18"/>
  <c r="N14" i="1"/>
  <c r="D62" i="19"/>
  <c r="D65" i="19" s="1"/>
  <c r="C68" i="19"/>
  <c r="C69" i="19" s="1"/>
  <c r="C75" i="19" s="1"/>
  <c r="K15" i="1"/>
  <c r="D68" i="19"/>
  <c r="C72" i="19"/>
  <c r="D72" i="19"/>
  <c r="C62" i="20"/>
  <c r="D56" i="20"/>
  <c r="D63" i="20" s="1"/>
  <c r="C63" i="20"/>
  <c r="I16" i="1"/>
  <c r="G17" i="1"/>
  <c r="D62" i="21"/>
  <c r="C64" i="21"/>
  <c r="D64" i="21"/>
  <c r="M17" i="1"/>
  <c r="D72" i="21"/>
  <c r="G18" i="1"/>
  <c r="D56" i="22"/>
  <c r="D72" i="22" s="1"/>
  <c r="H18" i="1"/>
  <c r="D63" i="22"/>
  <c r="J18" i="1"/>
  <c r="D67" i="22"/>
  <c r="C72" i="22"/>
  <c r="C74" i="22" s="1"/>
  <c r="M18" i="1"/>
  <c r="F56" i="23"/>
  <c r="D44" i="23"/>
  <c r="C71" i="24"/>
  <c r="D71" i="24"/>
  <c r="C73" i="24"/>
  <c r="N20" i="1"/>
  <c r="C64" i="25"/>
  <c r="D64" i="25"/>
  <c r="D65" i="25" s="1"/>
  <c r="C68" i="25"/>
  <c r="D68" i="25"/>
  <c r="C73" i="25"/>
  <c r="N21" i="1"/>
  <c r="C62" i="26"/>
  <c r="C65" i="26" s="1"/>
  <c r="D56" i="26"/>
  <c r="D72" i="26" s="1"/>
  <c r="N22" i="1"/>
  <c r="C73" i="26"/>
  <c r="D73" i="26"/>
  <c r="E56" i="27"/>
  <c r="D44" i="27"/>
  <c r="I23" i="1"/>
  <c r="C68" i="28"/>
  <c r="C69" i="28" s="1"/>
  <c r="K24" i="1"/>
  <c r="G25" i="1"/>
  <c r="D56" i="29"/>
  <c r="D62" i="29" s="1"/>
  <c r="C68" i="29"/>
  <c r="C69" i="29" s="1"/>
  <c r="C72" i="29"/>
  <c r="C74" i="29" s="1"/>
  <c r="F56" i="32"/>
  <c r="D44" i="32"/>
  <c r="M28" i="1"/>
  <c r="E56" i="33"/>
  <c r="D44" i="33"/>
  <c r="C64" i="33"/>
  <c r="C68" i="33"/>
  <c r="C69" i="33" s="1"/>
  <c r="G30" i="1"/>
  <c r="D62" i="34"/>
  <c r="D64" i="34"/>
  <c r="C73" i="34"/>
  <c r="D73" i="34"/>
  <c r="F56" i="39"/>
  <c r="D44" i="39"/>
  <c r="H37" i="1"/>
  <c r="D63" i="41"/>
  <c r="C71" i="41"/>
  <c r="L37" i="1"/>
  <c r="D71" i="41"/>
  <c r="M37" i="1"/>
  <c r="D72" i="41"/>
  <c r="C73" i="41"/>
  <c r="N37" i="1"/>
  <c r="D67" i="35"/>
  <c r="D69" i="35" s="1"/>
  <c r="F31" i="1"/>
  <c r="D72" i="35"/>
  <c r="D71" i="35"/>
  <c r="F34" i="1"/>
  <c r="D68" i="38"/>
  <c r="D63" i="31"/>
  <c r="D65" i="31" s="1"/>
  <c r="D75" i="31" s="1"/>
  <c r="F27" i="1"/>
  <c r="D64" i="35"/>
  <c r="D63" i="35"/>
  <c r="D73" i="35"/>
  <c r="D64" i="38"/>
  <c r="D69" i="41"/>
  <c r="D69" i="34"/>
  <c r="D67" i="38"/>
  <c r="D69" i="38" s="1"/>
  <c r="F37" i="1"/>
  <c r="D62" i="41"/>
  <c r="D73" i="19"/>
  <c r="D71" i="19"/>
  <c r="D74" i="19" s="1"/>
  <c r="D63" i="24"/>
  <c r="D73" i="24"/>
  <c r="C69" i="6"/>
  <c r="C69" i="22"/>
  <c r="D44" i="34"/>
  <c r="C74" i="16"/>
  <c r="H7" i="1"/>
  <c r="C74" i="19"/>
  <c r="C71" i="13"/>
  <c r="C74" i="13" s="1"/>
  <c r="L9" i="1"/>
  <c r="C75" i="35"/>
  <c r="C75" i="38"/>
  <c r="C74" i="39"/>
  <c r="C65" i="22"/>
  <c r="C75" i="22" s="1"/>
  <c r="D74" i="21"/>
  <c r="M56" i="18"/>
  <c r="D44" i="18"/>
  <c r="C71" i="40"/>
  <c r="C74" i="40" s="1"/>
  <c r="C75" i="40" s="1"/>
  <c r="L36" i="1"/>
  <c r="I4" i="1"/>
  <c r="C71" i="6"/>
  <c r="C74" i="6" s="1"/>
  <c r="L4" i="1"/>
  <c r="C67" i="9"/>
  <c r="C69" i="9" s="1"/>
  <c r="L5" i="1"/>
  <c r="N5" i="1"/>
  <c r="E56" i="11"/>
  <c r="D44" i="11"/>
  <c r="C67" i="11"/>
  <c r="C69" i="11" s="1"/>
  <c r="M8" i="1"/>
  <c r="D72" i="12"/>
  <c r="C62" i="13"/>
  <c r="C68" i="13"/>
  <c r="M9" i="1"/>
  <c r="N9" i="1"/>
  <c r="C62" i="14"/>
  <c r="I10" i="1"/>
  <c r="C64" i="14"/>
  <c r="K10" i="1"/>
  <c r="H56" i="15"/>
  <c r="D44" i="15"/>
  <c r="C73" i="15"/>
  <c r="C74" i="15" s="1"/>
  <c r="C62" i="16"/>
  <c r="C65" i="16" s="1"/>
  <c r="C75" i="16" s="1"/>
  <c r="D56" i="16"/>
  <c r="I12" i="1"/>
  <c r="D64" i="16"/>
  <c r="N12" i="1"/>
  <c r="D73" i="16"/>
  <c r="C64" i="17"/>
  <c r="K13" i="1"/>
  <c r="N13" i="1"/>
  <c r="D67" i="19"/>
  <c r="D69" i="19" s="1"/>
  <c r="C63" i="21"/>
  <c r="C65" i="21" s="1"/>
  <c r="C75" i="21" s="1"/>
  <c r="D63" i="21"/>
  <c r="C71" i="21"/>
  <c r="C74" i="21" s="1"/>
  <c r="L17" i="1"/>
  <c r="I19" i="1"/>
  <c r="C64" i="23"/>
  <c r="C73" i="23"/>
  <c r="C74" i="23" s="1"/>
  <c r="C62" i="24"/>
  <c r="C65" i="24" s="1"/>
  <c r="G20" i="1"/>
  <c r="D62" i="24"/>
  <c r="C67" i="24"/>
  <c r="C69" i="24" s="1"/>
  <c r="D67" i="24"/>
  <c r="L20" i="1"/>
  <c r="C72" i="24"/>
  <c r="M20" i="1"/>
  <c r="D72" i="24"/>
  <c r="C63" i="25"/>
  <c r="C65" i="25" s="1"/>
  <c r="H21" i="1"/>
  <c r="C67" i="25"/>
  <c r="C69" i="25" s="1"/>
  <c r="D67" i="25"/>
  <c r="D69" i="25" s="1"/>
  <c r="D72" i="25"/>
  <c r="C63" i="27"/>
  <c r="H23" i="1"/>
  <c r="L23" i="1"/>
  <c r="E56" i="28"/>
  <c r="D44" i="28"/>
  <c r="N25" i="1"/>
  <c r="D73" i="29"/>
  <c r="E56" i="30"/>
  <c r="D44" i="30"/>
  <c r="D67" i="31"/>
  <c r="D69" i="31" s="1"/>
  <c r="C73" i="32"/>
  <c r="C74" i="32" s="1"/>
  <c r="N28" i="1"/>
  <c r="C64" i="36"/>
  <c r="C65" i="36" s="1"/>
  <c r="I32" i="1"/>
  <c r="I56" i="36"/>
  <c r="D44" i="36"/>
  <c r="C62" i="37"/>
  <c r="C65" i="37" s="1"/>
  <c r="D56" i="37"/>
  <c r="D62" i="37" s="1"/>
  <c r="I33" i="1"/>
  <c r="C69" i="37"/>
  <c r="K33" i="1"/>
  <c r="H36" i="1"/>
  <c r="D56" i="40"/>
  <c r="D63" i="40" s="1"/>
  <c r="D6" i="7"/>
  <c r="D33" i="7"/>
  <c r="D26" i="7"/>
  <c r="D20" i="7"/>
  <c r="D14" i="7"/>
  <c r="D9" i="7"/>
  <c r="D37" i="7"/>
  <c r="J7" i="7"/>
  <c r="J44" i="7" s="1"/>
  <c r="D38" i="7"/>
  <c r="D34" i="7"/>
  <c r="D32" i="7"/>
  <c r="D30" i="7"/>
  <c r="D24" i="7"/>
  <c r="D22" i="7"/>
  <c r="D16" i="7"/>
  <c r="D12" i="7"/>
  <c r="D11" i="7"/>
  <c r="D21" i="7"/>
  <c r="D15" i="7"/>
  <c r="D45" i="7"/>
  <c r="D46" i="7"/>
  <c r="D65" i="41" l="1"/>
  <c r="D68" i="37"/>
  <c r="D65" i="24"/>
  <c r="F20" i="1"/>
  <c r="D68" i="24"/>
  <c r="D64" i="24"/>
  <c r="D69" i="24"/>
  <c r="D68" i="12"/>
  <c r="D67" i="12"/>
  <c r="D63" i="12"/>
  <c r="D64" i="12"/>
  <c r="D73" i="12"/>
  <c r="F8" i="1"/>
  <c r="D71" i="12"/>
  <c r="D68" i="9"/>
  <c r="D69" i="9" s="1"/>
  <c r="D73" i="9"/>
  <c r="D71" i="9"/>
  <c r="H4" i="1"/>
  <c r="D56" i="6"/>
  <c r="C63" i="6"/>
  <c r="C65" i="6" s="1"/>
  <c r="C75" i="6" s="1"/>
  <c r="C65" i="8"/>
  <c r="D73" i="8"/>
  <c r="D68" i="8"/>
  <c r="D72" i="8"/>
  <c r="D71" i="8"/>
  <c r="D67" i="8"/>
  <c r="D62" i="8"/>
  <c r="D63" i="8"/>
  <c r="F56" i="7"/>
  <c r="C63" i="7" s="1"/>
  <c r="C65" i="7" s="1"/>
  <c r="D44" i="7"/>
  <c r="D56" i="7" s="1"/>
  <c r="D64" i="20"/>
  <c r="I38" i="1"/>
  <c r="B51" i="4" s="1"/>
  <c r="C75" i="29"/>
  <c r="J56" i="7"/>
  <c r="D67" i="40"/>
  <c r="D69" i="40" s="1"/>
  <c r="D64" i="37"/>
  <c r="C75" i="37"/>
  <c r="C68" i="36"/>
  <c r="C69" i="36" s="1"/>
  <c r="K32" i="1"/>
  <c r="K38" i="1" s="1"/>
  <c r="D56" i="36"/>
  <c r="D68" i="36" s="1"/>
  <c r="C62" i="30"/>
  <c r="C65" i="30" s="1"/>
  <c r="C75" i="30" s="1"/>
  <c r="G26" i="1"/>
  <c r="D56" i="30"/>
  <c r="D62" i="30" s="1"/>
  <c r="G24" i="1"/>
  <c r="D56" i="28"/>
  <c r="C62" i="28"/>
  <c r="C65" i="28" s="1"/>
  <c r="C75" i="28" s="1"/>
  <c r="D62" i="28"/>
  <c r="C75" i="24"/>
  <c r="D71" i="16"/>
  <c r="F12" i="1"/>
  <c r="D62" i="16"/>
  <c r="D63" i="16"/>
  <c r="D68" i="16"/>
  <c r="D72" i="16"/>
  <c r="D67" i="16"/>
  <c r="D69" i="16" s="1"/>
  <c r="L14" i="1"/>
  <c r="C71" i="18"/>
  <c r="C74" i="18" s="1"/>
  <c r="C75" i="18" s="1"/>
  <c r="D56" i="18"/>
  <c r="D71" i="18" s="1"/>
  <c r="D65" i="35"/>
  <c r="D75" i="35" s="1"/>
  <c r="D74" i="35"/>
  <c r="D74" i="41"/>
  <c r="D75" i="41" s="1"/>
  <c r="C74" i="41"/>
  <c r="C75" i="41" s="1"/>
  <c r="C63" i="39"/>
  <c r="C65" i="39" s="1"/>
  <c r="C75" i="39" s="1"/>
  <c r="H35" i="1"/>
  <c r="D56" i="39"/>
  <c r="D65" i="34"/>
  <c r="D72" i="29"/>
  <c r="D68" i="29"/>
  <c r="C62" i="27"/>
  <c r="C65" i="27" s="1"/>
  <c r="C75" i="27" s="1"/>
  <c r="D56" i="27"/>
  <c r="D62" i="27" s="1"/>
  <c r="G23" i="1"/>
  <c r="D62" i="26"/>
  <c r="C74" i="24"/>
  <c r="C65" i="20"/>
  <c r="C75" i="20" s="1"/>
  <c r="D75" i="19"/>
  <c r="C65" i="15"/>
  <c r="H10" i="1"/>
  <c r="C63" i="14"/>
  <c r="C65" i="14" s="1"/>
  <c r="C75" i="14" s="1"/>
  <c r="D56" i="14"/>
  <c r="D63" i="14" s="1"/>
  <c r="C69" i="13"/>
  <c r="H9" i="1"/>
  <c r="D56" i="13"/>
  <c r="C63" i="13"/>
  <c r="D69" i="12"/>
  <c r="C75" i="8"/>
  <c r="C74" i="26"/>
  <c r="C75" i="26" s="1"/>
  <c r="D74" i="8"/>
  <c r="D74" i="34"/>
  <c r="C74" i="34"/>
  <c r="C75" i="34" s="1"/>
  <c r="D65" i="38"/>
  <c r="D75" i="38" s="1"/>
  <c r="C75" i="36"/>
  <c r="F36" i="1"/>
  <c r="D62" i="40"/>
  <c r="D73" i="40"/>
  <c r="D68" i="40"/>
  <c r="D71" i="40"/>
  <c r="D74" i="40" s="1"/>
  <c r="D72" i="40"/>
  <c r="D64" i="40"/>
  <c r="D67" i="37"/>
  <c r="D63" i="37"/>
  <c r="D65" i="37" s="1"/>
  <c r="D73" i="37"/>
  <c r="D72" i="37"/>
  <c r="D71" i="37"/>
  <c r="F33" i="1"/>
  <c r="C67" i="15"/>
  <c r="C69" i="15" s="1"/>
  <c r="C65" i="13"/>
  <c r="C75" i="13" s="1"/>
  <c r="M38" i="1"/>
  <c r="G7" i="1"/>
  <c r="D56" i="11"/>
  <c r="C62" i="11"/>
  <c r="C65" i="11" s="1"/>
  <c r="C75" i="11" s="1"/>
  <c r="D62" i="11"/>
  <c r="C72" i="7"/>
  <c r="G29" i="1"/>
  <c r="D56" i="33"/>
  <c r="D62" i="33"/>
  <c r="C62" i="33"/>
  <c r="C65" i="33" s="1"/>
  <c r="C75" i="33" s="1"/>
  <c r="H28" i="1"/>
  <c r="C63" i="32"/>
  <c r="C65" i="32" s="1"/>
  <c r="C75" i="32" s="1"/>
  <c r="D56" i="32"/>
  <c r="F25" i="1"/>
  <c r="D67" i="29"/>
  <c r="D63" i="29"/>
  <c r="D65" i="29" s="1"/>
  <c r="D71" i="29"/>
  <c r="D74" i="29" s="1"/>
  <c r="D64" i="29"/>
  <c r="F22" i="1"/>
  <c r="D68" i="26"/>
  <c r="D63" i="26"/>
  <c r="D67" i="26"/>
  <c r="D69" i="26" s="1"/>
  <c r="D64" i="26"/>
  <c r="D71" i="26"/>
  <c r="D74" i="26" s="1"/>
  <c r="D74" i="24"/>
  <c r="D75" i="24" s="1"/>
  <c r="C63" i="23"/>
  <c r="C65" i="23" s="1"/>
  <c r="C75" i="23" s="1"/>
  <c r="H19" i="1"/>
  <c r="D56" i="23"/>
  <c r="D63" i="23"/>
  <c r="F18" i="1"/>
  <c r="D73" i="22"/>
  <c r="D64" i="22"/>
  <c r="D68" i="22"/>
  <c r="D69" i="22" s="1"/>
  <c r="D71" i="22"/>
  <c r="D62" i="22"/>
  <c r="D65" i="21"/>
  <c r="D75" i="21" s="1"/>
  <c r="F16" i="1"/>
  <c r="D71" i="20"/>
  <c r="D68" i="20"/>
  <c r="D73" i="20"/>
  <c r="D62" i="20"/>
  <c r="D72" i="20"/>
  <c r="D67" i="20"/>
  <c r="D69" i="20" s="1"/>
  <c r="H13" i="1"/>
  <c r="C63" i="17"/>
  <c r="C65" i="17" s="1"/>
  <c r="D56" i="17"/>
  <c r="D63" i="17" s="1"/>
  <c r="D56" i="15"/>
  <c r="F5" i="1"/>
  <c r="D62" i="9"/>
  <c r="D72" i="9"/>
  <c r="D74" i="9" s="1"/>
  <c r="D63" i="9"/>
  <c r="D64" i="9"/>
  <c r="C75" i="9"/>
  <c r="N38" i="1"/>
  <c r="H38" i="1"/>
  <c r="B50" i="4" s="1"/>
  <c r="L38" i="1"/>
  <c r="C74" i="17"/>
  <c r="D74" i="25"/>
  <c r="D75" i="25" s="1"/>
  <c r="C74" i="25"/>
  <c r="C75" i="25" s="1"/>
  <c r="D65" i="12" l="1"/>
  <c r="D69" i="37"/>
  <c r="D74" i="22"/>
  <c r="D74" i="12"/>
  <c r="D65" i="9"/>
  <c r="F4" i="1"/>
  <c r="D73" i="6"/>
  <c r="D71" i="6"/>
  <c r="D68" i="6"/>
  <c r="D62" i="6"/>
  <c r="D67" i="6"/>
  <c r="D69" i="6" s="1"/>
  <c r="D64" i="6"/>
  <c r="D72" i="6"/>
  <c r="D63" i="6"/>
  <c r="D69" i="8"/>
  <c r="D65" i="8"/>
  <c r="D65" i="20"/>
  <c r="G38" i="1"/>
  <c r="H44" i="3" s="1"/>
  <c r="E51" i="4"/>
  <c r="H45" i="3"/>
  <c r="D72" i="15"/>
  <c r="F11" i="1"/>
  <c r="D71" i="15"/>
  <c r="D74" i="15" s="1"/>
  <c r="D63" i="15"/>
  <c r="D62" i="15"/>
  <c r="D65" i="15" s="1"/>
  <c r="D64" i="15"/>
  <c r="D68" i="15"/>
  <c r="D73" i="15"/>
  <c r="H48" i="3"/>
  <c r="H50" i="4"/>
  <c r="H49" i="4"/>
  <c r="H47" i="3"/>
  <c r="H51" i="4"/>
  <c r="H49" i="3"/>
  <c r="C75" i="17"/>
  <c r="D65" i="22"/>
  <c r="F19" i="1"/>
  <c r="D71" i="23"/>
  <c r="D72" i="23"/>
  <c r="D64" i="23"/>
  <c r="D62" i="23"/>
  <c r="D65" i="23" s="1"/>
  <c r="D68" i="23"/>
  <c r="D67" i="23"/>
  <c r="D69" i="23" s="1"/>
  <c r="D73" i="23"/>
  <c r="D69" i="29"/>
  <c r="D75" i="29" s="1"/>
  <c r="D64" i="32"/>
  <c r="D62" i="32"/>
  <c r="D65" i="32" s="1"/>
  <c r="D68" i="32"/>
  <c r="D71" i="32"/>
  <c r="F28" i="1"/>
  <c r="D73" i="32"/>
  <c r="D67" i="32"/>
  <c r="D69" i="32" s="1"/>
  <c r="D72" i="32"/>
  <c r="D63" i="32"/>
  <c r="D71" i="33"/>
  <c r="D73" i="33"/>
  <c r="D63" i="33"/>
  <c r="D67" i="33"/>
  <c r="F29" i="1"/>
  <c r="D72" i="33"/>
  <c r="D64" i="33"/>
  <c r="D68" i="33"/>
  <c r="D67" i="15"/>
  <c r="D69" i="15" s="1"/>
  <c r="D74" i="37"/>
  <c r="D75" i="37" s="1"/>
  <c r="D65" i="40"/>
  <c r="D75" i="40" s="1"/>
  <c r="D65" i="26"/>
  <c r="D75" i="26" s="1"/>
  <c r="D72" i="27"/>
  <c r="D73" i="27"/>
  <c r="D68" i="27"/>
  <c r="D63" i="27"/>
  <c r="F23" i="1"/>
  <c r="D64" i="27"/>
  <c r="D67" i="27"/>
  <c r="D69" i="27" s="1"/>
  <c r="D71" i="27"/>
  <c r="F35" i="1"/>
  <c r="D64" i="39"/>
  <c r="D68" i="39"/>
  <c r="D71" i="39"/>
  <c r="D72" i="39"/>
  <c r="D67" i="39"/>
  <c r="D62" i="39"/>
  <c r="D73" i="39"/>
  <c r="D63" i="39"/>
  <c r="D65" i="16"/>
  <c r="D74" i="16"/>
  <c r="C71" i="7"/>
  <c r="C74" i="7" s="1"/>
  <c r="C75" i="7" s="1"/>
  <c r="D75" i="9"/>
  <c r="D72" i="17"/>
  <c r="F13" i="1"/>
  <c r="D62" i="17"/>
  <c r="D71" i="17"/>
  <c r="D64" i="17"/>
  <c r="D67" i="17"/>
  <c r="D68" i="17"/>
  <c r="D73" i="17"/>
  <c r="D74" i="20"/>
  <c r="D65" i="33"/>
  <c r="F7" i="1"/>
  <c r="D72" i="11"/>
  <c r="D71" i="11"/>
  <c r="D68" i="11"/>
  <c r="D64" i="11"/>
  <c r="D67" i="11"/>
  <c r="D69" i="11" s="1"/>
  <c r="D63" i="11"/>
  <c r="D65" i="11" s="1"/>
  <c r="D73" i="11"/>
  <c r="D73" i="13"/>
  <c r="F9" i="1"/>
  <c r="D71" i="13"/>
  <c r="D64" i="13"/>
  <c r="D67" i="13"/>
  <c r="D62" i="13"/>
  <c r="D65" i="13" s="1"/>
  <c r="D68" i="13"/>
  <c r="D72" i="13"/>
  <c r="D63" i="13"/>
  <c r="F10" i="1"/>
  <c r="D71" i="14"/>
  <c r="D68" i="14"/>
  <c r="D72" i="14"/>
  <c r="D62" i="14"/>
  <c r="D65" i="14" s="1"/>
  <c r="D64" i="14"/>
  <c r="D67" i="14"/>
  <c r="D69" i="14" s="1"/>
  <c r="D73" i="14"/>
  <c r="C75" i="15"/>
  <c r="D65" i="27"/>
  <c r="D75" i="34"/>
  <c r="F14" i="1"/>
  <c r="D64" i="18"/>
  <c r="D63" i="18"/>
  <c r="D67" i="18"/>
  <c r="D62" i="18"/>
  <c r="D73" i="18"/>
  <c r="D68" i="18"/>
  <c r="D72" i="18"/>
  <c r="D74" i="18" s="1"/>
  <c r="D72" i="28"/>
  <c r="D68" i="28"/>
  <c r="F24" i="1"/>
  <c r="D67" i="28"/>
  <c r="D69" i="28" s="1"/>
  <c r="D64" i="28"/>
  <c r="D63" i="28"/>
  <c r="D65" i="28" s="1"/>
  <c r="D75" i="28" s="1"/>
  <c r="D71" i="28"/>
  <c r="D74" i="28" s="1"/>
  <c r="D73" i="28"/>
  <c r="D64" i="30"/>
  <c r="D67" i="30"/>
  <c r="D71" i="30"/>
  <c r="D73" i="30"/>
  <c r="F26" i="1"/>
  <c r="D68" i="30"/>
  <c r="D63" i="30"/>
  <c r="D65" i="30" s="1"/>
  <c r="D72" i="30"/>
  <c r="D63" i="36"/>
  <c r="F32" i="1"/>
  <c r="D73" i="36"/>
  <c r="D62" i="36"/>
  <c r="D64" i="36"/>
  <c r="D71" i="36"/>
  <c r="D67" i="36"/>
  <c r="D69" i="36" s="1"/>
  <c r="D72" i="36"/>
  <c r="D75" i="12" l="1"/>
  <c r="D75" i="22"/>
  <c r="D69" i="17"/>
  <c r="D74" i="6"/>
  <c r="D65" i="6"/>
  <c r="D75" i="8"/>
  <c r="D74" i="30"/>
  <c r="D75" i="20"/>
  <c r="D69" i="18"/>
  <c r="D74" i="33"/>
  <c r="B49" i="4"/>
  <c r="B52" i="4" s="1"/>
  <c r="F38" i="1"/>
  <c r="D74" i="17"/>
  <c r="D64" i="7"/>
  <c r="D63" i="7"/>
  <c r="D73" i="7"/>
  <c r="D62" i="7"/>
  <c r="D67" i="7"/>
  <c r="D68" i="7"/>
  <c r="D72" i="7"/>
  <c r="D65" i="39"/>
  <c r="D74" i="32"/>
  <c r="D75" i="32"/>
  <c r="D75" i="15"/>
  <c r="H50" i="3"/>
  <c r="D74" i="36"/>
  <c r="D65" i="36"/>
  <c r="D69" i="30"/>
  <c r="D65" i="18"/>
  <c r="D75" i="18" s="1"/>
  <c r="D74" i="14"/>
  <c r="D75" i="14" s="1"/>
  <c r="D69" i="13"/>
  <c r="D75" i="13" s="1"/>
  <c r="D74" i="13"/>
  <c r="D74" i="11"/>
  <c r="D75" i="11" s="1"/>
  <c r="D65" i="17"/>
  <c r="D71" i="7"/>
  <c r="D75" i="16"/>
  <c r="D69" i="39"/>
  <c r="D74" i="39"/>
  <c r="D74" i="27"/>
  <c r="D75" i="27" s="1"/>
  <c r="D69" i="33"/>
  <c r="D75" i="33" s="1"/>
  <c r="D74" i="23"/>
  <c r="D75" i="23" s="1"/>
  <c r="H52" i="4"/>
  <c r="D75" i="17" l="1"/>
  <c r="D75" i="6"/>
  <c r="D75" i="30"/>
  <c r="D74" i="7"/>
  <c r="D65" i="7"/>
  <c r="D75" i="39"/>
  <c r="D75" i="36"/>
  <c r="D69" i="7"/>
  <c r="D75" i="7" l="1"/>
</calcChain>
</file>

<file path=xl/comments1.xml><?xml version="1.0" encoding="utf-8"?>
<comments xmlns="http://schemas.openxmlformats.org/spreadsheetml/2006/main">
  <authors>
    <author>Messer, Charles G  (DOH)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DO NOT INPUT - TABULATES OFF THE 35 INDIVIDUAL LHJ WORKSHEETS</t>
        </r>
      </text>
    </comment>
  </commentList>
</comments>
</file>

<file path=xl/comments10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2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3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4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5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6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7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8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9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.xml><?xml version="1.0" encoding="utf-8"?>
<comments xmlns="http://schemas.openxmlformats.org/spreadsheetml/2006/main">
  <authors>
    <author>Messer, Charles G  (DOH)</author>
  </authors>
  <commentList>
    <comment ref="H44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DO NOT INPUT - TABULATES OFF THE 35 INDIVIDUAL LHJ WORKSHEETS</t>
        </r>
      </text>
    </comment>
  </commentList>
</comments>
</file>

<file path=xl/comments20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2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3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4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5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6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7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8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9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.xml><?xml version="1.0" encoding="utf-8"?>
<comments xmlns="http://schemas.openxmlformats.org/spreadsheetml/2006/main">
  <authors>
    <author>Messer, Charles G  (DOH)</author>
  </authors>
  <commentList>
    <comment ref="B49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DO NOT INPUT - TABULATES OFF THE 35 INDIVIDUAL LHJ WORKSHEETS</t>
        </r>
      </text>
    </comment>
  </commentList>
</comments>
</file>

<file path=xl/comments30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2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3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4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5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6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7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8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9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4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DO NOT INPUT - TABULATES OFF THE 35 INDIVIDUAL LHJ WORKSHEETS</t>
        </r>
      </text>
    </comment>
  </commentList>
</comments>
</file>

<file path=xl/comments5.xml><?xml version="1.0" encoding="utf-8"?>
<comments xmlns="http://schemas.openxmlformats.org/spreadsheetml/2006/main">
  <authors>
    <author>Messer, Charles G  (DOH)</author>
    <author>Donna T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  <comment ref="F14" authorId="1">
      <text>
        <r>
          <rPr>
            <b/>
            <sz val="9"/>
            <color indexed="81"/>
            <rFont val="Tahoma"/>
            <family val="2"/>
          </rPr>
          <t>Donna T:</t>
        </r>
        <r>
          <rPr>
            <sz val="9"/>
            <color indexed="81"/>
            <rFont val="Tahoma"/>
            <family val="2"/>
          </rPr>
          <t xml:space="preserve">
334.04.99
</t>
        </r>
      </text>
    </comment>
    <comment ref="F18" authorId="1">
      <text>
        <r>
          <rPr>
            <b/>
            <sz val="9"/>
            <color indexed="81"/>
            <rFont val="Tahoma"/>
            <family val="2"/>
          </rPr>
          <t>Donna T:</t>
        </r>
        <r>
          <rPr>
            <sz val="9"/>
            <color indexed="81"/>
            <rFont val="Tahoma"/>
            <family val="2"/>
          </rPr>
          <t xml:space="preserve">
334.04.99
</t>
        </r>
      </text>
    </comment>
  </commentList>
</comments>
</file>

<file path=xl/comments6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7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8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9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<sst xmlns="http://schemas.openxmlformats.org/spreadsheetml/2006/main" count="3750" uniqueCount="173">
  <si>
    <t>FTEs</t>
  </si>
  <si>
    <t>Total Expenditures</t>
  </si>
  <si>
    <t>Total Revenues</t>
  </si>
  <si>
    <t>State from DOH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</si>
  <si>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</si>
  <si>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</si>
  <si>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</si>
  <si>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</si>
  <si>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</si>
  <si>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 xml:space="preserve">Adams </t>
  </si>
  <si>
    <t>Asotin</t>
  </si>
  <si>
    <t>Benton-Franklin</t>
  </si>
  <si>
    <t>Chelan-Douglas</t>
  </si>
  <si>
    <t xml:space="preserve">Clallam </t>
  </si>
  <si>
    <t xml:space="preserve">Clark </t>
  </si>
  <si>
    <t>Columbia</t>
  </si>
  <si>
    <t>Cowlitz</t>
  </si>
  <si>
    <t xml:space="preserve">Garfield </t>
  </si>
  <si>
    <t xml:space="preserve">Grant </t>
  </si>
  <si>
    <t>Grays Harbor</t>
  </si>
  <si>
    <t xml:space="preserve">Island </t>
  </si>
  <si>
    <t xml:space="preserve">Jefferson </t>
  </si>
  <si>
    <t xml:space="preserve">Kitsap </t>
  </si>
  <si>
    <t>Kittitas</t>
  </si>
  <si>
    <t>Klickitat</t>
  </si>
  <si>
    <t xml:space="preserve">Lewis </t>
  </si>
  <si>
    <t>Lincoln</t>
  </si>
  <si>
    <t>Mason</t>
  </si>
  <si>
    <t>Northeast Tri</t>
  </si>
  <si>
    <t>Okanogan</t>
  </si>
  <si>
    <t xml:space="preserve">Pacific </t>
  </si>
  <si>
    <t xml:space="preserve">San Juan </t>
  </si>
  <si>
    <t>Seattle-King</t>
  </si>
  <si>
    <t xml:space="preserve">Skagit </t>
  </si>
  <si>
    <t xml:space="preserve">Skamania </t>
  </si>
  <si>
    <t xml:space="preserve">Snohomish </t>
  </si>
  <si>
    <t xml:space="preserve">Spokane </t>
  </si>
  <si>
    <t>Tacoma-Pierce</t>
  </si>
  <si>
    <t xml:space="preserve">Thurston </t>
  </si>
  <si>
    <t xml:space="preserve">Wahkiakum </t>
  </si>
  <si>
    <t xml:space="preserve">Walla Walla </t>
  </si>
  <si>
    <t xml:space="preserve">Whatcom </t>
  </si>
  <si>
    <t xml:space="preserve">Whitman </t>
  </si>
  <si>
    <t xml:space="preserve">Yakima </t>
  </si>
  <si>
    <t>FTE Count</t>
  </si>
  <si>
    <t>Total Revenue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</si>
  <si>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</si>
  <si>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</si>
  <si>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</si>
  <si>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</si>
  <si>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</si>
  <si>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</si>
  <si>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</si>
  <si>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</si>
  <si>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</si>
  <si>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</si>
  <si>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</si>
  <si>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</si>
  <si>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</si>
  <si>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</si>
  <si>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</si>
  <si>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</si>
  <si>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</si>
  <si>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</si>
  <si>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</si>
  <si>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</si>
  <si>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</si>
  <si>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</si>
  <si>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</si>
  <si>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</si>
  <si>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</si>
  <si>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</si>
  <si>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</si>
  <si>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</si>
  <si>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</si>
  <si>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</si>
  <si>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</si>
  <si>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</si>
  <si>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</si>
  <si>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</si>
  <si>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</si>
  <si>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Revenue Source Type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</si>
  <si>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</si>
  <si>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</si>
  <si>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</si>
  <si>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</si>
  <si>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</si>
  <si>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</si>
  <si>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</si>
  <si>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</si>
  <si>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</si>
  <si>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</si>
  <si>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</si>
  <si>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</si>
  <si>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</si>
  <si>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</si>
  <si>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</si>
  <si>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</si>
  <si>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</si>
  <si>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</si>
  <si>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</si>
  <si>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</si>
  <si>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</si>
  <si>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</si>
  <si>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Local Government Contribution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</si>
  <si>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</si>
  <si>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</si>
  <si>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</si>
  <si>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</si>
  <si>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</si>
  <si>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</si>
  <si>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</si>
  <si>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</si>
  <si>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 xml:space="preserve">Revenue from State </t>
  </si>
  <si>
    <t xml:space="preserve">Revenue from Federal </t>
  </si>
  <si>
    <t>Total - Revenue from State</t>
  </si>
  <si>
    <t>Total - Revenue from Federal</t>
  </si>
  <si>
    <t>Total - Revenue from Local</t>
  </si>
  <si>
    <t>Other Classified Expenditures</t>
  </si>
  <si>
    <t>334.04.91</t>
  </si>
  <si>
    <t>334's (not DOH)</t>
  </si>
  <si>
    <t>333's</t>
  </si>
  <si>
    <t>331's</t>
  </si>
  <si>
    <t>310's</t>
  </si>
  <si>
    <t>320's</t>
  </si>
  <si>
    <t>334.04.93</t>
  </si>
  <si>
    <t>335's</t>
  </si>
  <si>
    <t>339's</t>
  </si>
  <si>
    <t>332's</t>
  </si>
  <si>
    <t>340's</t>
  </si>
  <si>
    <t>308.00</t>
  </si>
  <si>
    <t>334.04.94</t>
  </si>
  <si>
    <t>336's (except MVET)</t>
  </si>
  <si>
    <t>333's (not DOH)</t>
  </si>
  <si>
    <t>390's</t>
  </si>
  <si>
    <t>350's</t>
  </si>
  <si>
    <t>360's (except 368)</t>
  </si>
  <si>
    <t>334.04.95</t>
  </si>
  <si>
    <t>339's (not DOH)</t>
  </si>
  <si>
    <t>370's</t>
  </si>
  <si>
    <t>334.04.96</t>
  </si>
  <si>
    <t>380's</t>
  </si>
  <si>
    <t>334.04.97</t>
  </si>
  <si>
    <t>334.04.98</t>
  </si>
  <si>
    <t>THIS PAGE INTENTIONALLY BLANK</t>
  </si>
  <si>
    <t xml:space="preserve">Basis of Accounting: Cash </t>
  </si>
  <si>
    <t>Basis of Accounting: Accrual</t>
  </si>
  <si>
    <t>Basis of Accounting: Cash</t>
  </si>
  <si>
    <t>Basis of Accounting:  Accrual</t>
  </si>
  <si>
    <t>200's</t>
  </si>
  <si>
    <t>OFM April 2014 Population Estimate</t>
  </si>
  <si>
    <t>336.04.24</t>
  </si>
  <si>
    <t>OFM April 2014  Population Estimate</t>
  </si>
  <si>
    <t>BARS #</t>
  </si>
  <si>
    <t xml:space="preserve"> </t>
  </si>
  <si>
    <t>38 &amp; 490</t>
  </si>
  <si>
    <t>508.80.99</t>
  </si>
  <si>
    <t>367.11.99</t>
  </si>
  <si>
    <t>367.00.27</t>
  </si>
  <si>
    <t>367.00.00</t>
  </si>
  <si>
    <t>369.90.00</t>
  </si>
  <si>
    <t>369.80.00</t>
  </si>
  <si>
    <t>368.90.0</t>
  </si>
  <si>
    <t>269.90.00</t>
  </si>
  <si>
    <t>362.00.00</t>
  </si>
  <si>
    <t>367.11.00</t>
  </si>
  <si>
    <t>Cash</t>
  </si>
  <si>
    <t>Accrual</t>
  </si>
  <si>
    <t>*338</t>
  </si>
  <si>
    <t>340's (Includes 338 when used)</t>
  </si>
  <si>
    <t>Basis of Accounting</t>
  </si>
  <si>
    <t>*</t>
  </si>
  <si>
    <t>Effective 2013 SAO has eliminated the 338 series of BARS revenuecoding and determined that such fees-for-service would be revenue assigned under BARS revenue code 340.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</si>
</sst>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0.0"/>
    <numFmt numFmtId="166" formatCode="0.0_);[Red]\(0.0\)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4"/>
      <name val="Arial"/>
      <family val="2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7" borderId="86" applyNumberFormat="0" applyAlignment="0" applyProtection="0"/>
    <xf numFmtId="0" fontId="12" fillId="28" borderId="87" applyNumberFormat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88" applyNumberFormat="0" applyFill="0" applyAlignment="0" applyProtection="0"/>
    <xf numFmtId="0" fontId="16" fillId="0" borderId="89" applyNumberFormat="0" applyFill="0" applyAlignment="0" applyProtection="0"/>
    <xf numFmtId="0" fontId="17" fillId="0" borderId="9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0" borderId="86" applyNumberFormat="0" applyAlignment="0" applyProtection="0"/>
    <xf numFmtId="0" fontId="20" fillId="0" borderId="91" applyNumberFormat="0" applyFill="0" applyAlignment="0" applyProtection="0"/>
    <xf numFmtId="0" fontId="21" fillId="31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8" fillId="32" borderId="92" applyNumberFormat="0" applyFont="0" applyAlignment="0" applyProtection="0"/>
    <xf numFmtId="0" fontId="22" fillId="27" borderId="93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4" applyNumberFormat="0" applyFill="0" applyAlignment="0" applyProtection="0"/>
    <xf numFmtId="0" fontId="25" fillId="0" borderId="0" applyNumberFormat="0" applyFill="0" applyBorder="0" applyAlignment="0" applyProtection="0"/>
  </cellStyleXfs>
  <cellXfs count="307">
    <xf numFmtId="0" fontId="0" fillId="0" borderId="0" xfId="0"/>
    <xf numFmtId="3" fontId="2" fillId="0" borderId="1" xfId="42" applyNumberFormat="1" applyFill="1" applyBorder="1"/>
    <xf numFmtId="0" fontId="2" fillId="0" borderId="2" xfId="42" applyFont="1" applyFill="1" applyBorder="1"/>
    <xf numFmtId="0" fontId="1" fillId="0" borderId="0" xfId="44"/>
    <xf numFmtId="3" fontId="1" fillId="0" borderId="0" xfId="44" applyNumberFormat="1"/>
    <xf numFmtId="0" fontId="1" fillId="0" borderId="3" xfId="44" applyBorder="1"/>
    <xf numFmtId="0" fontId="1" fillId="0" borderId="0" xfId="44" applyBorder="1"/>
    <xf numFmtId="38" fontId="1" fillId="0" borderId="4" xfId="44" applyNumberFormat="1" applyFill="1" applyBorder="1" applyAlignment="1">
      <alignment horizontal="right"/>
    </xf>
    <xf numFmtId="38" fontId="1" fillId="0" borderId="2" xfId="44" applyNumberFormat="1" applyFill="1" applyBorder="1" applyAlignment="1">
      <alignment horizontal="right"/>
    </xf>
    <xf numFmtId="38" fontId="1" fillId="0" borderId="5" xfId="44" applyNumberFormat="1" applyFill="1" applyBorder="1" applyAlignment="1">
      <alignment horizontal="right"/>
    </xf>
    <xf numFmtId="38" fontId="1" fillId="0" borderId="6" xfId="44" applyNumberFormat="1" applyFill="1" applyBorder="1" applyAlignment="1">
      <alignment horizontal="right"/>
    </xf>
    <xf numFmtId="0" fontId="2" fillId="0" borderId="7" xfId="44" applyFont="1" applyFill="1" applyBorder="1" applyAlignment="1">
      <alignment horizontal="center" wrapText="1"/>
    </xf>
    <xf numFmtId="0" fontId="2" fillId="0" borderId="7" xfId="44" applyFont="1" applyBorder="1" applyAlignment="1">
      <alignment horizontal="center" wrapText="1"/>
    </xf>
    <xf numFmtId="0" fontId="1" fillId="0" borderId="1" xfId="44" applyFill="1" applyBorder="1"/>
    <xf numFmtId="38" fontId="1" fillId="0" borderId="0" xfId="44" applyNumberFormat="1" applyFill="1" applyBorder="1" applyAlignment="1">
      <alignment horizontal="right"/>
    </xf>
    <xf numFmtId="38" fontId="1" fillId="0" borderId="8" xfId="44" applyNumberFormat="1" applyFill="1" applyBorder="1" applyAlignment="1">
      <alignment horizontal="right"/>
    </xf>
    <xf numFmtId="38" fontId="1" fillId="0" borderId="9" xfId="44" applyNumberFormat="1" applyFill="1" applyBorder="1" applyAlignment="1">
      <alignment horizontal="right"/>
    </xf>
    <xf numFmtId="38" fontId="1" fillId="0" borderId="10" xfId="44" applyNumberFormat="1" applyFill="1" applyBorder="1" applyAlignment="1">
      <alignment horizontal="right"/>
    </xf>
    <xf numFmtId="38" fontId="1" fillId="0" borderId="7" xfId="44" applyNumberFormat="1" applyFill="1" applyBorder="1" applyAlignment="1">
      <alignment horizontal="right"/>
    </xf>
    <xf numFmtId="38" fontId="1" fillId="0" borderId="11" xfId="44" applyNumberFormat="1" applyFill="1" applyBorder="1" applyAlignment="1">
      <alignment horizontal="right"/>
    </xf>
    <xf numFmtId="38" fontId="1" fillId="0" borderId="12" xfId="44" applyNumberFormat="1" applyFill="1" applyBorder="1" applyAlignment="1">
      <alignment horizontal="right"/>
    </xf>
    <xf numFmtId="38" fontId="1" fillId="0" borderId="13" xfId="44" applyNumberFormat="1" applyFill="1" applyBorder="1" applyAlignment="1">
      <alignment horizontal="right"/>
    </xf>
    <xf numFmtId="0" fontId="3" fillId="0" borderId="0" xfId="44" applyFont="1" applyBorder="1"/>
    <xf numFmtId="3" fontId="1" fillId="0" borderId="14" xfId="44" applyNumberFormat="1" applyBorder="1"/>
    <xf numFmtId="10" fontId="2" fillId="0" borderId="15" xfId="44" applyNumberFormat="1" applyFont="1" applyBorder="1" applyAlignment="1">
      <alignment horizontal="left" indent="2"/>
    </xf>
    <xf numFmtId="164" fontId="1" fillId="0" borderId="16" xfId="44" applyNumberFormat="1" applyBorder="1"/>
    <xf numFmtId="10" fontId="2" fillId="0" borderId="15" xfId="44" applyNumberFormat="1" applyFont="1" applyFill="1" applyBorder="1" applyAlignment="1">
      <alignment horizontal="left" indent="2"/>
    </xf>
    <xf numFmtId="3" fontId="1" fillId="0" borderId="17" xfId="44" applyNumberFormat="1" applyBorder="1"/>
    <xf numFmtId="164" fontId="1" fillId="0" borderId="18" xfId="44" applyNumberFormat="1" applyBorder="1"/>
    <xf numFmtId="3" fontId="1" fillId="33" borderId="14" xfId="44" applyNumberFormat="1" applyFill="1" applyBorder="1" applyAlignment="1">
      <alignment horizontal="center"/>
    </xf>
    <xf numFmtId="164" fontId="1" fillId="0" borderId="16" xfId="44" applyNumberFormat="1" applyBorder="1" applyAlignment="1">
      <alignment horizontal="center"/>
    </xf>
    <xf numFmtId="3" fontId="3" fillId="0" borderId="0" xfId="44" applyNumberFormat="1" applyFont="1" applyBorder="1"/>
    <xf numFmtId="0" fontId="1" fillId="0" borderId="3" xfId="44" applyFill="1" applyBorder="1"/>
    <xf numFmtId="0" fontId="1" fillId="0" borderId="7" xfId="44" applyFill="1" applyBorder="1" applyAlignment="1">
      <alignment horizontal="center" wrapText="1"/>
    </xf>
    <xf numFmtId="0" fontId="2" fillId="0" borderId="12" xfId="44" applyFont="1" applyFill="1" applyBorder="1" applyAlignment="1">
      <alignment horizontal="center" wrapText="1"/>
    </xf>
    <xf numFmtId="0" fontId="1" fillId="0" borderId="11" xfId="44" applyFill="1" applyBorder="1" applyAlignment="1">
      <alignment horizontal="center" wrapText="1"/>
    </xf>
    <xf numFmtId="2" fontId="1" fillId="0" borderId="13" xfId="44" applyNumberFormat="1" applyFill="1" applyBorder="1" applyAlignment="1">
      <alignment horizontal="left"/>
    </xf>
    <xf numFmtId="0" fontId="1" fillId="0" borderId="19" xfId="44" applyFill="1" applyBorder="1"/>
    <xf numFmtId="38" fontId="1" fillId="0" borderId="20" xfId="44" applyNumberFormat="1" applyFill="1" applyBorder="1" applyAlignment="1">
      <alignment horizontal="right"/>
    </xf>
    <xf numFmtId="2" fontId="1" fillId="0" borderId="2" xfId="44" applyNumberFormat="1" applyFill="1" applyBorder="1" applyAlignment="1">
      <alignment horizontal="left"/>
    </xf>
    <xf numFmtId="0" fontId="1" fillId="0" borderId="0" xfId="44" applyFill="1" applyBorder="1"/>
    <xf numFmtId="2" fontId="1" fillId="0" borderId="11" xfId="44" applyNumberFormat="1" applyFill="1" applyBorder="1" applyAlignment="1">
      <alignment horizontal="left"/>
    </xf>
    <xf numFmtId="0" fontId="3" fillId="0" borderId="21" xfId="44" applyFont="1" applyFill="1" applyBorder="1" applyAlignment="1">
      <alignment horizontal="centerContinuous"/>
    </xf>
    <xf numFmtId="0" fontId="1" fillId="0" borderId="22" xfId="44" applyFill="1" applyBorder="1" applyAlignment="1">
      <alignment horizontal="centerContinuous"/>
    </xf>
    <xf numFmtId="3" fontId="1" fillId="0" borderId="23" xfId="44" applyNumberFormat="1" applyFill="1" applyBorder="1" applyAlignment="1">
      <alignment horizontal="centerContinuous"/>
    </xf>
    <xf numFmtId="3" fontId="1" fillId="0" borderId="24" xfId="44" applyNumberFormat="1" applyFill="1" applyBorder="1" applyAlignment="1">
      <alignment horizontal="center"/>
    </xf>
    <xf numFmtId="164" fontId="1" fillId="0" borderId="25" xfId="44" applyNumberFormat="1" applyFill="1" applyBorder="1" applyAlignment="1">
      <alignment horizontal="center"/>
    </xf>
    <xf numFmtId="3" fontId="2" fillId="0" borderId="14" xfId="44" applyNumberFormat="1" applyFont="1" applyFill="1" applyBorder="1"/>
    <xf numFmtId="164" fontId="1" fillId="0" borderId="16" xfId="44" applyNumberFormat="1" applyFill="1" applyBorder="1"/>
    <xf numFmtId="3" fontId="1" fillId="0" borderId="14" xfId="44" applyNumberFormat="1" applyFill="1" applyBorder="1"/>
    <xf numFmtId="3" fontId="1" fillId="0" borderId="17" xfId="44" applyNumberFormat="1" applyFill="1" applyBorder="1"/>
    <xf numFmtId="164" fontId="1" fillId="0" borderId="18" xfId="44" applyNumberFormat="1" applyFill="1" applyBorder="1"/>
    <xf numFmtId="3" fontId="3" fillId="0" borderId="26" xfId="44" applyNumberFormat="1" applyFont="1" applyFill="1" applyBorder="1"/>
    <xf numFmtId="164" fontId="3" fillId="0" borderId="27" xfId="44" applyNumberFormat="1" applyFont="1" applyFill="1" applyBorder="1"/>
    <xf numFmtId="3" fontId="1" fillId="0" borderId="14" xfId="44" applyNumberFormat="1" applyFill="1" applyBorder="1" applyAlignment="1">
      <alignment horizontal="center"/>
    </xf>
    <xf numFmtId="164" fontId="1" fillId="0" borderId="16" xfId="44" applyNumberFormat="1" applyFill="1" applyBorder="1" applyAlignment="1">
      <alignment horizontal="center"/>
    </xf>
    <xf numFmtId="10" fontId="2" fillId="0" borderId="28" xfId="44" applyNumberFormat="1" applyFont="1" applyFill="1" applyBorder="1" applyAlignment="1">
      <alignment horizontal="left" indent="2"/>
    </xf>
    <xf numFmtId="10" fontId="2" fillId="0" borderId="28" xfId="44" applyNumberFormat="1" applyFont="1" applyBorder="1" applyAlignment="1">
      <alignment horizontal="left" indent="2"/>
    </xf>
    <xf numFmtId="0" fontId="2" fillId="0" borderId="29" xfId="42" applyFill="1" applyBorder="1"/>
    <xf numFmtId="0" fontId="2" fillId="0" borderId="30" xfId="42" applyFill="1" applyBorder="1"/>
    <xf numFmtId="0" fontId="2" fillId="0" borderId="11" xfId="42" applyFont="1" applyFill="1" applyBorder="1"/>
    <xf numFmtId="0" fontId="2" fillId="0" borderId="0" xfId="42"/>
    <xf numFmtId="0" fontId="2" fillId="0" borderId="31" xfId="42" applyFont="1" applyBorder="1"/>
    <xf numFmtId="0" fontId="2" fillId="0" borderId="19" xfId="42" applyBorder="1"/>
    <xf numFmtId="0" fontId="2" fillId="0" borderId="32" xfId="42" applyFont="1" applyBorder="1" applyAlignment="1">
      <alignment horizontal="left" indent="2"/>
    </xf>
    <xf numFmtId="0" fontId="2" fillId="0" borderId="33" xfId="42" applyFont="1" applyBorder="1"/>
    <xf numFmtId="0" fontId="2" fillId="0" borderId="33" xfId="42" applyBorder="1"/>
    <xf numFmtId="37" fontId="2" fillId="0" borderId="34" xfId="42" applyNumberFormat="1" applyBorder="1" applyAlignment="1">
      <alignment horizontal="right"/>
    </xf>
    <xf numFmtId="0" fontId="2" fillId="0" borderId="35" xfId="42" applyBorder="1"/>
    <xf numFmtId="0" fontId="2" fillId="0" borderId="0" xfId="42" applyFont="1"/>
    <xf numFmtId="38" fontId="2" fillId="0" borderId="0" xfId="42" applyNumberFormat="1" applyFill="1" applyBorder="1"/>
    <xf numFmtId="3" fontId="2" fillId="0" borderId="0" xfId="42" applyNumberFormat="1" applyBorder="1"/>
    <xf numFmtId="0" fontId="2" fillId="0" borderId="0" xfId="42" applyBorder="1"/>
    <xf numFmtId="10" fontId="2" fillId="0" borderId="36" xfId="42" applyNumberFormat="1" applyFont="1" applyBorder="1" applyAlignment="1">
      <alignment horizontal="left" indent="2"/>
    </xf>
    <xf numFmtId="38" fontId="2" fillId="33" borderId="34" xfId="42" applyNumberFormat="1" applyFill="1" applyBorder="1" applyAlignment="1">
      <alignment horizontal="right"/>
    </xf>
    <xf numFmtId="10" fontId="2" fillId="0" borderId="37" xfId="42" applyNumberFormat="1" applyFont="1" applyBorder="1" applyAlignment="1">
      <alignment horizontal="left" indent="2"/>
    </xf>
    <xf numFmtId="38" fontId="2" fillId="33" borderId="38" xfId="42" applyNumberFormat="1" applyFill="1" applyBorder="1" applyAlignment="1">
      <alignment horizontal="right"/>
    </xf>
    <xf numFmtId="40" fontId="2" fillId="0" borderId="0" xfId="42" applyNumberFormat="1"/>
    <xf numFmtId="0" fontId="0" fillId="0" borderId="0" xfId="0" applyAlignment="1"/>
    <xf numFmtId="0" fontId="1" fillId="0" borderId="39" xfId="44" applyFill="1" applyBorder="1" applyAlignment="1">
      <alignment horizontal="center" wrapText="1"/>
    </xf>
    <xf numFmtId="0" fontId="3" fillId="0" borderId="6" xfId="44" applyFont="1" applyBorder="1"/>
    <xf numFmtId="0" fontId="1" fillId="0" borderId="29" xfId="44" applyBorder="1"/>
    <xf numFmtId="0" fontId="2" fillId="0" borderId="0" xfId="44" applyFont="1" applyFill="1" applyBorder="1"/>
    <xf numFmtId="165" fontId="3" fillId="0" borderId="3" xfId="44" applyNumberFormat="1" applyFont="1" applyBorder="1"/>
    <xf numFmtId="3" fontId="2" fillId="0" borderId="3" xfId="42" quotePrefix="1" applyNumberFormat="1" applyFont="1" applyFill="1" applyBorder="1" applyAlignment="1">
      <alignment horizontal="center" wrapText="1"/>
    </xf>
    <xf numFmtId="2" fontId="3" fillId="34" borderId="2" xfId="44" quotePrefix="1" applyNumberFormat="1" applyFont="1" applyFill="1" applyBorder="1" applyAlignment="1">
      <alignment horizontal="left"/>
    </xf>
    <xf numFmtId="0" fontId="3" fillId="34" borderId="0" xfId="44" applyFont="1" applyFill="1" applyBorder="1"/>
    <xf numFmtId="38" fontId="3" fillId="34" borderId="0" xfId="44" applyNumberFormat="1" applyFont="1" applyFill="1" applyBorder="1" applyAlignment="1">
      <alignment horizontal="right"/>
    </xf>
    <xf numFmtId="38" fontId="3" fillId="34" borderId="8" xfId="44" applyNumberFormat="1" applyFont="1" applyFill="1" applyBorder="1" applyAlignment="1">
      <alignment horizontal="right"/>
    </xf>
    <xf numFmtId="38" fontId="3" fillId="34" borderId="16" xfId="44" applyNumberFormat="1" applyFont="1" applyFill="1" applyBorder="1" applyAlignment="1">
      <alignment horizontal="right"/>
    </xf>
    <xf numFmtId="38" fontId="3" fillId="34" borderId="10" xfId="44" applyNumberFormat="1" applyFont="1" applyFill="1" applyBorder="1" applyAlignment="1">
      <alignment horizontal="right"/>
    </xf>
    <xf numFmtId="38" fontId="2" fillId="0" borderId="4" xfId="42" applyNumberFormat="1" applyFont="1" applyFill="1" applyBorder="1"/>
    <xf numFmtId="38" fontId="2" fillId="0" borderId="4" xfId="30" applyNumberFormat="1" applyFont="1" applyFill="1" applyBorder="1" applyAlignment="1">
      <alignment horizontal="right"/>
    </xf>
    <xf numFmtId="38" fontId="2" fillId="0" borderId="8" xfId="30" applyNumberFormat="1" applyFont="1" applyFill="1" applyBorder="1" applyAlignment="1">
      <alignment horizontal="right"/>
    </xf>
    <xf numFmtId="38" fontId="2" fillId="0" borderId="6" xfId="42" applyNumberFormat="1" applyFont="1" applyFill="1" applyBorder="1"/>
    <xf numFmtId="38" fontId="2" fillId="0" borderId="6" xfId="30" applyNumberFormat="1" applyFont="1" applyFill="1" applyBorder="1" applyAlignment="1">
      <alignment horizontal="right"/>
    </xf>
    <xf numFmtId="38" fontId="2" fillId="0" borderId="7" xfId="30" applyNumberFormat="1" applyFont="1" applyFill="1" applyBorder="1" applyAlignment="1">
      <alignment horizontal="right"/>
    </xf>
    <xf numFmtId="10" fontId="2" fillId="0" borderId="40" xfId="42" applyNumberFormat="1" applyFont="1" applyBorder="1" applyAlignment="1">
      <alignment horizontal="left" indent="2"/>
    </xf>
    <xf numFmtId="38" fontId="2" fillId="33" borderId="41" xfId="42" applyNumberFormat="1" applyFill="1" applyBorder="1" applyAlignment="1">
      <alignment horizontal="right"/>
    </xf>
    <xf numFmtId="38" fontId="3" fillId="0" borderId="38" xfId="42" applyNumberFormat="1" applyFont="1" applyBorder="1" applyAlignment="1">
      <alignment horizontal="right"/>
    </xf>
    <xf numFmtId="38" fontId="3" fillId="33" borderId="42" xfId="42" applyNumberFormat="1" applyFont="1" applyFill="1" applyBorder="1" applyAlignment="1">
      <alignment horizontal="right"/>
    </xf>
    <xf numFmtId="0" fontId="5" fillId="0" borderId="0" xfId="42" applyFont="1"/>
    <xf numFmtId="0" fontId="1" fillId="0" borderId="12" xfId="44" applyFont="1" applyFill="1" applyBorder="1" applyAlignment="1">
      <alignment horizontal="center" wrapText="1"/>
    </xf>
    <xf numFmtId="0" fontId="1" fillId="0" borderId="32" xfId="42" applyFont="1" applyBorder="1" applyAlignment="1">
      <alignment horizontal="left" indent="2"/>
    </xf>
    <xf numFmtId="0" fontId="1" fillId="33" borderId="43" xfId="42" applyFont="1" applyFill="1" applyBorder="1" applyAlignment="1">
      <alignment horizontal="left"/>
    </xf>
    <xf numFmtId="10" fontId="1" fillId="0" borderId="43" xfId="42" applyNumberFormat="1" applyFont="1" applyBorder="1" applyAlignment="1">
      <alignment horizontal="left"/>
    </xf>
    <xf numFmtId="0" fontId="3" fillId="0" borderId="3" xfId="44" applyFont="1" applyBorder="1"/>
    <xf numFmtId="2" fontId="3" fillId="0" borderId="44" xfId="44" applyNumberFormat="1" applyFont="1" applyFill="1" applyBorder="1" applyAlignment="1">
      <alignment horizontal="left"/>
    </xf>
    <xf numFmtId="0" fontId="3" fillId="0" borderId="45" xfId="44" applyFont="1" applyFill="1" applyBorder="1" applyAlignment="1"/>
    <xf numFmtId="38" fontId="3" fillId="0" borderId="46" xfId="44" applyNumberFormat="1" applyFont="1" applyFill="1" applyBorder="1" applyAlignment="1">
      <alignment horizontal="right"/>
    </xf>
    <xf numFmtId="38" fontId="3" fillId="0" borderId="47" xfId="44" applyNumberFormat="1" applyFont="1" applyFill="1" applyBorder="1" applyAlignment="1">
      <alignment horizontal="right"/>
    </xf>
    <xf numFmtId="38" fontId="3" fillId="0" borderId="48" xfId="44" applyNumberFormat="1" applyFont="1" applyFill="1" applyBorder="1" applyAlignment="1">
      <alignment horizontal="right"/>
    </xf>
    <xf numFmtId="38" fontId="3" fillId="0" borderId="44" xfId="44" applyNumberFormat="1" applyFont="1" applyFill="1" applyBorder="1" applyAlignment="1">
      <alignment horizontal="right"/>
    </xf>
    <xf numFmtId="38" fontId="3" fillId="0" borderId="49" xfId="44" applyNumberFormat="1" applyFont="1" applyFill="1" applyBorder="1" applyAlignment="1">
      <alignment horizontal="right"/>
    </xf>
    <xf numFmtId="38" fontId="3" fillId="0" borderId="50" xfId="44" applyNumberFormat="1" applyFont="1" applyFill="1" applyBorder="1" applyAlignment="1">
      <alignment horizontal="right"/>
    </xf>
    <xf numFmtId="0" fontId="1" fillId="0" borderId="28" xfId="44" applyFill="1" applyBorder="1" applyAlignment="1">
      <alignment horizontal="right"/>
    </xf>
    <xf numFmtId="3" fontId="3" fillId="0" borderId="17" xfId="44" applyNumberFormat="1" applyFont="1" applyFill="1" applyBorder="1" applyAlignment="1">
      <alignment horizontal="center"/>
    </xf>
    <xf numFmtId="3" fontId="3" fillId="0" borderId="18" xfId="44" applyNumberFormat="1" applyFont="1" applyFill="1" applyBorder="1" applyAlignment="1">
      <alignment horizontal="center"/>
    </xf>
    <xf numFmtId="0" fontId="3" fillId="0" borderId="44" xfId="42" applyFont="1" applyFill="1" applyBorder="1" applyAlignment="1">
      <alignment horizontal="center"/>
    </xf>
    <xf numFmtId="38" fontId="3" fillId="0" borderId="46" xfId="42" applyNumberFormat="1" applyFont="1" applyFill="1" applyBorder="1" applyAlignment="1"/>
    <xf numFmtId="38" fontId="3" fillId="0" borderId="48" xfId="30" applyNumberFormat="1" applyFont="1" applyFill="1" applyBorder="1" applyAlignment="1">
      <alignment horizontal="right"/>
    </xf>
    <xf numFmtId="38" fontId="3" fillId="0" borderId="51" xfId="42" applyNumberFormat="1" applyFont="1" applyFill="1" applyBorder="1" applyAlignment="1">
      <alignment horizontal="right"/>
    </xf>
    <xf numFmtId="38" fontId="3" fillId="0" borderId="49" xfId="30" applyNumberFormat="1" applyFont="1" applyFill="1" applyBorder="1" applyAlignment="1">
      <alignment horizontal="right"/>
    </xf>
    <xf numFmtId="38" fontId="3" fillId="0" borderId="45" xfId="30" applyNumberFormat="1" applyFont="1" applyFill="1" applyBorder="1" applyAlignment="1">
      <alignment horizontal="right"/>
    </xf>
    <xf numFmtId="0" fontId="2" fillId="0" borderId="52" xfId="42" applyFont="1" applyBorder="1" applyAlignment="1">
      <alignment horizontal="center"/>
    </xf>
    <xf numFmtId="0" fontId="1" fillId="0" borderId="7" xfId="44" applyBorder="1" applyAlignment="1">
      <alignment horizontal="center" wrapText="1"/>
    </xf>
    <xf numFmtId="43" fontId="2" fillId="0" borderId="30" xfId="30" applyFont="1" applyFill="1" applyBorder="1" applyAlignment="1">
      <alignment horizontal="center"/>
    </xf>
    <xf numFmtId="0" fontId="2" fillId="0" borderId="7" xfId="42" applyFont="1" applyFill="1" applyBorder="1" applyAlignment="1">
      <alignment horizontal="center" wrapText="1"/>
    </xf>
    <xf numFmtId="0" fontId="1" fillId="0" borderId="30" xfId="44" applyFont="1" applyFill="1" applyBorder="1" applyAlignment="1">
      <alignment horizontal="center" wrapText="1"/>
    </xf>
    <xf numFmtId="0" fontId="2" fillId="0" borderId="32" xfId="42" applyFont="1" applyBorder="1" applyAlignment="1">
      <alignment horizontal="left" indent="4"/>
    </xf>
    <xf numFmtId="10" fontId="1" fillId="0" borderId="37" xfId="42" applyNumberFormat="1" applyFont="1" applyBorder="1" applyAlignment="1">
      <alignment horizontal="left" wrapText="1" indent="1"/>
    </xf>
    <xf numFmtId="38" fontId="3" fillId="0" borderId="45" xfId="44" applyNumberFormat="1" applyFont="1" applyFill="1" applyBorder="1" applyAlignment="1">
      <alignment horizontal="right"/>
    </xf>
    <xf numFmtId="3" fontId="1" fillId="0" borderId="53" xfId="44" quotePrefix="1" applyNumberFormat="1" applyFill="1" applyBorder="1" applyAlignment="1">
      <alignment horizontal="center" wrapText="1"/>
    </xf>
    <xf numFmtId="0" fontId="1" fillId="0" borderId="54" xfId="44" applyBorder="1"/>
    <xf numFmtId="0" fontId="1" fillId="0" borderId="53" xfId="44" applyFill="1" applyBorder="1" applyAlignment="1">
      <alignment horizontal="center" wrapText="1"/>
    </xf>
    <xf numFmtId="0" fontId="1" fillId="0" borderId="52" xfId="44" applyBorder="1" applyAlignment="1">
      <alignment horizontal="center"/>
    </xf>
    <xf numFmtId="10" fontId="1" fillId="0" borderId="15" xfId="44" applyNumberFormat="1" applyFont="1" applyBorder="1" applyAlignment="1">
      <alignment horizontal="left" indent="2"/>
    </xf>
    <xf numFmtId="10" fontId="1" fillId="0" borderId="28" xfId="44" applyNumberFormat="1" applyFont="1" applyBorder="1" applyAlignment="1">
      <alignment horizontal="left" indent="2"/>
    </xf>
    <xf numFmtId="10" fontId="1" fillId="0" borderId="28" xfId="44" applyNumberFormat="1" applyFont="1" applyFill="1" applyBorder="1" applyAlignment="1">
      <alignment horizontal="left" indent="2"/>
    </xf>
    <xf numFmtId="10" fontId="1" fillId="0" borderId="15" xfId="44" applyNumberFormat="1" applyFont="1" applyFill="1" applyBorder="1" applyAlignment="1">
      <alignment horizontal="left" indent="2"/>
    </xf>
    <xf numFmtId="3" fontId="1" fillId="0" borderId="14" xfId="44" applyNumberFormat="1" applyFont="1" applyFill="1" applyBorder="1"/>
    <xf numFmtId="0" fontId="1" fillId="0" borderId="0" xfId="44" applyFont="1" applyFill="1" applyBorder="1"/>
    <xf numFmtId="0" fontId="1" fillId="0" borderId="55" xfId="44" applyFont="1" applyFill="1" applyBorder="1" applyAlignment="1">
      <alignment horizontal="center" wrapText="1"/>
    </xf>
    <xf numFmtId="0" fontId="1" fillId="0" borderId="53" xfId="44" applyFont="1" applyFill="1" applyBorder="1" applyAlignment="1">
      <alignment horizontal="center" wrapText="1"/>
    </xf>
    <xf numFmtId="0" fontId="1" fillId="0" borderId="39" xfId="44" applyFont="1" applyFill="1" applyBorder="1" applyAlignment="1">
      <alignment horizontal="center" wrapText="1"/>
    </xf>
    <xf numFmtId="0" fontId="1" fillId="0" borderId="56" xfId="44" applyFont="1" applyFill="1" applyBorder="1" applyAlignment="1">
      <alignment horizontal="center" wrapText="1"/>
    </xf>
    <xf numFmtId="10" fontId="3" fillId="0" borderId="57" xfId="44" applyNumberFormat="1" applyFont="1" applyFill="1" applyBorder="1" applyAlignment="1">
      <alignment horizontal="left"/>
    </xf>
    <xf numFmtId="0" fontId="3" fillId="0" borderId="58" xfId="42" applyFont="1" applyFill="1" applyBorder="1"/>
    <xf numFmtId="10" fontId="3" fillId="0" borderId="59" xfId="42" applyNumberFormat="1" applyFont="1" applyBorder="1" applyAlignment="1">
      <alignment horizontal="left"/>
    </xf>
    <xf numFmtId="10" fontId="3" fillId="0" borderId="37" xfId="42" applyNumberFormat="1" applyFont="1" applyBorder="1" applyAlignment="1">
      <alignment horizontal="left"/>
    </xf>
    <xf numFmtId="166" fontId="2" fillId="0" borderId="0" xfId="30" applyNumberFormat="1" applyFont="1" applyFill="1" applyBorder="1" applyAlignment="1">
      <alignment horizontal="right"/>
    </xf>
    <xf numFmtId="166" fontId="2" fillId="0" borderId="3" xfId="30" applyNumberFormat="1" applyFont="1" applyFill="1" applyBorder="1" applyAlignment="1">
      <alignment horizontal="right"/>
    </xf>
    <xf numFmtId="166" fontId="3" fillId="0" borderId="45" xfId="30" applyNumberFormat="1" applyFont="1" applyFill="1" applyBorder="1" applyAlignment="1">
      <alignment horizontal="right"/>
    </xf>
    <xf numFmtId="0" fontId="1" fillId="0" borderId="40" xfId="44" applyFont="1" applyFill="1" applyBorder="1" applyAlignment="1">
      <alignment horizontal="left"/>
    </xf>
    <xf numFmtId="10" fontId="1" fillId="0" borderId="15" xfId="44" applyNumberFormat="1" applyFont="1" applyFill="1" applyBorder="1" applyAlignment="1">
      <alignment horizontal="left"/>
    </xf>
    <xf numFmtId="0" fontId="1" fillId="0" borderId="60" xfId="42" applyFont="1" applyBorder="1" applyAlignment="1">
      <alignment horizontal="center"/>
    </xf>
    <xf numFmtId="0" fontId="1" fillId="0" borderId="30" xfId="42" applyFont="1" applyFill="1" applyBorder="1" applyAlignment="1">
      <alignment horizontal="center" wrapText="1"/>
    </xf>
    <xf numFmtId="0" fontId="26" fillId="0" borderId="61" xfId="0" applyFont="1" applyBorder="1"/>
    <xf numFmtId="3" fontId="26" fillId="0" borderId="62" xfId="0" applyNumberFormat="1" applyFont="1" applyBorder="1"/>
    <xf numFmtId="164" fontId="26" fillId="0" borderId="63" xfId="0" applyNumberFormat="1" applyFont="1" applyBorder="1"/>
    <xf numFmtId="0" fontId="2" fillId="0" borderId="0" xfId="42" applyAlignment="1">
      <alignment vertical="center"/>
    </xf>
    <xf numFmtId="3" fontId="1" fillId="33" borderId="60" xfId="42" applyNumberFormat="1" applyFont="1" applyFill="1" applyBorder="1" applyAlignment="1">
      <alignment horizontal="right" indent="1"/>
    </xf>
    <xf numFmtId="10" fontId="1" fillId="0" borderId="28" xfId="44" applyNumberFormat="1" applyFont="1" applyBorder="1" applyAlignment="1">
      <alignment horizontal="left" wrapText="1" indent="1"/>
    </xf>
    <xf numFmtId="10" fontId="2" fillId="0" borderId="28" xfId="44" applyNumberFormat="1" applyFont="1" applyBorder="1" applyAlignment="1">
      <alignment horizontal="left" wrapText="1" indent="1"/>
    </xf>
    <xf numFmtId="166" fontId="3" fillId="0" borderId="0" xfId="44" applyNumberFormat="1" applyFont="1" applyBorder="1"/>
    <xf numFmtId="38" fontId="1" fillId="0" borderId="64" xfId="44" applyNumberFormat="1" applyFill="1" applyBorder="1" applyAlignment="1">
      <alignment horizontal="right"/>
    </xf>
    <xf numFmtId="38" fontId="3" fillId="34" borderId="64" xfId="44" applyNumberFormat="1" applyFont="1" applyFill="1" applyBorder="1" applyAlignment="1">
      <alignment horizontal="right"/>
    </xf>
    <xf numFmtId="38" fontId="1" fillId="0" borderId="65" xfId="44" applyNumberFormat="1" applyFill="1" applyBorder="1" applyAlignment="1">
      <alignment horizontal="right"/>
    </xf>
    <xf numFmtId="38" fontId="1" fillId="0" borderId="31" xfId="44" applyNumberFormat="1" applyFill="1" applyBorder="1" applyAlignment="1">
      <alignment horizontal="right"/>
    </xf>
    <xf numFmtId="38" fontId="3" fillId="34" borderId="2" xfId="44" applyNumberFormat="1" applyFont="1" applyFill="1" applyBorder="1" applyAlignment="1">
      <alignment horizontal="right"/>
    </xf>
    <xf numFmtId="43" fontId="4" fillId="0" borderId="1" xfId="30" applyFont="1" applyFill="1" applyBorder="1"/>
    <xf numFmtId="0" fontId="4" fillId="0" borderId="1" xfId="42" applyFont="1" applyFill="1" applyBorder="1"/>
    <xf numFmtId="0" fontId="4" fillId="0" borderId="54" xfId="42" applyFont="1" applyFill="1" applyBorder="1"/>
    <xf numFmtId="38" fontId="2" fillId="0" borderId="52" xfId="30" applyNumberFormat="1" applyFont="1" applyFill="1" applyBorder="1" applyAlignment="1">
      <alignment horizontal="right"/>
    </xf>
    <xf numFmtId="38" fontId="2" fillId="0" borderId="66" xfId="30" applyNumberFormat="1" applyFont="1" applyFill="1" applyBorder="1" applyAlignment="1">
      <alignment horizontal="right"/>
    </xf>
    <xf numFmtId="38" fontId="2" fillId="0" borderId="2" xfId="30" applyNumberFormat="1" applyFont="1" applyFill="1" applyBorder="1" applyAlignment="1">
      <alignment horizontal="right"/>
    </xf>
    <xf numFmtId="38" fontId="2" fillId="0" borderId="11" xfId="30" applyNumberFormat="1" applyFont="1" applyFill="1" applyBorder="1" applyAlignment="1">
      <alignment horizontal="right"/>
    </xf>
    <xf numFmtId="38" fontId="3" fillId="0" borderId="67" xfId="42" applyNumberFormat="1" applyFont="1" applyFill="1" applyBorder="1" applyAlignment="1">
      <alignment horizontal="right"/>
    </xf>
    <xf numFmtId="0" fontId="27" fillId="0" borderId="6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43" applyFont="1" applyBorder="1" applyAlignment="1">
      <alignment horizontal="center" wrapText="1"/>
    </xf>
    <xf numFmtId="0" fontId="1" fillId="33" borderId="11" xfId="43" applyFont="1" applyFill="1" applyBorder="1" applyAlignment="1">
      <alignment horizontal="center" wrapText="1"/>
    </xf>
    <xf numFmtId="0" fontId="1" fillId="0" borderId="12" xfId="43" applyFont="1" applyBorder="1" applyAlignment="1">
      <alignment horizontal="center" wrapText="1"/>
    </xf>
    <xf numFmtId="0" fontId="1" fillId="0" borderId="11" xfId="43" applyFont="1" applyBorder="1" applyAlignment="1">
      <alignment horizontal="center" wrapText="1"/>
    </xf>
    <xf numFmtId="0" fontId="1" fillId="0" borderId="30" xfId="43" applyFont="1" applyBorder="1" applyAlignment="1">
      <alignment horizontal="center" wrapText="1"/>
    </xf>
    <xf numFmtId="0" fontId="1" fillId="0" borderId="69" xfId="43" applyFont="1" applyBorder="1" applyAlignment="1">
      <alignment horizontal="center" wrapText="1"/>
    </xf>
    <xf numFmtId="43" fontId="1" fillId="0" borderId="69" xfId="29" applyFont="1" applyBorder="1" applyAlignment="1">
      <alignment horizontal="center" wrapText="1"/>
    </xf>
    <xf numFmtId="0" fontId="1" fillId="0" borderId="70" xfId="43" applyFont="1" applyBorder="1" applyAlignment="1">
      <alignment horizontal="center" wrapText="1"/>
    </xf>
    <xf numFmtId="0" fontId="1" fillId="33" borderId="71" xfId="43" applyFont="1" applyFill="1" applyBorder="1" applyAlignment="1">
      <alignment horizontal="center" wrapText="1"/>
    </xf>
    <xf numFmtId="0" fontId="1" fillId="0" borderId="72" xfId="43" applyFont="1" applyBorder="1" applyAlignment="1">
      <alignment horizontal="center" wrapText="1"/>
    </xf>
    <xf numFmtId="0" fontId="1" fillId="0" borderId="71" xfId="43" applyFont="1" applyBorder="1" applyAlignment="1">
      <alignment horizontal="center" wrapText="1"/>
    </xf>
    <xf numFmtId="0" fontId="1" fillId="0" borderId="73" xfId="43" applyFont="1" applyBorder="1" applyAlignment="1">
      <alignment horizontal="center" wrapText="1"/>
    </xf>
    <xf numFmtId="0" fontId="1" fillId="0" borderId="74" xfId="43" applyFont="1" applyBorder="1" applyAlignment="1">
      <alignment horizontal="center" wrapText="1"/>
    </xf>
    <xf numFmtId="0" fontId="27" fillId="0" borderId="0" xfId="0" applyFont="1"/>
    <xf numFmtId="0" fontId="1" fillId="0" borderId="0" xfId="43" applyFont="1" applyFill="1" applyBorder="1" applyAlignment="1">
      <alignment wrapText="1"/>
    </xf>
    <xf numFmtId="0" fontId="1" fillId="0" borderId="11" xfId="44" applyFont="1" applyFill="1" applyBorder="1" applyAlignment="1">
      <alignment horizontal="center" wrapText="1"/>
    </xf>
    <xf numFmtId="0" fontId="2" fillId="0" borderId="53" xfId="44" applyFont="1" applyFill="1" applyBorder="1" applyAlignment="1">
      <alignment horizontal="center" wrapText="1"/>
    </xf>
    <xf numFmtId="0" fontId="28" fillId="0" borderId="0" xfId="0" applyFont="1"/>
    <xf numFmtId="38" fontId="1" fillId="0" borderId="75" xfId="44" applyNumberFormat="1" applyFill="1" applyBorder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8" fontId="1" fillId="0" borderId="0" xfId="44" applyNumberFormat="1" applyFill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Alignment="1">
      <alignment horizontal="center"/>
    </xf>
    <xf numFmtId="38" fontId="3" fillId="34" borderId="76" xfId="44" applyNumberFormat="1" applyFont="1" applyFill="1" applyBorder="1" applyAlignment="1">
      <alignment horizontal="right"/>
    </xf>
    <xf numFmtId="2" fontId="3" fillId="34" borderId="77" xfId="44" quotePrefix="1" applyNumberFormat="1" applyFont="1" applyFill="1" applyBorder="1" applyAlignment="1">
      <alignment horizontal="left"/>
    </xf>
    <xf numFmtId="0" fontId="3" fillId="34" borderId="33" xfId="44" applyFont="1" applyFill="1" applyBorder="1"/>
    <xf numFmtId="38" fontId="3" fillId="34" borderId="78" xfId="44" applyNumberFormat="1" applyFont="1" applyFill="1" applyBorder="1" applyAlignment="1">
      <alignment horizontal="right"/>
    </xf>
    <xf numFmtId="38" fontId="3" fillId="0" borderId="67" xfId="44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/>
    <xf numFmtId="2" fontId="1" fillId="0" borderId="0" xfId="44" applyNumberFormat="1" applyFill="1" applyBorder="1" applyAlignment="1">
      <alignment horizontal="right"/>
    </xf>
    <xf numFmtId="2" fontId="0" fillId="0" borderId="0" xfId="0" applyNumberFormat="1" applyFill="1" applyAlignment="1">
      <alignment horizontal="center"/>
    </xf>
    <xf numFmtId="38" fontId="1" fillId="33" borderId="19" xfId="44" applyNumberFormat="1" applyFill="1" applyBorder="1" applyAlignment="1">
      <alignment horizontal="right"/>
    </xf>
    <xf numFmtId="38" fontId="1" fillId="33" borderId="79" xfId="44" applyNumberFormat="1" applyFill="1" applyBorder="1" applyAlignment="1">
      <alignment horizontal="right"/>
    </xf>
    <xf numFmtId="38" fontId="3" fillId="33" borderId="76" xfId="44" applyNumberFormat="1" applyFont="1" applyFill="1" applyBorder="1" applyAlignment="1">
      <alignment horizontal="right"/>
    </xf>
    <xf numFmtId="38" fontId="1" fillId="33" borderId="0" xfId="44" applyNumberFormat="1" applyFill="1" applyBorder="1" applyAlignment="1">
      <alignment horizontal="right"/>
    </xf>
    <xf numFmtId="38" fontId="3" fillId="33" borderId="45" xfId="44" applyNumberFormat="1" applyFont="1" applyFill="1" applyBorder="1" applyAlignment="1">
      <alignment horizontal="right"/>
    </xf>
    <xf numFmtId="38" fontId="1" fillId="33" borderId="10" xfId="44" applyNumberFormat="1" applyFill="1" applyBorder="1" applyAlignment="1">
      <alignment horizontal="right"/>
    </xf>
    <xf numFmtId="38" fontId="1" fillId="33" borderId="12" xfId="44" applyNumberFormat="1" applyFill="1" applyBorder="1" applyAlignment="1">
      <alignment horizontal="right"/>
    </xf>
    <xf numFmtId="0" fontId="1" fillId="33" borderId="0" xfId="44" applyFill="1"/>
    <xf numFmtId="0" fontId="2" fillId="33" borderId="39" xfId="44" applyFont="1" applyFill="1" applyBorder="1" applyAlignment="1">
      <alignment horizontal="center" wrapText="1"/>
    </xf>
    <xf numFmtId="38" fontId="3" fillId="33" borderId="16" xfId="44" applyNumberFormat="1" applyFont="1" applyFill="1" applyBorder="1" applyAlignment="1">
      <alignment horizontal="right"/>
    </xf>
    <xf numFmtId="38" fontId="1" fillId="33" borderId="80" xfId="44" applyNumberFormat="1" applyFill="1" applyBorder="1" applyAlignment="1">
      <alignment horizontal="right"/>
    </xf>
    <xf numFmtId="38" fontId="3" fillId="33" borderId="49" xfId="44" applyNumberFormat="1" applyFont="1" applyFill="1" applyBorder="1" applyAlignment="1">
      <alignment horizontal="right"/>
    </xf>
    <xf numFmtId="0" fontId="0" fillId="33" borderId="0" xfId="0" applyFill="1"/>
    <xf numFmtId="38" fontId="1" fillId="33" borderId="81" xfId="44" applyNumberFormat="1" applyFill="1" applyBorder="1" applyAlignment="1">
      <alignment horizontal="right"/>
    </xf>
    <xf numFmtId="38" fontId="1" fillId="33" borderId="16" xfId="44" applyNumberFormat="1" applyFill="1" applyBorder="1" applyAlignment="1">
      <alignment horizontal="right"/>
    </xf>
    <xf numFmtId="38" fontId="1" fillId="33" borderId="18" xfId="44" applyNumberFormat="1" applyFill="1" applyBorder="1" applyAlignment="1">
      <alignment horizontal="right"/>
    </xf>
    <xf numFmtId="0" fontId="2" fillId="33" borderId="53" xfId="44" applyFont="1" applyFill="1" applyBorder="1" applyAlignment="1">
      <alignment horizontal="center" wrapText="1"/>
    </xf>
    <xf numFmtId="38" fontId="1" fillId="33" borderId="8" xfId="44" applyNumberFormat="1" applyFill="1" applyBorder="1" applyAlignment="1">
      <alignment horizontal="right"/>
    </xf>
    <xf numFmtId="38" fontId="1" fillId="33" borderId="7" xfId="44" applyNumberFormat="1" applyFill="1" applyBorder="1" applyAlignment="1">
      <alignment horizontal="right"/>
    </xf>
    <xf numFmtId="38" fontId="3" fillId="33" borderId="8" xfId="44" applyNumberFormat="1" applyFont="1" applyFill="1" applyBorder="1" applyAlignment="1">
      <alignment horizontal="right"/>
    </xf>
    <xf numFmtId="38" fontId="1" fillId="33" borderId="52" xfId="44" applyNumberFormat="1" applyFill="1" applyBorder="1" applyAlignment="1">
      <alignment horizontal="right"/>
    </xf>
    <xf numFmtId="38" fontId="3" fillId="33" borderId="48" xfId="44" applyNumberFormat="1" applyFont="1" applyFill="1" applyBorder="1" applyAlignment="1">
      <alignment horizontal="right"/>
    </xf>
    <xf numFmtId="38" fontId="1" fillId="33" borderId="9" xfId="44" applyNumberFormat="1" applyFill="1" applyBorder="1" applyAlignment="1">
      <alignment horizontal="right"/>
    </xf>
    <xf numFmtId="0" fontId="1" fillId="33" borderId="3" xfId="44" applyFill="1" applyBorder="1"/>
    <xf numFmtId="0" fontId="1" fillId="33" borderId="39" xfId="44" applyFont="1" applyFill="1" applyBorder="1" applyAlignment="1">
      <alignment horizontal="center" wrapText="1"/>
    </xf>
    <xf numFmtId="38" fontId="3" fillId="33" borderId="10" xfId="44" applyNumberFormat="1" applyFont="1" applyFill="1" applyBorder="1" applyAlignment="1">
      <alignment horizontal="right"/>
    </xf>
    <xf numFmtId="38" fontId="3" fillId="33" borderId="50" xfId="44" applyNumberFormat="1" applyFont="1" applyFill="1" applyBorder="1" applyAlignment="1">
      <alignment horizontal="right"/>
    </xf>
    <xf numFmtId="38" fontId="1" fillId="33" borderId="20" xfId="44" applyNumberFormat="1" applyFill="1" applyBorder="1" applyAlignment="1">
      <alignment horizontal="right"/>
    </xf>
    <xf numFmtId="0" fontId="1" fillId="33" borderId="54" xfId="44" applyFill="1" applyBorder="1" applyAlignment="1">
      <alignment horizontal="center"/>
    </xf>
    <xf numFmtId="0" fontId="1" fillId="33" borderId="35" xfId="44" applyFont="1" applyFill="1" applyBorder="1" applyAlignment="1">
      <alignment horizontal="center" wrapText="1"/>
    </xf>
    <xf numFmtId="38" fontId="1" fillId="33" borderId="3" xfId="44" applyNumberFormat="1" applyFill="1" applyBorder="1" applyAlignment="1">
      <alignment horizontal="right"/>
    </xf>
    <xf numFmtId="38" fontId="3" fillId="33" borderId="0" xfId="44" applyNumberFormat="1" applyFont="1" applyFill="1" applyBorder="1" applyAlignment="1">
      <alignment horizontal="right"/>
    </xf>
    <xf numFmtId="38" fontId="1" fillId="33" borderId="1" xfId="44" applyNumberFormat="1" applyFill="1" applyBorder="1" applyAlignment="1">
      <alignment horizontal="right"/>
    </xf>
    <xf numFmtId="38" fontId="1" fillId="33" borderId="82" xfId="44" applyNumberFormat="1" applyFill="1" applyBorder="1" applyAlignment="1">
      <alignment horizontal="right"/>
    </xf>
    <xf numFmtId="0" fontId="3" fillId="33" borderId="3" xfId="44" applyFont="1" applyFill="1" applyBorder="1"/>
    <xf numFmtId="0" fontId="2" fillId="33" borderId="35" xfId="44" applyFont="1" applyFill="1" applyBorder="1" applyAlignment="1">
      <alignment horizontal="center" wrapText="1"/>
    </xf>
    <xf numFmtId="0" fontId="1" fillId="33" borderId="0" xfId="43" applyFill="1"/>
    <xf numFmtId="0" fontId="3" fillId="33" borderId="3" xfId="44" applyFont="1" applyFill="1" applyBorder="1" applyAlignment="1">
      <alignment horizontal="right"/>
    </xf>
    <xf numFmtId="0" fontId="1" fillId="33" borderId="52" xfId="44" applyFill="1" applyBorder="1" applyAlignment="1">
      <alignment horizontal="center"/>
    </xf>
    <xf numFmtId="0" fontId="1" fillId="33" borderId="53" xfId="44" applyFill="1" applyBorder="1" applyAlignment="1">
      <alignment horizontal="center" wrapText="1"/>
    </xf>
    <xf numFmtId="0" fontId="0" fillId="33" borderId="0" xfId="0" applyFill="1" applyAlignment="1"/>
    <xf numFmtId="0" fontId="1" fillId="33" borderId="56" xfId="44" applyFont="1" applyFill="1" applyBorder="1" applyAlignment="1">
      <alignment horizontal="center" wrapText="1"/>
    </xf>
    <xf numFmtId="38" fontId="1" fillId="33" borderId="13" xfId="44" applyNumberFormat="1" applyFill="1" applyBorder="1" applyAlignment="1">
      <alignment horizontal="right"/>
    </xf>
    <xf numFmtId="38" fontId="1" fillId="33" borderId="2" xfId="44" applyNumberFormat="1" applyFill="1" applyBorder="1" applyAlignment="1">
      <alignment horizontal="right"/>
    </xf>
    <xf numFmtId="38" fontId="1" fillId="33" borderId="11" xfId="44" applyNumberFormat="1" applyFill="1" applyBorder="1" applyAlignment="1">
      <alignment horizontal="right"/>
    </xf>
    <xf numFmtId="38" fontId="3" fillId="33" borderId="4" xfId="44" applyNumberFormat="1" applyFont="1" applyFill="1" applyBorder="1" applyAlignment="1">
      <alignment horizontal="right"/>
    </xf>
    <xf numFmtId="38" fontId="3" fillId="33" borderId="44" xfId="44" applyNumberFormat="1" applyFont="1" applyFill="1" applyBorder="1" applyAlignment="1">
      <alignment horizontal="right"/>
    </xf>
    <xf numFmtId="0" fontId="1" fillId="33" borderId="0" xfId="44" applyFill="1" applyBorder="1"/>
    <xf numFmtId="0" fontId="0" fillId="33" borderId="0" xfId="0" applyFill="1" applyBorder="1"/>
    <xf numFmtId="38" fontId="1" fillId="33" borderId="66" xfId="44" applyNumberFormat="1" applyFill="1" applyBorder="1" applyAlignment="1">
      <alignment horizontal="right"/>
    </xf>
    <xf numFmtId="0" fontId="0" fillId="35" borderId="0" xfId="0" applyFill="1"/>
    <xf numFmtId="38" fontId="1" fillId="0" borderId="66" xfId="42" applyNumberFormat="1" applyFont="1" applyFill="1" applyBorder="1"/>
    <xf numFmtId="38" fontId="1" fillId="0" borderId="2" xfId="42" applyNumberFormat="1" applyFont="1" applyFill="1" applyBorder="1"/>
    <xf numFmtId="38" fontId="1" fillId="0" borderId="11" xfId="42" applyNumberFormat="1" applyFont="1" applyFill="1" applyBorder="1"/>
    <xf numFmtId="0" fontId="2" fillId="0" borderId="1" xfId="42" applyFill="1" applyBorder="1"/>
    <xf numFmtId="0" fontId="3" fillId="0" borderId="46" xfId="42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38" fontId="1" fillId="36" borderId="16" xfId="44" applyNumberFormat="1" applyFill="1" applyBorder="1" applyAlignment="1">
      <alignment horizontal="right"/>
    </xf>
    <xf numFmtId="38" fontId="29" fillId="37" borderId="10" xfId="44" applyNumberFormat="1" applyFont="1" applyFill="1" applyBorder="1" applyAlignment="1">
      <alignment horizontal="right"/>
    </xf>
    <xf numFmtId="38" fontId="29" fillId="33" borderId="10" xfId="44" applyNumberFormat="1" applyFont="1" applyFill="1" applyBorder="1" applyAlignment="1">
      <alignment horizontal="right"/>
    </xf>
    <xf numFmtId="38" fontId="29" fillId="36" borderId="16" xfId="44" applyNumberFormat="1" applyFont="1" applyFill="1" applyBorder="1" applyAlignment="1">
      <alignment horizontal="right"/>
    </xf>
    <xf numFmtId="38" fontId="30" fillId="33" borderId="13" xfId="44" applyNumberFormat="1" applyFont="1" applyFill="1" applyBorder="1" applyAlignment="1">
      <alignment horizontal="right"/>
    </xf>
    <xf numFmtId="38" fontId="30" fillId="33" borderId="2" xfId="44" applyNumberFormat="1" applyFont="1" applyFill="1" applyBorder="1" applyAlignment="1">
      <alignment horizontal="right"/>
    </xf>
    <xf numFmtId="38" fontId="30" fillId="37" borderId="2" xfId="44" applyNumberFormat="1" applyFont="1" applyFill="1" applyBorder="1" applyAlignment="1">
      <alignment horizontal="right"/>
    </xf>
    <xf numFmtId="38" fontId="30" fillId="33" borderId="16" xfId="44" applyNumberFormat="1" applyFont="1" applyFill="1" applyBorder="1" applyAlignment="1">
      <alignment horizontal="right"/>
    </xf>
    <xf numFmtId="38" fontId="30" fillId="33" borderId="81" xfId="44" applyNumberFormat="1" applyFont="1" applyFill="1" applyBorder="1" applyAlignment="1">
      <alignment horizontal="right"/>
    </xf>
    <xf numFmtId="38" fontId="31" fillId="33" borderId="0" xfId="44" applyNumberFormat="1" applyFont="1" applyFill="1" applyBorder="1" applyAlignment="1">
      <alignment horizontal="right"/>
    </xf>
    <xf numFmtId="38" fontId="31" fillId="0" borderId="8" xfId="44" applyNumberFormat="1" applyFont="1" applyFill="1" applyBorder="1" applyAlignment="1">
      <alignment horizontal="right"/>
    </xf>
    <xf numFmtId="0" fontId="1" fillId="33" borderId="55" xfId="44" applyFont="1" applyFill="1" applyBorder="1" applyAlignment="1">
      <alignment horizontal="center" wrapText="1"/>
    </xf>
    <xf numFmtId="0" fontId="1" fillId="33" borderId="0" xfId="44" applyFont="1" applyFill="1"/>
    <xf numFmtId="0" fontId="1" fillId="33" borderId="3" xfId="44" applyFont="1" applyFill="1" applyBorder="1"/>
    <xf numFmtId="0" fontId="1" fillId="33" borderId="54" xfId="44" applyFont="1" applyFill="1" applyBorder="1" applyAlignment="1">
      <alignment horizontal="center"/>
    </xf>
    <xf numFmtId="38" fontId="1" fillId="33" borderId="19" xfId="44" applyNumberFormat="1" applyFont="1" applyFill="1" applyBorder="1" applyAlignment="1">
      <alignment horizontal="right"/>
    </xf>
    <xf numFmtId="38" fontId="1" fillId="33" borderId="0" xfId="44" applyNumberFormat="1" applyFont="1" applyFill="1" applyBorder="1" applyAlignment="1">
      <alignment horizontal="right"/>
    </xf>
    <xf numFmtId="38" fontId="1" fillId="33" borderId="82" xfId="44" applyNumberFormat="1" applyFont="1" applyFill="1" applyBorder="1" applyAlignment="1">
      <alignment horizontal="right"/>
    </xf>
    <xf numFmtId="38" fontId="1" fillId="33" borderId="3" xfId="44" applyNumberFormat="1" applyFont="1" applyFill="1" applyBorder="1" applyAlignment="1">
      <alignment horizontal="right"/>
    </xf>
    <xf numFmtId="0" fontId="32" fillId="33" borderId="0" xfId="0" applyFont="1" applyFill="1"/>
    <xf numFmtId="0" fontId="1" fillId="0" borderId="54" xfId="42" applyFont="1" applyFill="1" applyBorder="1" applyAlignment="1">
      <alignment horizontal="center"/>
    </xf>
    <xf numFmtId="0" fontId="2" fillId="0" borderId="1" xfId="42" applyFont="1" applyFill="1" applyBorder="1" applyAlignment="1">
      <alignment horizontal="center"/>
    </xf>
    <xf numFmtId="0" fontId="2" fillId="0" borderId="25" xfId="42" applyFont="1" applyFill="1" applyBorder="1" applyAlignment="1">
      <alignment horizontal="center"/>
    </xf>
    <xf numFmtId="0" fontId="1" fillId="0" borderId="54" xfId="42" applyFont="1" applyBorder="1" applyAlignment="1">
      <alignment horizontal="center"/>
    </xf>
    <xf numFmtId="0" fontId="2" fillId="0" borderId="25" xfId="4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3" xfId="44" applyFont="1" applyBorder="1" applyAlignment="1">
      <alignment horizontal="center"/>
    </xf>
    <xf numFmtId="0" fontId="1" fillId="0" borderId="83" xfId="44" applyBorder="1" applyAlignment="1">
      <alignment horizontal="center"/>
    </xf>
    <xf numFmtId="0" fontId="1" fillId="0" borderId="54" xfId="44" applyFont="1" applyBorder="1" applyAlignment="1">
      <alignment horizontal="center"/>
    </xf>
    <xf numFmtId="0" fontId="1" fillId="0" borderId="1" xfId="44" applyFont="1" applyBorder="1" applyAlignment="1">
      <alignment horizontal="center"/>
    </xf>
    <xf numFmtId="0" fontId="1" fillId="0" borderId="25" xfId="44" applyFont="1" applyBorder="1" applyAlignment="1">
      <alignment horizontal="center"/>
    </xf>
    <xf numFmtId="0" fontId="27" fillId="0" borderId="0" xfId="0" applyFont="1" applyAlignment="1">
      <alignment wrapText="1"/>
    </xf>
    <xf numFmtId="0" fontId="1" fillId="0" borderId="84" xfId="43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7" fillId="0" borderId="85" xfId="0" applyFont="1" applyBorder="1" applyAlignment="1">
      <alignment vertical="center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26"/>
    <cellStyle name="Calculation" xfId="27" builtinId="22" customBuiltin="1"/>
    <cellStyle name="Check Cell" xfId="28" builtinId="23" customBuiltin="1"/>
    <cellStyle name="Comma" xfId="29" builtinId="3"/>
    <cellStyle name="Comma 2" xfId="30"/>
    <cellStyle name="Comma 3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 2" xfId="3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2 2" xfId="43"/>
    <cellStyle name="Normal 3" xfId="44"/>
    <cellStyle name="Note" xfId="45" builtinId="10" customBuiltin="1"/>
    <cellStyle name="Output" xfId="46" builtinId="21" customBuiltin="1"/>
    <cellStyle name="Percent 2" xfId="47"/>
    <cellStyle name="Title" xfId="48" builtinId="15" customBuiltin="1"/>
    <cellStyle name="Total" xfId="49" builtinId="25" customBuiltin="1"/>
    <cellStyle name="Warning Text" xfId="50" builtinId="11" customBuiltin="1"/>
  </cellStyles>
  <dxfs count="18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23209124175935"/>
          <c:y val="8.9399399644457228E-2"/>
          <c:w val="0.47209494382822398"/>
          <c:h val="0.7804739758049935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1"/>
          <c:dPt>
            <c:idx val="0"/>
            <c:bubble3D val="0"/>
            <c:explosion val="2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4.828417365168064E-2"/>
                  <c:y val="-3.749531308586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2.3866230204370523E-2"/>
                  <c:y val="3.04709509564579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-3.4171627422976622E-2"/>
                  <c:y val="2.47365585851986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1.5818322608867424E-2"/>
                  <c:y val="1.96332249807356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1.3440860215053769E-2"/>
                  <c:y val="-1.31233595800524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'PIE Aggregate Pg 4-DO NOT INPUT'!$B$44:$B$49</c:f>
              <c:strCache>
                <c:ptCount val="6"/>
                <c:pt idx="0">
                  <c:v>Revenue from State </c:v>
                </c:pt>
                <c:pt idx="1">
                  <c:v>Revenue from Federal</c:v>
                </c:pt>
                <c:pt idx="2">
                  <c:v>Revenue from Local</c:v>
                </c:pt>
                <c:pt idx="3">
                  <c:v>Local Government Contribution</c:v>
                </c:pt>
                <c:pt idx="4">
                  <c:v>Licenses, Permits &amp; Fees</c:v>
                </c:pt>
                <c:pt idx="5">
                  <c:v>Misc/Fund Balance/Other</c:v>
                </c:pt>
              </c:strCache>
            </c:strRef>
          </c:cat>
          <c:val>
            <c:numRef>
              <c:f>'PIE Aggregate Pg 4-DO NOT INPUT'!$H$44:$H$49</c:f>
              <c:numCache>
                <c:formatCode>#,##0_);\(#,##0\)</c:formatCode>
                <c:ptCount val="6"/>
                <c:pt idx="0">
                  <c:v>65215197.469999999</c:v>
                </c:pt>
                <c:pt idx="1">
                  <c:v>77739322.159999996</c:v>
                </c:pt>
                <c:pt idx="3">
                  <c:v>83235556.960000008</c:v>
                </c:pt>
                <c:pt idx="4">
                  <c:v>137436691.66</c:v>
                </c:pt>
                <c:pt idx="5">
                  <c:v>36841383.789999999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&amp;C&amp;"Arial,Bold"&amp;14PUBLIC HEALTH SERVICES-FUNDING OF LOCAL HEALTH JURISDICTIONS 
2010</c:oddHeader>
      <c:oddFooter>&amp;L07/24/12&amp;CPage 4&amp;R 2011 LHJ Funding Summary
Compiled by DOH
Source: BARS A Reports</c:oddFooter>
    </c:headerFooter>
    <c:pageMargins b="0" l="0.25" r="0.25" t="0" header="0.30000000000000032" footer="0.30000000000000032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1.2965696361125592E-2"/>
                  <c:y val="2.18980241682987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3822509991129157E-2"/>
                  <c:y val="-4.732403373436188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('Cowlitz Pgs 22-23'!$B$61,'Cowlitz Pgs 22-23'!$B$66,'Cowlitz Pgs 22-23'!$B$71:$B$73)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('Cowlitz Pgs 22-23'!$C$65,'Cowlitz Pgs 22-23'!$C$69,'Cowlitz Pgs 22-23'!$C$71:$C$73)</c:f>
              <c:numCache>
                <c:formatCode>#,##0</c:formatCode>
                <c:ptCount val="5"/>
                <c:pt idx="0">
                  <c:v>535336</c:v>
                </c:pt>
                <c:pt idx="1">
                  <c:v>544301</c:v>
                </c:pt>
                <c:pt idx="2">
                  <c:v>266184</c:v>
                </c:pt>
                <c:pt idx="3">
                  <c:v>1046986</c:v>
                </c:pt>
                <c:pt idx="4">
                  <c:v>738895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-2.8846153846153848E-2"/>
                  <c:y val="-1.64551010813352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2537182852143477E-2"/>
                  <c:y val="6.29494917196264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265195509097948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('Garfield Pgs 24-25'!$B$61,'Garfield Pgs 24-25'!$B$66,'Garfield Pgs 24-25'!$B$71:$B$73)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('Garfield Pgs 24-25'!$C$65,'Garfield Pgs 24-25'!$C$69,'Garfield Pgs 24-25'!$C$71:$C$73)</c:f>
              <c:numCache>
                <c:formatCode>#,##0</c:formatCode>
                <c:ptCount val="5"/>
                <c:pt idx="0">
                  <c:v>94957</c:v>
                </c:pt>
                <c:pt idx="1">
                  <c:v>81735</c:v>
                </c:pt>
                <c:pt idx="2">
                  <c:v>32503</c:v>
                </c:pt>
                <c:pt idx="3">
                  <c:v>10199</c:v>
                </c:pt>
                <c:pt idx="4">
                  <c:v>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3.6194500077734185E-2"/>
                  <c:y val="8.36164514968623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('Grant Pgs 26-27'!$B$61,'Grant Pgs 26-27'!$B$66,'Grant Pgs 26-27'!$B$71:$B$73)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('Grant Pgs 26-27'!$C$65,'Grant Pgs 26-27'!$C$69,'Grant Pgs 26-27'!$C$71:$C$73)</c:f>
              <c:numCache>
                <c:formatCode>#,##0</c:formatCode>
                <c:ptCount val="5"/>
                <c:pt idx="0">
                  <c:v>387251</c:v>
                </c:pt>
                <c:pt idx="1">
                  <c:v>894781</c:v>
                </c:pt>
                <c:pt idx="2">
                  <c:v>267734</c:v>
                </c:pt>
                <c:pt idx="3">
                  <c:v>666149</c:v>
                </c:pt>
                <c:pt idx="4">
                  <c:v>37255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4.2388847735496477E-2"/>
                  <c:y val="-1.1942923378232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('Grays Harbor Pgs 28-29'!$B$61,'Grays Harbor Pgs 28-29'!$B$66,'Grays Harbor Pgs 28-29'!$B$71:$B$73)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('Grays Harbor Pgs 28-29'!$C$65,'Grays Harbor Pgs 28-29'!$C$69,'Grays Harbor Pgs 28-29'!$C$71:$C$73)</c:f>
              <c:numCache>
                <c:formatCode>#,##0</c:formatCode>
                <c:ptCount val="5"/>
                <c:pt idx="0">
                  <c:v>372338</c:v>
                </c:pt>
                <c:pt idx="1">
                  <c:v>1079337</c:v>
                </c:pt>
                <c:pt idx="2">
                  <c:v>563908</c:v>
                </c:pt>
                <c:pt idx="3">
                  <c:v>330268</c:v>
                </c:pt>
                <c:pt idx="4">
                  <c:v>3966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1.4514283275566165E-2"/>
                  <c:y val="6.4763224393905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('Island Pgs 30-31'!$B$61,'Island Pgs 30-31'!$B$66,'Island Pgs 30-31'!$B$71:$B$73)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('Island Pgs 30-31'!$C$65,'Island Pgs 30-31'!$C$69,'Island Pgs 30-31'!$C$71:$C$73)</c:f>
              <c:numCache>
                <c:formatCode>#,##0</c:formatCode>
                <c:ptCount val="5"/>
                <c:pt idx="0">
                  <c:v>443515</c:v>
                </c:pt>
                <c:pt idx="1">
                  <c:v>832269</c:v>
                </c:pt>
                <c:pt idx="2">
                  <c:v>459148</c:v>
                </c:pt>
                <c:pt idx="3">
                  <c:v>1573302</c:v>
                </c:pt>
                <c:pt idx="4">
                  <c:v>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9.8685225322444458E-3"/>
                  <c:y val="4.22025926962176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5418682420794959E-2"/>
                  <c:y val="-7.241429846649879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('Jefferson Pgs 32-33'!$B$61,'Jefferson Pgs 32-33'!$B$66,'Jefferson Pgs 32-33'!$B$71:$B$73)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('Jefferson Pgs 32-33'!$C$65,'Jefferson Pgs 32-33'!$C$69,'Jefferson Pgs 32-33'!$C$71:$C$73)</c:f>
              <c:numCache>
                <c:formatCode>#,##0</c:formatCode>
                <c:ptCount val="5"/>
                <c:pt idx="0">
                  <c:v>746932.34000000008</c:v>
                </c:pt>
                <c:pt idx="1">
                  <c:v>799812.90999999992</c:v>
                </c:pt>
                <c:pt idx="2">
                  <c:v>741851.65</c:v>
                </c:pt>
                <c:pt idx="3">
                  <c:v>1604806.44</c:v>
                </c:pt>
                <c:pt idx="4">
                  <c:v>12058.5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1.7611457104447198E-2"/>
                  <c:y val="6.02510980543675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('Kitsap Pgs 34-35'!$B$61,'Kitsap Pgs 34-35'!$B$66,'Kitsap Pgs 34-35'!$B$71:$B$73)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('Kitsap Pgs 34-35'!$C$65,'Kitsap Pgs 34-35'!$C$69,'Kitsap Pgs 34-35'!$C$71:$C$73)</c:f>
              <c:numCache>
                <c:formatCode>#,##0</c:formatCode>
                <c:ptCount val="5"/>
                <c:pt idx="0">
                  <c:v>2226314</c:v>
                </c:pt>
                <c:pt idx="1">
                  <c:v>1537249</c:v>
                </c:pt>
                <c:pt idx="2">
                  <c:v>557711</c:v>
                </c:pt>
                <c:pt idx="3">
                  <c:v>6115626</c:v>
                </c:pt>
                <c:pt idx="4">
                  <c:v>-364091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3.6194500077734185E-2"/>
                  <c:y val="-3.90156814154575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('Kittitas Pgs 36-37'!$B$61,'Kittitas Pgs 36-37'!$B$66,'Kittitas Pgs 36-37'!$B$71:$B$73)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('Kittitas Pgs 36-37'!$C$65,'Kittitas Pgs 36-37'!$C$69,'Kittitas Pgs 36-37'!$C$71:$C$73)</c:f>
              <c:numCache>
                <c:formatCode>#,##0</c:formatCode>
                <c:ptCount val="5"/>
                <c:pt idx="0">
                  <c:v>245266</c:v>
                </c:pt>
                <c:pt idx="1">
                  <c:v>217791</c:v>
                </c:pt>
                <c:pt idx="2">
                  <c:v>267038</c:v>
                </c:pt>
                <c:pt idx="3">
                  <c:v>538555</c:v>
                </c:pt>
                <c:pt idx="4">
                  <c:v>206052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4.5486021564377623E-2"/>
                  <c:y val="3.84951881014873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4384269039540791E-2"/>
                  <c:y val="-2.1496729152510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('Klickitat Pgs 38-39'!$B$61,'Klickitat Pgs 38-39'!$B$66,'Klickitat Pgs 38-39'!$B$71:$B$73)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('Klickitat Pgs 38-39'!$C$65,'Klickitat Pgs 38-39'!$C$69,'Klickitat Pgs 38-39'!$C$71:$C$73)</c:f>
              <c:numCache>
                <c:formatCode>#,##0</c:formatCode>
                <c:ptCount val="5"/>
                <c:pt idx="0">
                  <c:v>339333</c:v>
                </c:pt>
                <c:pt idx="1">
                  <c:v>376145</c:v>
                </c:pt>
                <c:pt idx="2">
                  <c:v>56271</c:v>
                </c:pt>
                <c:pt idx="3">
                  <c:v>618327</c:v>
                </c:pt>
                <c:pt idx="4">
                  <c:v>7015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6.4069064537664505E-2"/>
                  <c:y val="-9.68686020846378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('Lewis Pgs 40-41'!$B$61,'Lewis Pgs 40-41'!$B$66,'Lewis Pgs 40-41'!$B$71:$B$73)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('Lewis Pgs 40-41'!$C$65,'Lewis Pgs 40-41'!$C$69,'Lewis Pgs 40-41'!$C$71:$C$73)</c:f>
              <c:numCache>
                <c:formatCode>#,##0</c:formatCode>
                <c:ptCount val="5"/>
                <c:pt idx="0">
                  <c:v>1329782</c:v>
                </c:pt>
                <c:pt idx="1">
                  <c:v>1289526</c:v>
                </c:pt>
                <c:pt idx="2">
                  <c:v>876315</c:v>
                </c:pt>
                <c:pt idx="3">
                  <c:v>1845506</c:v>
                </c:pt>
                <c:pt idx="4">
                  <c:v>32224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518880813534497"/>
          <c:y val="0.13452644217345194"/>
          <c:w val="0.43445492099490707"/>
          <c:h val="0.7337204724409518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6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00B0F0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1.128123564924228E-2"/>
                  <c:y val="-1.77304964539007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1884835519315419E-2"/>
                  <c:y val="-3.13137320600882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7446750521760888E-2"/>
                  <c:y val="-1.4184397163120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51395407010823E-2"/>
                  <c:y val="2.48226950354609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6110818651224783E-2"/>
                  <c:y val="5.67375886524823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4606467221469294E-2"/>
                  <c:y val="6.3197492600658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1140182868322114E-3"/>
                  <c:y val="4.75115876472888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4104531385923843E-2"/>
                  <c:y val="2.64755402915061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6.7191595495352419E-2"/>
                  <c:y val="4.25531914893617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5.5428134556574915E-2"/>
                  <c:y val="-1.71291538198013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6.1942252097278015E-2"/>
                  <c:y val="-1.063829787234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'LJH Summary Pg 3-DO NOT INPUT'!$G$2:$N$2</c:f>
              <c:strCache>
                <c:ptCount val="8"/>
                <c:pt idx="0">
                  <c:v>State from DOH</c:v>
                </c:pt>
                <c:pt idx="1">
                  <c:v>County Public Health Assistance</c:v>
                </c:pt>
                <c:pt idx="2">
                  <c:v>State from Other </c:v>
                </c:pt>
                <c:pt idx="3">
                  <c:v>Federal through DOH</c:v>
                </c:pt>
                <c:pt idx="4">
                  <c:v>Federal  from Other</c:v>
                </c:pt>
                <c:pt idx="5">
                  <c:v>Local Government Contributions</c:v>
                </c:pt>
                <c:pt idx="6">
                  <c:v>Licenses, Permits &amp; Fees</c:v>
                </c:pt>
                <c:pt idx="7">
                  <c:v>Misc/Fund Balance/ Other</c:v>
                </c:pt>
              </c:strCache>
            </c:strRef>
          </c:cat>
          <c:val>
            <c:numRef>
              <c:f>'LJH Summary Pg 3-DO NOT INPUT'!$G$38:$N$38</c:f>
              <c:numCache>
                <c:formatCode>#,##0_);[Red]\(#,##0\)</c:formatCode>
                <c:ptCount val="8"/>
                <c:pt idx="0">
                  <c:v>9564361.5199999996</c:v>
                </c:pt>
                <c:pt idx="1">
                  <c:v>35395640.719999999</c:v>
                </c:pt>
                <c:pt idx="2">
                  <c:v>20255195.23</c:v>
                </c:pt>
                <c:pt idx="3">
                  <c:v>48262765.93</c:v>
                </c:pt>
                <c:pt idx="4">
                  <c:v>29476556.23</c:v>
                </c:pt>
                <c:pt idx="5">
                  <c:v>83235556.960000008</c:v>
                </c:pt>
                <c:pt idx="6">
                  <c:v>137436691.66</c:v>
                </c:pt>
                <c:pt idx="7">
                  <c:v>36841383.789999999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&amp;C&amp;"Arial,Bold"&amp;14PUBLIC HEALTH SERVICES-FUNDING OF LOCAL HEALTH JURISDICTIONS 
2010</c:oddHeader>
      <c:oddFooter>&amp;L07/24/12&amp;CPage 4&amp;R 2011 LHJ Funding Summary
Compiled by DOH
Source: BARS A Reports</c:oddFooter>
    </c:headerFooter>
    <c:pageMargins b="0" l="0.25" r="0.25" t="0" header="0.30000000000000032" footer="0.30000000000000032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5.9423303794342783E-2"/>
                  <c:y val="-1.64550497177700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('Lincoln Pgs 42-43'!$B$61,'Lincoln Pgs 42-43'!$B$66,'Lincoln Pgs 42-43'!$B$71:$B$73)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('Lincoln Pgs 42-43'!$C$65,'Lincoln Pgs 42-43'!$C$69,'Lincoln Pgs 42-43'!$C$71:$C$73)</c:f>
              <c:numCache>
                <c:formatCode>#,##0</c:formatCode>
                <c:ptCount val="5"/>
                <c:pt idx="0">
                  <c:v>123521</c:v>
                </c:pt>
                <c:pt idx="1">
                  <c:v>237144</c:v>
                </c:pt>
                <c:pt idx="2">
                  <c:v>95126</c:v>
                </c:pt>
                <c:pt idx="3">
                  <c:v>103360</c:v>
                </c:pt>
                <c:pt idx="4">
                  <c:v>90105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6.2520477623223922E-2"/>
                  <c:y val="1.06177083194549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('Mason Pgs 44-45'!$B$61,'Mason Pgs 44-45'!$B$66,'Mason Pgs 44-45'!$B$71:$B$73)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('Mason Pgs 44-45'!$C$65,'Mason Pgs 44-45'!$C$69,'Mason Pgs 44-45'!$C$71:$C$73)</c:f>
              <c:numCache>
                <c:formatCode>#,##0</c:formatCode>
                <c:ptCount val="5"/>
                <c:pt idx="0">
                  <c:v>450165</c:v>
                </c:pt>
                <c:pt idx="1">
                  <c:v>862449</c:v>
                </c:pt>
                <c:pt idx="2">
                  <c:v>460519</c:v>
                </c:pt>
                <c:pt idx="3">
                  <c:v>517038</c:v>
                </c:pt>
                <c:pt idx="4">
                  <c:v>2310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2.380580476220949E-2"/>
                  <c:y val="4.2202592696217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('Northeast Tri Pgs 46-47'!$B$61,'Northeast Tri Pgs 46-47'!$B$66,'Northeast Tri Pgs 46-47'!$B$71:$B$73)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('Northeast Tri Pgs 46-47'!$C$65,'Northeast Tri Pgs 46-47'!$C$69,'Northeast Tri Pgs 46-47'!$C$71:$C$73)</c:f>
              <c:numCache>
                <c:formatCode>#,##0</c:formatCode>
                <c:ptCount val="5"/>
                <c:pt idx="0">
                  <c:v>366422</c:v>
                </c:pt>
                <c:pt idx="1">
                  <c:v>619843</c:v>
                </c:pt>
                <c:pt idx="2">
                  <c:v>0</c:v>
                </c:pt>
                <c:pt idx="3">
                  <c:v>1167999</c:v>
                </c:pt>
                <c:pt idx="4">
                  <c:v>116496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6.7166238366545644E-2"/>
                  <c:y val="-1.4198986548001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('Okanogan Pgs 48-49'!$B$61,'Okanogan Pgs 48-49'!$B$66,'Okanogan Pgs 48-49'!$B$71:$B$73)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('Okanogan Pgs 48-49'!$C$65,'Okanogan Pgs 48-49'!$C$69,'Okanogan Pgs 48-49'!$C$71:$C$73)</c:f>
              <c:numCache>
                <c:formatCode>#,##0</c:formatCode>
                <c:ptCount val="5"/>
                <c:pt idx="0">
                  <c:v>353825</c:v>
                </c:pt>
                <c:pt idx="1">
                  <c:v>251372</c:v>
                </c:pt>
                <c:pt idx="2">
                  <c:v>112787</c:v>
                </c:pt>
                <c:pt idx="3">
                  <c:v>526983</c:v>
                </c:pt>
                <c:pt idx="4">
                  <c:v>13315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-2.8846153846153848E-2"/>
                  <c:y val="-1.64551010813352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0125185571315778"/>
                  <c:y val="5.36722757371064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194347657762291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3424571928508939E-2"/>
                  <c:y val="4.395592682894333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('Pacific Pgs 50-51'!$B$61,'Pacific Pgs 50-51'!$B$66,'Pacific Pgs 50-51'!$B$71:$B$73)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('Pacific Pgs 50-51'!$C$65,'Pacific Pgs 50-51'!$C$69,'Pacific Pgs 50-51'!$C$71:$C$73)</c:f>
              <c:numCache>
                <c:formatCode>#,##0</c:formatCode>
                <c:ptCount val="5"/>
                <c:pt idx="0">
                  <c:v>284125</c:v>
                </c:pt>
                <c:pt idx="1">
                  <c:v>532546</c:v>
                </c:pt>
                <c:pt idx="2">
                  <c:v>80525</c:v>
                </c:pt>
                <c:pt idx="3">
                  <c:v>8007</c:v>
                </c:pt>
                <c:pt idx="4">
                  <c:v>5568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-2.8846153846153848E-2"/>
                  <c:y val="-1.64551010813352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('San Juan Pgs 52-53'!$B$61,'San Juan Pgs 52-53'!$B$66,'San Juan Pgs 52-53'!$B$71:$B$73)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('San Juan Pgs 52-53'!$C$65,'San Juan Pgs 52-53'!$C$69,'San Juan Pgs 52-53'!$C$71:$C$73)</c:f>
              <c:numCache>
                <c:formatCode>#,##0</c:formatCode>
                <c:ptCount val="5"/>
                <c:pt idx="0">
                  <c:v>974638</c:v>
                </c:pt>
                <c:pt idx="1">
                  <c:v>565656</c:v>
                </c:pt>
                <c:pt idx="2">
                  <c:v>1323159</c:v>
                </c:pt>
                <c:pt idx="3">
                  <c:v>1058571</c:v>
                </c:pt>
                <c:pt idx="4">
                  <c:v>5798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1.7611457104447309E-2"/>
                  <c:y val="-6.3832376282913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('Seattle-King Pgs 54-55'!$B$61,'Seattle-King Pgs 54-55'!$B$66,'Seattle-King Pgs 54-55'!$B$71:$B$73)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('Seattle-King Pgs 54-55'!$C$65,'Seattle-King Pgs 54-55'!$C$69,'Seattle-King Pgs 54-55'!$C$71:$C$73)</c:f>
              <c:numCache>
                <c:formatCode>#,##0</c:formatCode>
                <c:ptCount val="5"/>
                <c:pt idx="0">
                  <c:v>22581674</c:v>
                </c:pt>
                <c:pt idx="1">
                  <c:v>36547380</c:v>
                </c:pt>
                <c:pt idx="2">
                  <c:v>53862944</c:v>
                </c:pt>
                <c:pt idx="3">
                  <c:v>76971956</c:v>
                </c:pt>
                <c:pt idx="4">
                  <c:v>32513325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1.2965696361125592E-2"/>
                  <c:y val="1.73857201859919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9912145128200438E-4"/>
                  <c:y val="-4.62279778479466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('Skagit Pgs 56-57'!$B$61,'Skagit Pgs 56-57'!$B$66,'Skagit Pgs 56-57'!$B$71:$B$73)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('Skagit Pgs 56-57'!$C$65,'Skagit Pgs 56-57'!$C$69,'Skagit Pgs 56-57'!$C$71:$C$73)</c:f>
              <c:numCache>
                <c:formatCode>#,##0</c:formatCode>
                <c:ptCount val="5"/>
                <c:pt idx="0">
                  <c:v>794148.11</c:v>
                </c:pt>
                <c:pt idx="1">
                  <c:v>1326030.83</c:v>
                </c:pt>
                <c:pt idx="2">
                  <c:v>1353826.58</c:v>
                </c:pt>
                <c:pt idx="3">
                  <c:v>1203299</c:v>
                </c:pt>
                <c:pt idx="4">
                  <c:v>3316.7899999999995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4.0840260821055907E-2"/>
                  <c:y val="-5.93202499433764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563435668102463E-2"/>
                  <c:y val="4.03888600219388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3935910450218115E-3"/>
                  <c:y val="-4.635943349720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('Skamania Pgs 58-59'!$B$61,'Skamania Pgs 58-59'!$B$66,'Skamania Pgs 58-59'!$B$71:$B$73)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('Skamania Pgs 58-59'!$C$65,'Skamania Pgs 58-59'!$C$69,'Skamania Pgs 58-59'!$C$71:$C$73)</c:f>
              <c:numCache>
                <c:formatCode>#,##0</c:formatCode>
                <c:ptCount val="5"/>
                <c:pt idx="0">
                  <c:v>140915</c:v>
                </c:pt>
                <c:pt idx="1">
                  <c:v>122459</c:v>
                </c:pt>
                <c:pt idx="2">
                  <c:v>62128</c:v>
                </c:pt>
                <c:pt idx="3">
                  <c:v>110716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8.3199356178038728E-3"/>
                  <c:y val="1.96419609985300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6079697354903808E-2"/>
                  <c:y val="-4.732403373436188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('Snohomish Pgs 60-61'!$B$61,'Snohomish Pgs 60-61'!$B$66,'Snohomish Pgs 60-61'!$B$71:$B$73)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('Snohomish Pgs 60-61'!$C$65,'Snohomish Pgs 60-61'!$C$69,'Snohomish Pgs 60-61'!$C$71:$C$73)</c:f>
              <c:numCache>
                <c:formatCode>#,##0</c:formatCode>
                <c:ptCount val="5"/>
                <c:pt idx="0">
                  <c:v>4272157</c:v>
                </c:pt>
                <c:pt idx="1">
                  <c:v>3655532</c:v>
                </c:pt>
                <c:pt idx="2">
                  <c:v>3153200</c:v>
                </c:pt>
                <c:pt idx="3">
                  <c:v>5593002</c:v>
                </c:pt>
                <c:pt idx="4">
                  <c:v>1052256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5.6326129965461637E-2"/>
                  <c:y val="-2.91867069915752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('Adams Pgs 8-9'!$B$61,'Adams Pgs 8-9'!$B$66,'Adams Pgs 8-9'!$B$71:$B$73)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('Adams Pgs 8-9'!$C$65,'Adams Pgs 8-9'!$C$69,'Adams Pgs 8-9'!$C$71:$C$73)</c:f>
              <c:numCache>
                <c:formatCode>#,##0</c:formatCode>
                <c:ptCount val="5"/>
                <c:pt idx="0">
                  <c:v>196566</c:v>
                </c:pt>
                <c:pt idx="1">
                  <c:v>230712</c:v>
                </c:pt>
                <c:pt idx="2">
                  <c:v>120128</c:v>
                </c:pt>
                <c:pt idx="3">
                  <c:v>152695</c:v>
                </c:pt>
                <c:pt idx="4">
                  <c:v>1068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4.0840260821055963E-2"/>
                  <c:y val="-5.17473386892628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2189573864242579E-2"/>
                  <c:y val="-4.89086072362782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('Spokane Pgs 62-63'!$B$61,'Spokane Pgs 62-63'!$B$66,'Spokane Pgs 62-63'!$B$71:$B$73)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('Spokane Pgs 62-63'!$C$65,'Spokane Pgs 62-63'!$C$69,'Spokane Pgs 62-63'!$C$71:$C$73)</c:f>
              <c:numCache>
                <c:formatCode>#,##0</c:formatCode>
                <c:ptCount val="5"/>
                <c:pt idx="0">
                  <c:v>6509170</c:v>
                </c:pt>
                <c:pt idx="1">
                  <c:v>6674028</c:v>
                </c:pt>
                <c:pt idx="2">
                  <c:v>1542192</c:v>
                </c:pt>
                <c:pt idx="3">
                  <c:v>5784230</c:v>
                </c:pt>
                <c:pt idx="4">
                  <c:v>274652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-2.884615032876988E-2"/>
                  <c:y val="4.44586558659862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3738160778683152E-2"/>
                  <c:y val="-9.40298706316532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('Tacoma-Pierce Pgs 64-65'!$B$61,'Tacoma-Pierce Pgs 64-65'!$B$66,'Tacoma-Pierce Pgs 64-65'!$B$71:$B$73)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('Tacoma-Pierce Pgs 64-65'!$C$65,'Tacoma-Pierce Pgs 64-65'!$C$69,'Tacoma-Pierce Pgs 64-65'!$C$71:$C$73)</c:f>
              <c:numCache>
                <c:formatCode>#,##0</c:formatCode>
                <c:ptCount val="5"/>
                <c:pt idx="0">
                  <c:v>5059265</c:v>
                </c:pt>
                <c:pt idx="1">
                  <c:v>6449551</c:v>
                </c:pt>
                <c:pt idx="2">
                  <c:v>5485281</c:v>
                </c:pt>
                <c:pt idx="3">
                  <c:v>12304068</c:v>
                </c:pt>
                <c:pt idx="4">
                  <c:v>579858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5.7700104560100718E-4"/>
                  <c:y val="5.12268453752925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('Thurston Pgs 66-67'!$B$61,'Thurston Pgs 66-67'!$B$66,'Thurston Pgs 66-67'!$B$71:$B$73)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('Thurston Pgs 66-67'!$C$65,'Thurston Pgs 66-67'!$C$69,'Thurston Pgs 66-67'!$C$71:$C$73)</c:f>
              <c:numCache>
                <c:formatCode>#,##0</c:formatCode>
                <c:ptCount val="5"/>
                <c:pt idx="0">
                  <c:v>1577009</c:v>
                </c:pt>
                <c:pt idx="1">
                  <c:v>1171513</c:v>
                </c:pt>
                <c:pt idx="2">
                  <c:v>1890910</c:v>
                </c:pt>
                <c:pt idx="3">
                  <c:v>3725835</c:v>
                </c:pt>
                <c:pt idx="4">
                  <c:v>78742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-9.0789748842370316E-2"/>
                  <c:y val="-7.43079703869503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('Wahkiakum Pgs 68-69'!$B$61,'Wahkiakum Pgs 68-69'!$B$66,'Wahkiakum Pgs 68-69'!$B$71:$B$73)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('Wahkiakum Pgs 68-69'!$C$65,'Wahkiakum Pgs 68-69'!$C$69,'Wahkiakum Pgs 68-69'!$C$71:$C$73)</c:f>
              <c:numCache>
                <c:formatCode>#,##0</c:formatCode>
                <c:ptCount val="5"/>
                <c:pt idx="0">
                  <c:v>117096</c:v>
                </c:pt>
                <c:pt idx="1">
                  <c:v>154763</c:v>
                </c:pt>
                <c:pt idx="2">
                  <c:v>82579</c:v>
                </c:pt>
                <c:pt idx="3">
                  <c:v>26013</c:v>
                </c:pt>
                <c:pt idx="4">
                  <c:v>68897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-2.884615032876988E-2"/>
                  <c:y val="5.79950348845988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('Walla Walla Pgs 70-71'!$B$61,'Walla Walla Pgs 70-71'!$B$66,'Walla Walla Pgs 70-71'!$B$71:$B$73)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('Walla Walla Pgs 70-71'!$C$65,'Walla Walla Pgs 70-71'!$C$69,'Walla Walla Pgs 70-71'!$C$71:$C$73)</c:f>
              <c:numCache>
                <c:formatCode>#,##0</c:formatCode>
                <c:ptCount val="5"/>
                <c:pt idx="0">
                  <c:v>329411</c:v>
                </c:pt>
                <c:pt idx="1">
                  <c:v>599311</c:v>
                </c:pt>
                <c:pt idx="2">
                  <c:v>388582</c:v>
                </c:pt>
                <c:pt idx="3">
                  <c:v>412802</c:v>
                </c:pt>
                <c:pt idx="4">
                  <c:v>161679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-5.6173466121612848E-3"/>
                  <c:y val="1.06177083194549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846827073445082E-2"/>
                  <c:y val="-4.732403373436188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('Whatcom Pgs 72-73'!$B$61,'Whatcom Pgs 72-73'!$B$66,'Whatcom Pgs 72-73'!$B$71:$B$73)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('Whatcom Pgs 72-73'!$C$65,'Whatcom Pgs 72-73'!$C$69,'Whatcom Pgs 72-73'!$C$71:$C$73)</c:f>
              <c:numCache>
                <c:formatCode>#,##0</c:formatCode>
                <c:ptCount val="5"/>
                <c:pt idx="0">
                  <c:v>6741732</c:v>
                </c:pt>
                <c:pt idx="1">
                  <c:v>1609237</c:v>
                </c:pt>
                <c:pt idx="2">
                  <c:v>4835533</c:v>
                </c:pt>
                <c:pt idx="3">
                  <c:v>3130702</c:v>
                </c:pt>
                <c:pt idx="4">
                  <c:v>61679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-1.4908868098804722E-2"/>
                  <c:y val="6.25071612241363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('Whitman Pgs 74-75'!$B$61,'Whitman Pgs 74-75'!$B$66,'Whitman Pgs 74-75'!$B$71:$B$73)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('Whitman Pgs 74-75'!$C$65,'Whitman Pgs 74-75'!$C$69,'Whitman Pgs 74-75'!$C$71:$C$73)</c:f>
              <c:numCache>
                <c:formatCode>#,##0</c:formatCode>
                <c:ptCount val="5"/>
                <c:pt idx="0">
                  <c:v>199214</c:v>
                </c:pt>
                <c:pt idx="1">
                  <c:v>282377</c:v>
                </c:pt>
                <c:pt idx="2">
                  <c:v>389699</c:v>
                </c:pt>
                <c:pt idx="3">
                  <c:v>245342</c:v>
                </c:pt>
                <c:pt idx="4">
                  <c:v>17772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-2.8846153846153848E-2"/>
                  <c:y val="-1.64551010813352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('Yakima Pgs 76-77'!$B$61,'Yakima Pgs 76-77'!$B$66,'Yakima Pgs 76-77'!$B$71:$B$73)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('Yakima Pgs 76-77'!$C$65,'Yakima Pgs 76-77'!$C$69,'Yakima Pgs 76-77'!$C$71:$C$73)</c:f>
              <c:numCache>
                <c:formatCode>#,##0</c:formatCode>
                <c:ptCount val="5"/>
                <c:pt idx="0">
                  <c:v>1116291</c:v>
                </c:pt>
                <c:pt idx="1">
                  <c:v>309357</c:v>
                </c:pt>
                <c:pt idx="2">
                  <c:v>0</c:v>
                </c:pt>
                <c:pt idx="3">
                  <c:v>1266850</c:v>
                </c:pt>
                <c:pt idx="4">
                  <c:v>34848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-2.8846153846153848E-2"/>
                  <c:y val="-1.64551010813352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('Asotin Pgs 10-11'!$B$61,'Asotin Pgs 10-11'!$B$66,'Asotin Pgs 10-11'!$B$71:$B$73)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('Asotin Pgs 10-11'!$C$65,'Asotin Pgs 10-11'!$C$69,'Asotin Pgs 10-11'!$C$71:$C$73)</c:f>
              <c:numCache>
                <c:formatCode>#,##0</c:formatCode>
                <c:ptCount val="5"/>
                <c:pt idx="0">
                  <c:v>169109</c:v>
                </c:pt>
                <c:pt idx="1">
                  <c:v>239842</c:v>
                </c:pt>
                <c:pt idx="2">
                  <c:v>12500</c:v>
                </c:pt>
                <c:pt idx="3">
                  <c:v>114376</c:v>
                </c:pt>
                <c:pt idx="4">
                  <c:v>3940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5.477754305102106E-2"/>
                  <c:y val="-2.54793023968450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('Benton-Franklin Pgs 12-13'!$B$61,'Benton-Franklin Pgs 12-13'!$B$66,'Benton-Franklin Pgs 12-13'!$B$71:$B$73)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('Benton-Franklin Pgs 12-13'!$C$65,'Benton-Franklin Pgs 12-13'!$C$69,'Benton-Franklin Pgs 12-13'!$C$71:$C$73)</c:f>
              <c:numCache>
                <c:formatCode>#,##0</c:formatCode>
                <c:ptCount val="5"/>
                <c:pt idx="0">
                  <c:v>1708890</c:v>
                </c:pt>
                <c:pt idx="1">
                  <c:v>3725813</c:v>
                </c:pt>
                <c:pt idx="2">
                  <c:v>722711</c:v>
                </c:pt>
                <c:pt idx="3">
                  <c:v>2512460</c:v>
                </c:pt>
                <c:pt idx="4">
                  <c:v>32446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2.2257217847769028E-2"/>
                  <c:y val="3.8495188101488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('Chelan-Douglas Pgs 14-15'!$B$61,'Chelan-Douglas Pgs 14-15'!$B$66,'Chelan-Douglas Pgs 14-15'!$B$71:$B$73)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('Chelan-Douglas Pgs 14-15'!$C$65,'Chelan-Douglas Pgs 14-15'!$C$69,'Chelan-Douglas Pgs 14-15'!$C$71:$C$73)</c:f>
              <c:numCache>
                <c:formatCode>#,##0</c:formatCode>
                <c:ptCount val="5"/>
                <c:pt idx="0">
                  <c:v>547818</c:v>
                </c:pt>
                <c:pt idx="1">
                  <c:v>695395</c:v>
                </c:pt>
                <c:pt idx="2">
                  <c:v>457820</c:v>
                </c:pt>
                <c:pt idx="3">
                  <c:v>1182685</c:v>
                </c:pt>
                <c:pt idx="4">
                  <c:v>6248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1.7611457104447309E-2"/>
                  <c:y val="2.41540873380675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('Clallam Pgs 16-17'!$B$61,'Clallam Pgs 16-17'!$B$66,'Clallam Pgs 16-17'!$B$71:$B$73)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('Clallam Pgs 16-17'!$C$65,'Clallam Pgs 16-17'!$C$69,'Clallam Pgs 16-17'!$C$71:$C$73)</c:f>
              <c:numCache>
                <c:formatCode>#,##0</c:formatCode>
                <c:ptCount val="5"/>
                <c:pt idx="0">
                  <c:v>1491953</c:v>
                </c:pt>
                <c:pt idx="1">
                  <c:v>992619</c:v>
                </c:pt>
                <c:pt idx="2">
                  <c:v>1145584</c:v>
                </c:pt>
                <c:pt idx="3">
                  <c:v>1178860</c:v>
                </c:pt>
                <c:pt idx="4">
                  <c:v>1040414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3.674174874482153E-3"/>
                  <c:y val="2.18980241682987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('Clark Pgs 18-19'!$B$61,'Clark Pgs 18-19'!$B$66,'Clark Pgs 18-19'!$B$71:$B$73)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('Clark Pgs 18-19'!$C$65,'Clark Pgs 18-19'!$C$69,'Clark Pgs 18-19'!$C$71:$C$73)</c:f>
              <c:numCache>
                <c:formatCode>#,##0</c:formatCode>
                <c:ptCount val="5"/>
                <c:pt idx="0">
                  <c:v>2268804.02</c:v>
                </c:pt>
                <c:pt idx="1">
                  <c:v>2071099.4200000002</c:v>
                </c:pt>
                <c:pt idx="2">
                  <c:v>1491448.73</c:v>
                </c:pt>
                <c:pt idx="3">
                  <c:v>3736051.22</c:v>
                </c:pt>
                <c:pt idx="4">
                  <c:v>-4953.4999999999973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-2.8846153846153848E-2"/>
                  <c:y val="-1.64551010813352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28205128205128E-2"/>
                  <c:y val="-1.175364362952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064102564102561E-2"/>
                  <c:y val="-9.4029149036201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('Columbia Pgs 20-21'!$B$61,'Columbia Pgs 20-21'!$B$66,'Columbia Pgs 20-21'!$B$71:$B$73)</c:f>
              <c:strCache>
                <c:ptCount val="5"/>
                <c:pt idx="0">
                  <c:v>Revenue from State</c:v>
                </c:pt>
                <c:pt idx="1">
                  <c:v>Revenue from Federal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Misc/Fund Balance/Other</c:v>
                </c:pt>
              </c:strCache>
            </c:strRef>
          </c:cat>
          <c:val>
            <c:numRef>
              <c:f>('Columbia Pgs 20-21'!$C$65,'Columbia Pgs 20-21'!$C$69,'Columbia Pgs 20-21'!$C$71:$C$73)</c:f>
              <c:numCache>
                <c:formatCode>#,##0</c:formatCode>
                <c:ptCount val="5"/>
                <c:pt idx="0">
                  <c:v>120255</c:v>
                </c:pt>
                <c:pt idx="1">
                  <c:v>160346</c:v>
                </c:pt>
                <c:pt idx="2">
                  <c:v>77711</c:v>
                </c:pt>
                <c:pt idx="3">
                  <c:v>53067</c:v>
                </c:pt>
                <c:pt idx="4">
                  <c:v>7458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1</xdr:row>
      <xdr:rowOff>0</xdr:rowOff>
    </xdr:from>
    <xdr:to>
      <xdr:col>17</xdr:col>
      <xdr:colOff>60960</xdr:colOff>
      <xdr:row>41</xdr:row>
      <xdr:rowOff>68580</xdr:rowOff>
    </xdr:to>
    <xdr:graphicFrame macro="">
      <xdr:nvGraphicFramePr>
        <xdr:cNvPr id="14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178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188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199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209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219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24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754380</xdr:colOff>
      <xdr:row>57</xdr:row>
      <xdr:rowOff>175260</xdr:rowOff>
    </xdr:from>
    <xdr:to>
      <xdr:col>20</xdr:col>
      <xdr:colOff>563880</xdr:colOff>
      <xdr:row>87</xdr:row>
      <xdr:rowOff>30480</xdr:rowOff>
    </xdr:to>
    <xdr:graphicFrame macro="">
      <xdr:nvGraphicFramePr>
        <xdr:cNvPr id="25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0.05093</cdr:x>
      <cdr:y>0.2509</cdr:y>
    </cdr:from>
    <cdr:to>
      <cdr:x>0.25672</cdr:x>
      <cdr:y>0.33638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4325" y="333375"/>
          <a:ext cx="1238250" cy="781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0.05093</cdr:x>
      <cdr:y>0.24848</cdr:y>
    </cdr:from>
    <cdr:to>
      <cdr:x>0.25201</cdr:x>
      <cdr:y>0.40485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14325" y="323850"/>
          <a:ext cx="1209675" cy="1514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0" y="0"/>
          <a:ext cx="1666875" cy="1743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ysClr val="windowText" lastClr="000000"/>
              </a:solidFill>
              <a:latin typeface="Calibri"/>
            </a:rPr>
            <a:t>NOTE: The negative</a:t>
          </a:r>
          <a:r>
            <a:rPr lang="en-US" sz="1100" b="1" baseline="0">
              <a:solidFill>
                <a:sysClr val="windowText" lastClr="000000"/>
              </a:solidFill>
              <a:latin typeface="Calibri"/>
            </a:rPr>
            <a:t> "Misc/Fund Balance/Other" balance causes incorrect percentage values to display in the Excel pie chart and therefore has been omitted.  Please refer  to the left of the graph for the correct percentage values</a:t>
          </a:r>
          <a:r>
            <a:rPr lang="en-US" sz="1100" baseline="0">
              <a:solidFill>
                <a:sysClr val="windowText" lastClr="000000"/>
              </a:solidFill>
              <a:latin typeface="Calibri"/>
            </a:rPr>
            <a:t>.</a:t>
          </a:r>
          <a:endParaRPr lang="en-US" sz="1100">
            <a:solidFill>
              <a:sysClr val="windowText" lastClr="000000"/>
            </a:solidFill>
            <a:latin typeface="Calibri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264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19050</xdr:colOff>
      <xdr:row>57</xdr:row>
      <xdr:rowOff>184786</xdr:rowOff>
    </xdr:from>
    <xdr:ext cx="1741022" cy="2036811"/>
    <xdr:sp macro="" textlink="">
      <xdr:nvSpPr>
        <xdr:cNvPr id="3" name="TextBox 2"/>
        <xdr:cNvSpPr txBox="1"/>
      </xdr:nvSpPr>
      <xdr:spPr>
        <a:xfrm>
          <a:off x="5572125" y="11753851"/>
          <a:ext cx="1733550" cy="20288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NOTE: The negative</a:t>
          </a:r>
          <a:r>
            <a:rPr lang="en-US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"Misc/Fund Balance/Other" balance causes incorrect percentage values to display in the Excel pie chart and therefore has been omitted.  Please refer  to the left of the graph for the correct percentage values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27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76200</xdr:rowOff>
    </xdr:from>
    <xdr:to>
      <xdr:col>7</xdr:col>
      <xdr:colOff>1028700</xdr:colOff>
      <xdr:row>44</xdr:row>
      <xdr:rowOff>121920</xdr:rowOff>
    </xdr:to>
    <xdr:graphicFrame macro="">
      <xdr:nvGraphicFramePr>
        <xdr:cNvPr id="24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</xdr:colOff>
      <xdr:row>58</xdr:row>
      <xdr:rowOff>30480</xdr:rowOff>
    </xdr:from>
    <xdr:to>
      <xdr:col>21</xdr:col>
      <xdr:colOff>38100</xdr:colOff>
      <xdr:row>87</xdr:row>
      <xdr:rowOff>76200</xdr:rowOff>
    </xdr:to>
    <xdr:graphicFrame macro="">
      <xdr:nvGraphicFramePr>
        <xdr:cNvPr id="28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29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30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31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32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33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34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701040</xdr:colOff>
      <xdr:row>87</xdr:row>
      <xdr:rowOff>53340</xdr:rowOff>
    </xdr:to>
    <xdr:graphicFrame macro="">
      <xdr:nvGraphicFramePr>
        <xdr:cNvPr id="35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36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37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58</xdr:row>
      <xdr:rowOff>7620</xdr:rowOff>
    </xdr:from>
    <xdr:to>
      <xdr:col>17</xdr:col>
      <xdr:colOff>693420</xdr:colOff>
      <xdr:row>87</xdr:row>
      <xdr:rowOff>53340</xdr:rowOff>
    </xdr:to>
    <xdr:graphicFrame macro="">
      <xdr:nvGraphicFramePr>
        <xdr:cNvPr id="117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3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39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40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4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58</xdr:row>
      <xdr:rowOff>0</xdr:rowOff>
    </xdr:from>
    <xdr:to>
      <xdr:col>21</xdr:col>
      <xdr:colOff>99060</xdr:colOff>
      <xdr:row>87</xdr:row>
      <xdr:rowOff>45720</xdr:rowOff>
    </xdr:to>
    <xdr:graphicFrame macro="">
      <xdr:nvGraphicFramePr>
        <xdr:cNvPr id="42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43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44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45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46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502920</xdr:colOff>
      <xdr:row>87</xdr:row>
      <xdr:rowOff>53340</xdr:rowOff>
    </xdr:to>
    <xdr:graphicFrame macro="">
      <xdr:nvGraphicFramePr>
        <xdr:cNvPr id="35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127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137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147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158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20</xdr:col>
      <xdr:colOff>693420</xdr:colOff>
      <xdr:row>87</xdr:row>
      <xdr:rowOff>53340</xdr:rowOff>
    </xdr:to>
    <xdr:graphicFrame macro="">
      <xdr:nvGraphicFramePr>
        <xdr:cNvPr id="168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0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1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4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0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1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2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4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5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6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3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3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4.4" x14ac:dyDescent="0.3"/>
  <sheetData>
    <row r="1" spans="1:1" x14ac:dyDescent="0.3">
      <c r="A1" t="s">
        <v>144</v>
      </c>
    </row>
  </sheetData>
  <printOptions horizontalCentered="1"/>
  <pageMargins left="0" right="0" top="1.25" bottom="0.65" header="0.3" footer="0.3"/>
  <pageSetup orientation="landscape" verticalDpi="0" r:id="rId1"/>
  <headerFoot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88"/>
  <sheetViews>
    <sheetView showZeros="0" zoomScaleNormal="100" workbookViewId="0">
      <selection activeCell="B88" sqref="B88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7.33203125" style="199" customWidth="1"/>
    <col min="20" max="20" width="9.6640625" style="200" customWidth="1"/>
  </cols>
  <sheetData>
    <row r="1" spans="1:26" x14ac:dyDescent="0.3">
      <c r="A1" s="22" t="s">
        <v>150</v>
      </c>
      <c r="B1" s="6"/>
      <c r="C1" s="31">
        <v>114000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6" x14ac:dyDescent="0.3">
      <c r="A2" s="80" t="s">
        <v>44</v>
      </c>
      <c r="B2" s="5"/>
      <c r="C2" s="83">
        <v>33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145</v>
      </c>
    </row>
    <row r="3" spans="1:26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6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  <c r="W4" s="202" t="s">
        <v>153</v>
      </c>
      <c r="X4" s="203" t="s">
        <v>82</v>
      </c>
      <c r="Y4" s="202" t="s">
        <v>153</v>
      </c>
      <c r="Z4" s="203" t="s">
        <v>82</v>
      </c>
    </row>
    <row r="5" spans="1:26" ht="15" thickBot="1" x14ac:dyDescent="0.35">
      <c r="A5" s="36">
        <v>562.1</v>
      </c>
      <c r="B5" s="37" t="s">
        <v>47</v>
      </c>
      <c r="C5" s="16">
        <v>790369</v>
      </c>
      <c r="D5" s="14">
        <f>E5+F5+G5+H5+I5+M5+Q5+R5</f>
        <v>548519</v>
      </c>
      <c r="E5" s="236">
        <v>0</v>
      </c>
      <c r="F5" s="256">
        <v>294476</v>
      </c>
      <c r="G5" s="227">
        <v>0</v>
      </c>
      <c r="H5" s="236">
        <v>0</v>
      </c>
      <c r="I5" s="241">
        <v>0</v>
      </c>
      <c r="J5" s="214">
        <f>176368+74371</f>
        <v>250739</v>
      </c>
      <c r="K5" s="214"/>
      <c r="L5" s="214"/>
      <c r="M5" s="9">
        <f>SUM(J5:L5)</f>
        <v>250739</v>
      </c>
      <c r="N5" s="214"/>
      <c r="O5" s="214">
        <v>256</v>
      </c>
      <c r="P5" s="214" t="s">
        <v>154</v>
      </c>
      <c r="Q5" s="214">
        <f>SUM(N5:P5)</f>
        <v>256</v>
      </c>
      <c r="R5" s="236">
        <f>1037+2011</f>
        <v>3048</v>
      </c>
      <c r="S5" s="199">
        <v>361</v>
      </c>
      <c r="T5" s="200">
        <v>1037</v>
      </c>
      <c r="U5" s="211">
        <v>369</v>
      </c>
      <c r="V5" s="211">
        <v>2011</v>
      </c>
      <c r="W5" s="199"/>
      <c r="X5" s="200"/>
      <c r="Y5" s="211"/>
      <c r="Z5" s="211"/>
    </row>
    <row r="6" spans="1:26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 t="s">
        <v>154</v>
      </c>
      <c r="M6" s="9">
        <f t="shared" ref="M6:M55" si="0">SUM(J6:L6)</f>
        <v>0</v>
      </c>
      <c r="N6" s="217"/>
      <c r="O6" s="217"/>
      <c r="P6" s="217" t="s">
        <v>154</v>
      </c>
      <c r="Q6" s="214">
        <f t="shared" ref="Q6:Q55" si="1">SUM(N6:P6)</f>
        <v>0</v>
      </c>
      <c r="R6" s="231"/>
      <c r="U6" s="199"/>
      <c r="V6" s="200"/>
      <c r="W6" s="199"/>
      <c r="X6" s="200"/>
    </row>
    <row r="7" spans="1:26" ht="15" thickBot="1" x14ac:dyDescent="0.35">
      <c r="A7" s="39">
        <v>562.22</v>
      </c>
      <c r="B7" s="82" t="s">
        <v>92</v>
      </c>
      <c r="C7" s="15">
        <v>16269</v>
      </c>
      <c r="D7" s="14">
        <f t="shared" ref="D7:D55" si="2">E7+F7+G7+H7+I7+M7+Q7+R7</f>
        <v>14855</v>
      </c>
      <c r="E7" s="231"/>
      <c r="F7" s="257">
        <v>2086</v>
      </c>
      <c r="G7" s="228"/>
      <c r="H7" s="231"/>
      <c r="I7" s="219">
        <v>5491</v>
      </c>
      <c r="J7" s="217">
        <f>3755+3523</f>
        <v>7278</v>
      </c>
      <c r="K7" s="217"/>
      <c r="L7" s="217"/>
      <c r="M7" s="9">
        <f t="shared" si="0"/>
        <v>7278</v>
      </c>
      <c r="N7" s="217"/>
      <c r="O7" s="217"/>
      <c r="P7" s="217" t="s">
        <v>154</v>
      </c>
      <c r="Q7" s="214">
        <f t="shared" si="1"/>
        <v>0</v>
      </c>
      <c r="R7" s="231"/>
      <c r="U7" s="199"/>
      <c r="V7" s="200"/>
      <c r="W7" s="199"/>
      <c r="X7" s="200"/>
    </row>
    <row r="8" spans="1:26" ht="15" thickBot="1" x14ac:dyDescent="0.35">
      <c r="A8" s="39">
        <v>562.24</v>
      </c>
      <c r="B8" s="40" t="s">
        <v>49</v>
      </c>
      <c r="C8" s="15">
        <v>38140</v>
      </c>
      <c r="D8" s="14">
        <f t="shared" si="2"/>
        <v>39983</v>
      </c>
      <c r="E8" s="231"/>
      <c r="F8" s="257">
        <v>2295</v>
      </c>
      <c r="G8" s="228">
        <v>14625</v>
      </c>
      <c r="H8" s="231"/>
      <c r="I8" s="219">
        <v>16473</v>
      </c>
      <c r="J8" s="217">
        <f>2701+1186</f>
        <v>3887</v>
      </c>
      <c r="K8" s="217"/>
      <c r="L8" s="217"/>
      <c r="M8" s="9">
        <f t="shared" si="0"/>
        <v>3887</v>
      </c>
      <c r="N8" s="217"/>
      <c r="O8" s="217">
        <v>2703</v>
      </c>
      <c r="P8" s="217"/>
      <c r="Q8" s="214">
        <f t="shared" si="1"/>
        <v>2703</v>
      </c>
      <c r="R8" s="231"/>
      <c r="U8" s="199"/>
      <c r="V8" s="200"/>
      <c r="W8" s="199"/>
      <c r="X8" s="200"/>
    </row>
    <row r="9" spans="1:26" ht="15" thickBot="1" x14ac:dyDescent="0.35">
      <c r="A9" s="39">
        <v>562.25</v>
      </c>
      <c r="B9" s="82" t="s">
        <v>93</v>
      </c>
      <c r="C9" s="15">
        <v>144493</v>
      </c>
      <c r="D9" s="14">
        <f t="shared" si="2"/>
        <v>147149</v>
      </c>
      <c r="E9" s="231"/>
      <c r="F9" s="257">
        <v>6313</v>
      </c>
      <c r="G9" s="228"/>
      <c r="H9" s="231">
        <v>124754</v>
      </c>
      <c r="I9" s="219">
        <v>6805</v>
      </c>
      <c r="J9" s="217">
        <f>4945+3367</f>
        <v>8312</v>
      </c>
      <c r="K9" s="217"/>
      <c r="L9" s="217"/>
      <c r="M9" s="9">
        <f t="shared" si="0"/>
        <v>8312</v>
      </c>
      <c r="N9" s="217"/>
      <c r="O9" s="217">
        <v>965</v>
      </c>
      <c r="P9" s="217"/>
      <c r="Q9" s="214">
        <f t="shared" si="1"/>
        <v>965</v>
      </c>
      <c r="R9" s="231"/>
      <c r="U9" s="199"/>
      <c r="V9" s="200"/>
      <c r="W9" s="199"/>
      <c r="X9" s="200"/>
    </row>
    <row r="10" spans="1:26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U10" s="199"/>
      <c r="V10" s="200"/>
      <c r="W10" s="199"/>
      <c r="X10" s="200"/>
    </row>
    <row r="11" spans="1:26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U11" s="199"/>
      <c r="V11" s="200"/>
      <c r="W11" s="199"/>
      <c r="X11" s="200"/>
    </row>
    <row r="12" spans="1:26" ht="15" thickBot="1" x14ac:dyDescent="0.35">
      <c r="A12" s="39">
        <v>562.28</v>
      </c>
      <c r="B12" s="82" t="s">
        <v>94</v>
      </c>
      <c r="C12" s="15">
        <v>200726</v>
      </c>
      <c r="D12" s="14">
        <f t="shared" si="2"/>
        <v>195987</v>
      </c>
      <c r="E12" s="231"/>
      <c r="F12" s="257">
        <v>999</v>
      </c>
      <c r="G12" s="228"/>
      <c r="H12" s="231">
        <f>194081+198</f>
        <v>194279</v>
      </c>
      <c r="I12" s="219">
        <v>164</v>
      </c>
      <c r="J12" s="217">
        <f>240+105</f>
        <v>345</v>
      </c>
      <c r="K12" s="217"/>
      <c r="L12" s="217"/>
      <c r="M12" s="9">
        <f t="shared" si="0"/>
        <v>345</v>
      </c>
      <c r="N12" s="217"/>
      <c r="O12" s="217">
        <v>200</v>
      </c>
      <c r="P12" s="217"/>
      <c r="Q12" s="214">
        <f t="shared" si="1"/>
        <v>200</v>
      </c>
      <c r="R12" s="231"/>
      <c r="U12" s="199"/>
      <c r="V12" s="200"/>
      <c r="W12" s="199"/>
      <c r="X12" s="200"/>
    </row>
    <row r="13" spans="1:26" ht="15" thickBot="1" x14ac:dyDescent="0.35">
      <c r="A13" s="39">
        <v>562.29</v>
      </c>
      <c r="B13" s="82" t="s">
        <v>86</v>
      </c>
      <c r="C13" s="15"/>
      <c r="D13" s="14">
        <f t="shared" si="2"/>
        <v>0</v>
      </c>
      <c r="E13" s="231"/>
      <c r="F13" s="257"/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/>
      <c r="P13" s="217"/>
      <c r="Q13" s="214">
        <f t="shared" si="1"/>
        <v>0</v>
      </c>
      <c r="R13" s="231"/>
      <c r="U13" s="199"/>
      <c r="V13" s="200"/>
      <c r="W13" s="199"/>
      <c r="X13" s="200"/>
    </row>
    <row r="14" spans="1:26" ht="15" thickBot="1" x14ac:dyDescent="0.35">
      <c r="A14" s="39">
        <v>562.32000000000005</v>
      </c>
      <c r="B14" s="40" t="s">
        <v>50</v>
      </c>
      <c r="C14" s="15">
        <v>163498</v>
      </c>
      <c r="D14" s="14">
        <f t="shared" si="2"/>
        <v>165939</v>
      </c>
      <c r="E14" s="231"/>
      <c r="F14" s="257">
        <v>44920</v>
      </c>
      <c r="G14" s="228"/>
      <c r="H14" s="231">
        <f>23348+71+168+19934</f>
        <v>43521</v>
      </c>
      <c r="I14" s="219"/>
      <c r="J14" s="217">
        <f>48456+19690</f>
        <v>68146</v>
      </c>
      <c r="K14" s="217"/>
      <c r="L14" s="217"/>
      <c r="M14" s="9">
        <f t="shared" si="0"/>
        <v>68146</v>
      </c>
      <c r="N14" s="217"/>
      <c r="O14" s="217">
        <v>9352</v>
      </c>
      <c r="P14" s="217"/>
      <c r="Q14" s="214">
        <f t="shared" si="1"/>
        <v>9352</v>
      </c>
      <c r="R14" s="231"/>
      <c r="U14" s="199"/>
      <c r="V14" s="200"/>
      <c r="W14" s="199"/>
      <c r="X14" s="200"/>
    </row>
    <row r="15" spans="1:26" ht="15" thickBot="1" x14ac:dyDescent="0.35">
      <c r="A15" s="39">
        <v>562.33000000000004</v>
      </c>
      <c r="B15" s="82" t="s">
        <v>95</v>
      </c>
      <c r="C15" s="15"/>
      <c r="D15" s="14">
        <f t="shared" si="2"/>
        <v>0</v>
      </c>
      <c r="E15" s="231"/>
      <c r="F15" s="257"/>
      <c r="G15" s="228"/>
      <c r="H15" s="231"/>
      <c r="I15" s="219"/>
      <c r="J15" s="217"/>
      <c r="K15" s="217"/>
      <c r="L15" s="217"/>
      <c r="M15" s="9">
        <f t="shared" si="0"/>
        <v>0</v>
      </c>
      <c r="N15" s="217"/>
      <c r="O15" s="217"/>
      <c r="P15" s="217"/>
      <c r="Q15" s="214">
        <f t="shared" si="1"/>
        <v>0</v>
      </c>
      <c r="R15" s="231"/>
      <c r="U15" s="199"/>
      <c r="V15" s="200"/>
      <c r="W15" s="199"/>
      <c r="X15" s="200"/>
    </row>
    <row r="16" spans="1:26" ht="15" thickBot="1" x14ac:dyDescent="0.35">
      <c r="A16" s="39">
        <v>562.34</v>
      </c>
      <c r="B16" s="40" t="s">
        <v>51</v>
      </c>
      <c r="C16" s="15">
        <v>110320</v>
      </c>
      <c r="D16" s="14">
        <f t="shared" si="2"/>
        <v>102463</v>
      </c>
      <c r="E16" s="231"/>
      <c r="F16" s="257">
        <v>6829</v>
      </c>
      <c r="G16" s="228"/>
      <c r="H16" s="231">
        <v>68</v>
      </c>
      <c r="I16" s="219">
        <v>12176</v>
      </c>
      <c r="J16" s="217">
        <f>52811+23189+2794+2813</f>
        <v>81607</v>
      </c>
      <c r="K16" s="217"/>
      <c r="L16" s="217"/>
      <c r="M16" s="9">
        <f t="shared" si="0"/>
        <v>81607</v>
      </c>
      <c r="N16" s="217"/>
      <c r="O16" s="217">
        <v>1783</v>
      </c>
      <c r="P16" s="217"/>
      <c r="Q16" s="214">
        <f t="shared" si="1"/>
        <v>1783</v>
      </c>
      <c r="R16" s="231"/>
      <c r="U16" s="199"/>
      <c r="V16" s="200"/>
      <c r="W16" s="199"/>
      <c r="X16" s="200"/>
      <c r="Y16" s="199"/>
      <c r="Z16" s="200"/>
    </row>
    <row r="17" spans="1:24" ht="15" thickBot="1" x14ac:dyDescent="0.35">
      <c r="A17" s="39">
        <v>562.35</v>
      </c>
      <c r="B17" s="40" t="s">
        <v>52</v>
      </c>
      <c r="C17" s="15"/>
      <c r="D17" s="14">
        <f t="shared" si="2"/>
        <v>0</v>
      </c>
      <c r="E17" s="231"/>
      <c r="F17" s="257"/>
      <c r="G17" s="228"/>
      <c r="H17" s="231"/>
      <c r="I17" s="219"/>
      <c r="J17" s="217"/>
      <c r="K17" s="217"/>
      <c r="L17" s="217"/>
      <c r="M17" s="9">
        <f t="shared" si="0"/>
        <v>0</v>
      </c>
      <c r="N17" s="217"/>
      <c r="O17" s="217"/>
      <c r="P17" s="217"/>
      <c r="Q17" s="214">
        <f t="shared" si="1"/>
        <v>0</v>
      </c>
      <c r="R17" s="231"/>
    </row>
    <row r="18" spans="1:24" ht="15" thickBot="1" x14ac:dyDescent="0.35">
      <c r="A18" s="39">
        <v>562.39</v>
      </c>
      <c r="B18" s="40" t="s">
        <v>53</v>
      </c>
      <c r="C18" s="15">
        <v>96316</v>
      </c>
      <c r="D18" s="14">
        <f t="shared" si="2"/>
        <v>96183</v>
      </c>
      <c r="E18" s="231"/>
      <c r="F18" s="257">
        <v>40844</v>
      </c>
      <c r="G18" s="228"/>
      <c r="H18" s="231"/>
      <c r="I18" s="219">
        <v>17833</v>
      </c>
      <c r="J18" s="217">
        <f>26062+11444</f>
        <v>37506</v>
      </c>
      <c r="K18" s="217"/>
      <c r="L18" s="217"/>
      <c r="M18" s="9">
        <f t="shared" si="0"/>
        <v>37506</v>
      </c>
      <c r="N18" s="217"/>
      <c r="O18" s="217"/>
      <c r="P18" s="217"/>
      <c r="Q18" s="214">
        <f t="shared" si="1"/>
        <v>0</v>
      </c>
      <c r="R18" s="231"/>
      <c r="U18" s="199"/>
      <c r="V18" s="200"/>
      <c r="W18" s="199"/>
      <c r="X18" s="200"/>
    </row>
    <row r="19" spans="1:24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  <c r="U19" s="199"/>
      <c r="V19" s="200"/>
      <c r="W19" s="199"/>
      <c r="X19" s="200"/>
    </row>
    <row r="20" spans="1:24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U20" s="199"/>
      <c r="V20" s="200"/>
      <c r="W20" s="199"/>
      <c r="X20" s="200"/>
    </row>
    <row r="21" spans="1:24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  <c r="U21" s="199"/>
      <c r="V21" s="200"/>
      <c r="W21" s="199"/>
      <c r="X21" s="200"/>
    </row>
    <row r="22" spans="1:24" ht="15" thickBot="1" x14ac:dyDescent="0.35">
      <c r="A22" s="39">
        <v>562.44000000000005</v>
      </c>
      <c r="B22" s="82" t="s">
        <v>97</v>
      </c>
      <c r="C22" s="15">
        <v>0</v>
      </c>
      <c r="D22" s="14"/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  <c r="U22" s="199"/>
      <c r="V22" s="200"/>
      <c r="W22" s="199"/>
      <c r="X22" s="200"/>
    </row>
    <row r="23" spans="1:24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U23" s="199"/>
      <c r="V23" s="200"/>
      <c r="W23" s="199"/>
      <c r="X23" s="200"/>
    </row>
    <row r="24" spans="1:24" ht="15" thickBot="1" x14ac:dyDescent="0.35">
      <c r="A24" s="39">
        <v>562.49</v>
      </c>
      <c r="B24" s="82" t="s">
        <v>87</v>
      </c>
      <c r="C24" s="15">
        <v>10601</v>
      </c>
      <c r="D24" s="14">
        <f t="shared" si="2"/>
        <v>10228</v>
      </c>
      <c r="E24" s="231"/>
      <c r="F24" s="257"/>
      <c r="G24" s="228"/>
      <c r="H24" s="231">
        <v>1723</v>
      </c>
      <c r="I24" s="219">
        <v>8505</v>
      </c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  <c r="U24" s="199"/>
      <c r="V24" s="200"/>
      <c r="W24" s="199"/>
      <c r="X24" s="200"/>
    </row>
    <row r="25" spans="1:24" ht="15" thickBot="1" x14ac:dyDescent="0.35">
      <c r="A25" s="39">
        <v>562.52</v>
      </c>
      <c r="B25" s="40" t="s">
        <v>56</v>
      </c>
      <c r="C25" s="15">
        <v>55770</v>
      </c>
      <c r="D25" s="14">
        <f t="shared" si="2"/>
        <v>93064</v>
      </c>
      <c r="E25" s="231"/>
      <c r="F25" s="257"/>
      <c r="G25" s="228"/>
      <c r="H25" s="231"/>
      <c r="I25" s="219"/>
      <c r="J25" s="217"/>
      <c r="K25" s="217"/>
      <c r="L25" s="217"/>
      <c r="M25" s="9">
        <f t="shared" si="0"/>
        <v>0</v>
      </c>
      <c r="N25" s="217">
        <v>21060</v>
      </c>
      <c r="O25" s="217">
        <f>9750+1467+10701+50086</f>
        <v>72004</v>
      </c>
      <c r="P25" s="217"/>
      <c r="Q25" s="214">
        <f t="shared" si="1"/>
        <v>93064</v>
      </c>
      <c r="R25" s="231"/>
      <c r="U25" s="199"/>
      <c r="V25" s="200"/>
      <c r="W25" s="199"/>
      <c r="X25" s="200"/>
    </row>
    <row r="26" spans="1:24" ht="15" thickBot="1" x14ac:dyDescent="0.35">
      <c r="A26" s="39">
        <v>562.53</v>
      </c>
      <c r="B26" s="82" t="s">
        <v>99</v>
      </c>
      <c r="C26" s="15">
        <v>190312</v>
      </c>
      <c r="D26" s="14">
        <f t="shared" si="2"/>
        <v>245198</v>
      </c>
      <c r="E26" s="231"/>
      <c r="F26" s="257"/>
      <c r="G26" s="228">
        <v>121271</v>
      </c>
      <c r="H26" s="231"/>
      <c r="I26" s="219"/>
      <c r="J26" s="217"/>
      <c r="K26" s="217"/>
      <c r="L26" s="217"/>
      <c r="M26" s="9">
        <f t="shared" si="0"/>
        <v>0</v>
      </c>
      <c r="N26" s="217">
        <v>10973</v>
      </c>
      <c r="O26" s="217">
        <v>113204</v>
      </c>
      <c r="P26" s="217">
        <v>-250</v>
      </c>
      <c r="Q26" s="214">
        <f t="shared" si="1"/>
        <v>123927</v>
      </c>
      <c r="R26" s="231"/>
      <c r="U26" s="199"/>
      <c r="V26" s="200"/>
      <c r="W26" s="199"/>
      <c r="X26" s="200"/>
    </row>
    <row r="27" spans="1:24" ht="15" thickBot="1" x14ac:dyDescent="0.35">
      <c r="A27" s="39">
        <v>562.54</v>
      </c>
      <c r="B27" s="82" t="s">
        <v>100</v>
      </c>
      <c r="C27" s="15">
        <v>313633</v>
      </c>
      <c r="D27" s="14">
        <f t="shared" si="2"/>
        <v>318885</v>
      </c>
      <c r="E27" s="231"/>
      <c r="F27" s="257"/>
      <c r="G27" s="228"/>
      <c r="H27" s="231"/>
      <c r="I27" s="219"/>
      <c r="J27" s="217"/>
      <c r="K27" s="217"/>
      <c r="L27" s="217"/>
      <c r="M27" s="9">
        <f t="shared" si="0"/>
        <v>0</v>
      </c>
      <c r="N27" s="217">
        <f>21880+215827</f>
        <v>237707</v>
      </c>
      <c r="O27" s="217">
        <v>80428</v>
      </c>
      <c r="P27" s="217">
        <v>750</v>
      </c>
      <c r="Q27" s="214">
        <f t="shared" si="1"/>
        <v>318885</v>
      </c>
      <c r="R27" s="231"/>
      <c r="U27" s="199"/>
      <c r="V27" s="200"/>
      <c r="W27" s="199"/>
      <c r="X27" s="200"/>
    </row>
    <row r="28" spans="1:24" ht="15" thickBot="1" x14ac:dyDescent="0.35">
      <c r="A28" s="39">
        <v>562.54999999999995</v>
      </c>
      <c r="B28" s="40" t="s">
        <v>57</v>
      </c>
      <c r="C28" s="15"/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  <c r="U28" s="199"/>
      <c r="V28" s="200"/>
      <c r="W28" s="199"/>
      <c r="X28" s="200"/>
    </row>
    <row r="29" spans="1:24" ht="15" thickBot="1" x14ac:dyDescent="0.35">
      <c r="A29" s="39">
        <v>562.55999999999995</v>
      </c>
      <c r="B29" s="40" t="s">
        <v>58</v>
      </c>
      <c r="C29" s="15">
        <v>469160</v>
      </c>
      <c r="D29" s="14">
        <f t="shared" si="2"/>
        <v>478019</v>
      </c>
      <c r="E29" s="231"/>
      <c r="F29" s="257"/>
      <c r="G29" s="228"/>
      <c r="H29" s="231"/>
      <c r="I29" s="219"/>
      <c r="J29" s="217"/>
      <c r="K29" s="217"/>
      <c r="L29" s="217"/>
      <c r="M29" s="9">
        <f t="shared" si="0"/>
        <v>0</v>
      </c>
      <c r="N29" s="217">
        <v>383534</v>
      </c>
      <c r="O29" s="217">
        <v>93735</v>
      </c>
      <c r="P29" s="217">
        <v>750</v>
      </c>
      <c r="Q29" s="214">
        <f t="shared" si="1"/>
        <v>478019</v>
      </c>
      <c r="R29" s="231"/>
      <c r="U29" s="199"/>
      <c r="V29" s="200"/>
      <c r="W29" s="199"/>
      <c r="X29" s="200"/>
    </row>
    <row r="30" spans="1:24" ht="15" thickBot="1" x14ac:dyDescent="0.35">
      <c r="A30" s="39">
        <v>562.57000000000005</v>
      </c>
      <c r="B30" s="82" t="s">
        <v>101</v>
      </c>
      <c r="C30" s="15">
        <v>12371</v>
      </c>
      <c r="D30" s="14">
        <f t="shared" si="2"/>
        <v>35283</v>
      </c>
      <c r="E30" s="231"/>
      <c r="F30" s="257"/>
      <c r="G30" s="228">
        <v>11579</v>
      </c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>
        <v>23704</v>
      </c>
      <c r="Q30" s="214">
        <f t="shared" si="1"/>
        <v>23704</v>
      </c>
      <c r="R30" s="231"/>
      <c r="U30" s="199"/>
      <c r="V30" s="200"/>
      <c r="W30" s="199"/>
      <c r="X30" s="200"/>
    </row>
    <row r="31" spans="1:24" ht="15" thickBot="1" x14ac:dyDescent="0.35">
      <c r="A31" s="39">
        <v>562.58000000000004</v>
      </c>
      <c r="B31" s="82" t="s">
        <v>88</v>
      </c>
      <c r="C31" s="15">
        <v>30148</v>
      </c>
      <c r="D31" s="14">
        <f t="shared" si="2"/>
        <v>55823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v>55823</v>
      </c>
      <c r="O31" s="217"/>
      <c r="P31" s="217"/>
      <c r="Q31" s="214">
        <f t="shared" si="1"/>
        <v>55823</v>
      </c>
      <c r="R31" s="231"/>
      <c r="U31" s="199"/>
      <c r="V31" s="200"/>
      <c r="W31" s="199"/>
      <c r="X31" s="200"/>
    </row>
    <row r="32" spans="1:24" ht="15" thickBot="1" x14ac:dyDescent="0.35">
      <c r="A32" s="39">
        <v>562.59</v>
      </c>
      <c r="B32" s="82" t="s">
        <v>89</v>
      </c>
      <c r="C32" s="15">
        <v>0</v>
      </c>
      <c r="D32" s="14"/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  <c r="U32" s="199"/>
      <c r="V32" s="200"/>
      <c r="W32" s="199"/>
      <c r="X32" s="200"/>
    </row>
    <row r="33" spans="1:24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  <c r="U33" s="199"/>
      <c r="V33" s="200"/>
      <c r="W33" s="199"/>
      <c r="X33" s="200"/>
    </row>
    <row r="34" spans="1:24" ht="15" thickBot="1" x14ac:dyDescent="0.35">
      <c r="A34" s="39">
        <v>562.71</v>
      </c>
      <c r="B34" s="40" t="s">
        <v>60</v>
      </c>
      <c r="C34" s="15">
        <v>65224</v>
      </c>
      <c r="D34" s="14">
        <f t="shared" si="2"/>
        <v>74004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74004</v>
      </c>
      <c r="P34" s="217"/>
      <c r="Q34" s="214">
        <f t="shared" si="1"/>
        <v>74004</v>
      </c>
      <c r="R34" s="231"/>
      <c r="U34" s="199"/>
      <c r="V34" s="200"/>
      <c r="W34" s="199"/>
      <c r="X34" s="200"/>
    </row>
    <row r="35" spans="1:24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U35" s="199"/>
      <c r="V35" s="200"/>
      <c r="W35" s="199"/>
      <c r="X35" s="200"/>
    </row>
    <row r="36" spans="1:24" ht="15" thickBot="1" x14ac:dyDescent="0.35">
      <c r="A36" s="39">
        <v>562.73</v>
      </c>
      <c r="B36" s="40" t="s">
        <v>62</v>
      </c>
      <c r="C36" s="15"/>
      <c r="D36" s="14">
        <f t="shared" si="2"/>
        <v>3200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>
        <v>3200</v>
      </c>
      <c r="S36" s="199">
        <v>367</v>
      </c>
      <c r="T36" s="200">
        <v>3200</v>
      </c>
      <c r="U36" s="199"/>
      <c r="V36" s="200"/>
      <c r="W36" s="199"/>
      <c r="X36" s="200"/>
    </row>
    <row r="37" spans="1:24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U37" s="199"/>
      <c r="V37" s="200"/>
      <c r="W37" s="199"/>
      <c r="X37" s="200"/>
    </row>
    <row r="38" spans="1:24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U38" s="199"/>
      <c r="V38" s="200"/>
      <c r="W38" s="199"/>
      <c r="X38" s="200"/>
    </row>
    <row r="39" spans="1:24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U39" s="199"/>
      <c r="V39" s="200"/>
      <c r="W39" s="199"/>
      <c r="X39" s="200"/>
    </row>
    <row r="40" spans="1:24" ht="15" thickBot="1" x14ac:dyDescent="0.35">
      <c r="A40" s="39">
        <v>562.79999999999995</v>
      </c>
      <c r="B40" s="40" t="s">
        <v>65</v>
      </c>
      <c r="C40" s="15">
        <v>1432</v>
      </c>
      <c r="D40" s="14">
        <f t="shared" si="2"/>
        <v>871</v>
      </c>
      <c r="E40" s="231"/>
      <c r="F40" s="257">
        <v>871</v>
      </c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  <c r="U40" s="199"/>
      <c r="V40" s="200"/>
      <c r="W40" s="199"/>
      <c r="X40" s="200"/>
    </row>
    <row r="41" spans="1:24" ht="15" thickBot="1" x14ac:dyDescent="0.35">
      <c r="A41" s="39">
        <v>562.88</v>
      </c>
      <c r="B41" s="82" t="s">
        <v>91</v>
      </c>
      <c r="C41" s="15">
        <v>288986</v>
      </c>
      <c r="D41" s="14">
        <f t="shared" si="2"/>
        <v>249544</v>
      </c>
      <c r="E41" s="231"/>
      <c r="F41" s="257"/>
      <c r="G41" s="228"/>
      <c r="H41" s="231">
        <v>68320</v>
      </c>
      <c r="I41" s="219">
        <v>181224</v>
      </c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/>
      <c r="U41" s="199"/>
      <c r="V41" s="200"/>
      <c r="W41" s="199"/>
      <c r="X41" s="200"/>
    </row>
    <row r="42" spans="1:24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U42" s="199"/>
      <c r="V42" s="200"/>
      <c r="W42" s="199"/>
      <c r="X42" s="200"/>
    </row>
    <row r="43" spans="1:24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U43" s="199"/>
      <c r="V43" s="200"/>
      <c r="W43" s="199"/>
      <c r="X43" s="200"/>
    </row>
    <row r="44" spans="1:24" x14ac:dyDescent="0.3">
      <c r="A44" s="206" t="s">
        <v>110</v>
      </c>
      <c r="B44" s="207" t="s">
        <v>68</v>
      </c>
      <c r="C44" s="208">
        <f>SUM(C5:C43)</f>
        <v>2997768</v>
      </c>
      <c r="D44" s="205">
        <f>E44+F44+G44+H44+I44+M44+Q44+R44</f>
        <v>2875197</v>
      </c>
      <c r="E44" s="233">
        <f t="shared" ref="E44:R44" si="3">SUM(E5:E43)</f>
        <v>0</v>
      </c>
      <c r="F44" s="259">
        <f t="shared" si="3"/>
        <v>399633</v>
      </c>
      <c r="G44" s="223">
        <f t="shared" si="3"/>
        <v>147475</v>
      </c>
      <c r="H44" s="233">
        <f t="shared" si="3"/>
        <v>432665</v>
      </c>
      <c r="I44" s="239">
        <f t="shared" si="3"/>
        <v>248671</v>
      </c>
      <c r="J44" s="245">
        <f>SUM(J5:J43)</f>
        <v>457820</v>
      </c>
      <c r="K44" s="245">
        <f>SUM(K5:K43)</f>
        <v>0</v>
      </c>
      <c r="L44" s="245">
        <f>SUM(L5:L43)</f>
        <v>0</v>
      </c>
      <c r="M44" s="208">
        <f t="shared" si="3"/>
        <v>457820</v>
      </c>
      <c r="N44" s="245">
        <f>SUM(N5:N43)</f>
        <v>709097</v>
      </c>
      <c r="O44" s="245">
        <f>SUM(O5:O43)</f>
        <v>448634</v>
      </c>
      <c r="P44" s="245">
        <f>SUM(P5:P43)</f>
        <v>24954</v>
      </c>
      <c r="Q44" s="216">
        <f t="shared" si="3"/>
        <v>1182685</v>
      </c>
      <c r="R44" s="233">
        <f t="shared" si="3"/>
        <v>6248</v>
      </c>
      <c r="U44" s="199"/>
      <c r="V44" s="200"/>
      <c r="W44" s="199"/>
      <c r="X44" s="200"/>
    </row>
    <row r="45" spans="1:24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U45" s="199"/>
      <c r="V45" s="200"/>
      <c r="W45" s="199"/>
      <c r="X45" s="200"/>
    </row>
    <row r="46" spans="1:24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U46" s="199"/>
      <c r="V46" s="200"/>
      <c r="W46" s="199"/>
      <c r="X46" s="200"/>
    </row>
    <row r="47" spans="1:24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U47" s="199"/>
      <c r="V47" s="200"/>
      <c r="W47" s="199"/>
      <c r="X47" s="200"/>
    </row>
    <row r="48" spans="1:24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U48" s="199"/>
      <c r="V48" s="200"/>
      <c r="W48" s="199"/>
      <c r="X48" s="200"/>
    </row>
    <row r="49" spans="1:24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U49" s="199"/>
      <c r="V49" s="200"/>
      <c r="W49" s="199"/>
      <c r="X49" s="200"/>
    </row>
    <row r="50" spans="1:24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U50" s="199"/>
      <c r="V50" s="200"/>
      <c r="W50" s="199"/>
      <c r="X50" s="200"/>
    </row>
    <row r="51" spans="1:24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U51" s="199"/>
      <c r="V51" s="200"/>
      <c r="W51" s="199"/>
      <c r="X51" s="200"/>
    </row>
    <row r="52" spans="1:24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U52" s="199"/>
      <c r="V52" s="200"/>
      <c r="W52" s="199"/>
      <c r="X52" s="200"/>
    </row>
    <row r="53" spans="1:24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  <c r="U53" s="199"/>
      <c r="V53" s="200"/>
      <c r="W53" s="199"/>
      <c r="X53" s="200"/>
    </row>
    <row r="54" spans="1:24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U54" s="199"/>
      <c r="V54" s="200"/>
      <c r="W54" s="199"/>
      <c r="X54" s="200"/>
    </row>
    <row r="55" spans="1:24" x14ac:dyDescent="0.3">
      <c r="A55" s="41">
        <v>500</v>
      </c>
      <c r="B55" s="32" t="s">
        <v>118</v>
      </c>
      <c r="C55" s="18">
        <v>14770</v>
      </c>
      <c r="D55" s="20">
        <f t="shared" si="2"/>
        <v>14769</v>
      </c>
      <c r="E55" s="232"/>
      <c r="F55" s="258"/>
      <c r="G55" s="229">
        <v>710</v>
      </c>
      <c r="H55" s="232">
        <v>14059</v>
      </c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U55" s="199"/>
      <c r="V55" s="200"/>
      <c r="W55" s="199"/>
      <c r="X55" s="200"/>
    </row>
    <row r="56" spans="1:24" ht="15" thickBot="1" x14ac:dyDescent="0.35">
      <c r="A56" s="107"/>
      <c r="B56" s="108" t="s">
        <v>80</v>
      </c>
      <c r="C56" s="111">
        <f>SUM(C44:C55)</f>
        <v>3012538</v>
      </c>
      <c r="D56" s="110">
        <f>E56+F56+G56+H56+I56+M56+Q56+R56</f>
        <v>2889966</v>
      </c>
      <c r="E56" s="235">
        <f t="shared" ref="E56:R56" si="4">SUM(E44:E55)</f>
        <v>0</v>
      </c>
      <c r="F56" s="260">
        <f t="shared" si="4"/>
        <v>399633</v>
      </c>
      <c r="G56" s="225">
        <f t="shared" si="4"/>
        <v>148185</v>
      </c>
      <c r="H56" s="235">
        <f t="shared" si="4"/>
        <v>446724</v>
      </c>
      <c r="I56" s="240">
        <f t="shared" si="4"/>
        <v>248671</v>
      </c>
      <c r="J56" s="218">
        <f>SUM(J44:J55)</f>
        <v>457820</v>
      </c>
      <c r="K56" s="218">
        <f>SUM(K44:K55)</f>
        <v>0</v>
      </c>
      <c r="L56" s="218">
        <f>SUM(L44:L55)</f>
        <v>0</v>
      </c>
      <c r="M56" s="209">
        <f t="shared" si="4"/>
        <v>457820</v>
      </c>
      <c r="N56" s="218">
        <f>SUM(N44:N55)</f>
        <v>709097</v>
      </c>
      <c r="O56" s="218">
        <f>SUM(O44:O55)</f>
        <v>448634</v>
      </c>
      <c r="P56" s="218">
        <f>SUM(P44:P55)</f>
        <v>24954</v>
      </c>
      <c r="Q56" s="218">
        <f t="shared" si="4"/>
        <v>1182685</v>
      </c>
      <c r="R56" s="235">
        <f t="shared" si="4"/>
        <v>6248</v>
      </c>
      <c r="U56" s="199"/>
      <c r="V56" s="200"/>
      <c r="W56" s="199"/>
      <c r="X56" s="200"/>
    </row>
    <row r="57" spans="1:24" ht="15" thickTop="1" x14ac:dyDescent="0.3"/>
    <row r="58" spans="1:24" ht="15" thickBot="1" x14ac:dyDescent="0.35"/>
    <row r="59" spans="1:24" ht="15" thickBot="1" x14ac:dyDescent="0.35">
      <c r="B59" s="42" t="s">
        <v>109</v>
      </c>
      <c r="C59" s="43"/>
      <c r="D59" s="44"/>
    </row>
    <row r="60" spans="1:24" ht="15" thickTop="1" x14ac:dyDescent="0.3">
      <c r="B60" s="115"/>
      <c r="C60" s="116" t="s">
        <v>82</v>
      </c>
      <c r="D60" s="117" t="s">
        <v>78</v>
      </c>
    </row>
    <row r="61" spans="1:24" x14ac:dyDescent="0.3">
      <c r="B61" s="153" t="s">
        <v>108</v>
      </c>
      <c r="C61" s="45"/>
      <c r="D61" s="46"/>
    </row>
    <row r="62" spans="1:24" x14ac:dyDescent="0.3">
      <c r="B62" s="26" t="s">
        <v>3</v>
      </c>
      <c r="C62" s="47">
        <f>E56</f>
        <v>0</v>
      </c>
      <c r="D62" s="48">
        <f>E56/D56</f>
        <v>0</v>
      </c>
    </row>
    <row r="63" spans="1:24" x14ac:dyDescent="0.3">
      <c r="B63" s="26" t="s">
        <v>4</v>
      </c>
      <c r="C63" s="49">
        <f>F56</f>
        <v>399633</v>
      </c>
      <c r="D63" s="48">
        <f>F56/D56</f>
        <v>0.13828294173703082</v>
      </c>
    </row>
    <row r="64" spans="1:24" x14ac:dyDescent="0.3">
      <c r="B64" s="56" t="s">
        <v>79</v>
      </c>
      <c r="C64" s="50">
        <f>G56</f>
        <v>148185</v>
      </c>
      <c r="D64" s="51">
        <f>G56/D56</f>
        <v>5.1275689748599119E-2</v>
      </c>
    </row>
    <row r="65" spans="2:4" ht="15" thickBot="1" x14ac:dyDescent="0.35">
      <c r="B65" s="146" t="s">
        <v>115</v>
      </c>
      <c r="C65" s="52">
        <f>SUM(C62:C64)</f>
        <v>547818</v>
      </c>
      <c r="D65" s="53">
        <f>SUM(D62:D64)</f>
        <v>0.18955863148562993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446724</v>
      </c>
      <c r="D67" s="25">
        <f>H56/D56</f>
        <v>0.15457759710667876</v>
      </c>
    </row>
    <row r="68" spans="2:4" x14ac:dyDescent="0.3">
      <c r="B68" s="57" t="s">
        <v>7</v>
      </c>
      <c r="C68" s="27">
        <f>I56</f>
        <v>248671</v>
      </c>
      <c r="D68" s="28">
        <f>I56/D56</f>
        <v>8.6046341029617654E-2</v>
      </c>
    </row>
    <row r="69" spans="2:4" ht="15" thickBot="1" x14ac:dyDescent="0.35">
      <c r="B69" s="146" t="s">
        <v>116</v>
      </c>
      <c r="C69" s="52">
        <f>SUM(C67:C68)</f>
        <v>695395</v>
      </c>
      <c r="D69" s="53">
        <f>SUM(D67:D68)</f>
        <v>0.2406239381362964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457820</v>
      </c>
      <c r="D71" s="25">
        <f>M56/D56</f>
        <v>0.15841708864394943</v>
      </c>
    </row>
    <row r="72" spans="2:4" x14ac:dyDescent="0.3">
      <c r="B72" s="24" t="s">
        <v>8</v>
      </c>
      <c r="C72" s="23">
        <f>Q56</f>
        <v>1182685</v>
      </c>
      <c r="D72" s="25">
        <f>Q56/D56</f>
        <v>0.40923837858300061</v>
      </c>
    </row>
    <row r="73" spans="2:4" x14ac:dyDescent="0.3">
      <c r="B73" s="163" t="s">
        <v>83</v>
      </c>
      <c r="C73" s="27">
        <f>R56</f>
        <v>6248</v>
      </c>
      <c r="D73" s="28">
        <f>R56/D56</f>
        <v>2.1619631511235774E-3</v>
      </c>
    </row>
    <row r="74" spans="2:4" ht="15" thickBot="1" x14ac:dyDescent="0.35">
      <c r="B74" s="146" t="s">
        <v>117</v>
      </c>
      <c r="C74" s="52">
        <f>SUM(C71:C73)</f>
        <v>1646753</v>
      </c>
      <c r="D74" s="53">
        <f>SUM(D71:D73)</f>
        <v>0.56981743037807364</v>
      </c>
    </row>
    <row r="75" spans="2:4" ht="15" thickBot="1" x14ac:dyDescent="0.35">
      <c r="B75" s="157" t="s">
        <v>80</v>
      </c>
      <c r="C75" s="158">
        <f>C65+C69+C74</f>
        <v>2889966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A5:R55">
    <cfRule type="expression" dxfId="176" priority="7">
      <formula>ROW()=EVEN(ROW())</formula>
    </cfRule>
  </conditionalFormatting>
  <printOptions horizontalCentered="1"/>
  <pageMargins left="0" right="0" top="1.1000000000000001" bottom="0.5" header="0.3" footer="0.3"/>
  <pageSetup scale="85" fitToHeight="0" orientation="landscape" r:id="rId1"/>
  <headerFooter>
    <oddHeader>&amp;C&amp;"-,Bold"&amp;20Funding by Expenditure Code and Revenue Source&amp;"-,Regular"&amp;11
&amp;"-,Bold"&amp;20 2014&amp;"-,Regular"&amp;11
&amp;"-,Bold"&amp;20CHELAN-DOUGLAS</oddHeader>
    <oddFooter>&amp;LRevised 11-4-16&amp;CPage &amp;P</oddFooter>
  </headerFooter>
  <rowBreaks count="1" manualBreakCount="1">
    <brk id="44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88"/>
  <sheetViews>
    <sheetView showZeros="0" topLeftCell="A4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2" x14ac:dyDescent="0.3">
      <c r="A1" s="22" t="s">
        <v>150</v>
      </c>
      <c r="B1" s="6"/>
      <c r="C1" s="31">
        <v>72500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2" x14ac:dyDescent="0.3">
      <c r="A2" s="80" t="s">
        <v>44</v>
      </c>
      <c r="B2" s="5"/>
      <c r="C2" s="83">
        <v>23.71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2" ht="15" customHeight="1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2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</row>
    <row r="5" spans="1:22" ht="15" thickBot="1" x14ac:dyDescent="0.35">
      <c r="A5" s="36">
        <v>562.1</v>
      </c>
      <c r="B5" s="37" t="s">
        <v>47</v>
      </c>
      <c r="C5" s="16">
        <v>720900</v>
      </c>
      <c r="D5" s="14">
        <f>E5+F5+G5+H5+I5+M5+Q5+R5</f>
        <v>720899</v>
      </c>
      <c r="E5" s="236">
        <v>0</v>
      </c>
      <c r="F5" s="256">
        <v>0</v>
      </c>
      <c r="G5" s="227">
        <v>5</v>
      </c>
      <c r="H5" s="236">
        <v>15339</v>
      </c>
      <c r="I5" s="241">
        <v>0</v>
      </c>
      <c r="J5" s="214">
        <v>974</v>
      </c>
      <c r="K5" s="214"/>
      <c r="L5" s="214"/>
      <c r="M5" s="9">
        <f>SUM(J5:L5)</f>
        <v>974</v>
      </c>
      <c r="N5" s="214"/>
      <c r="O5" s="214">
        <f>40770+23729+18419+99492</f>
        <v>182410</v>
      </c>
      <c r="P5" s="214"/>
      <c r="Q5" s="214">
        <f>SUM(N5:P5)</f>
        <v>182410</v>
      </c>
      <c r="R5" s="236">
        <f>38+490+521643</f>
        <v>522171</v>
      </c>
      <c r="S5" s="199">
        <v>369.9</v>
      </c>
      <c r="T5" s="200" t="s">
        <v>155</v>
      </c>
      <c r="U5" s="199">
        <v>308</v>
      </c>
      <c r="V5" s="200">
        <v>521643</v>
      </c>
    </row>
    <row r="6" spans="1:22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</row>
    <row r="7" spans="1:22" ht="15" thickBot="1" x14ac:dyDescent="0.35">
      <c r="A7" s="39">
        <v>562.22</v>
      </c>
      <c r="B7" s="82" t="s">
        <v>92</v>
      </c>
      <c r="C7" s="15">
        <v>7066</v>
      </c>
      <c r="D7" s="14">
        <f t="shared" ref="D7:D55" si="2">E7+F7+G7+H7+I7+M7+Q7+R7</f>
        <v>7066</v>
      </c>
      <c r="E7" s="231"/>
      <c r="F7" s="257"/>
      <c r="G7" s="228"/>
      <c r="H7" s="231">
        <v>7026</v>
      </c>
      <c r="I7" s="219"/>
      <c r="J7" s="217"/>
      <c r="K7" s="217"/>
      <c r="L7" s="217"/>
      <c r="M7" s="9">
        <f t="shared" si="0"/>
        <v>0</v>
      </c>
      <c r="N7" s="217"/>
      <c r="O7" s="217"/>
      <c r="P7" s="217"/>
      <c r="Q7" s="214">
        <f t="shared" si="1"/>
        <v>0</v>
      </c>
      <c r="R7" s="231">
        <v>40</v>
      </c>
      <c r="S7" s="199">
        <v>308</v>
      </c>
      <c r="T7" s="200">
        <v>40</v>
      </c>
    </row>
    <row r="8" spans="1:22" ht="15" thickBot="1" x14ac:dyDescent="0.35">
      <c r="A8" s="39">
        <v>562.24</v>
      </c>
      <c r="B8" s="40" t="s">
        <v>49</v>
      </c>
      <c r="C8" s="15"/>
      <c r="D8" s="14">
        <f t="shared" si="2"/>
        <v>0</v>
      </c>
      <c r="E8" s="231"/>
      <c r="F8" s="257"/>
      <c r="G8" s="228"/>
      <c r="H8" s="231"/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/>
    </row>
    <row r="9" spans="1:22" ht="15" thickBot="1" x14ac:dyDescent="0.35">
      <c r="A9" s="39">
        <v>562.25</v>
      </c>
      <c r="B9" s="82" t="s">
        <v>93</v>
      </c>
      <c r="C9" s="15">
        <v>56703</v>
      </c>
      <c r="D9" s="14">
        <f t="shared" si="2"/>
        <v>56703</v>
      </c>
      <c r="E9" s="231"/>
      <c r="F9" s="257"/>
      <c r="G9" s="228"/>
      <c r="H9" s="231">
        <v>56703</v>
      </c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</row>
    <row r="10" spans="1:22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</row>
    <row r="11" spans="1:22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</row>
    <row r="12" spans="1:22" ht="15" thickBot="1" x14ac:dyDescent="0.35">
      <c r="A12" s="39">
        <v>562.28</v>
      </c>
      <c r="B12" s="82" t="s">
        <v>94</v>
      </c>
      <c r="C12" s="15">
        <v>350871</v>
      </c>
      <c r="D12" s="14">
        <f t="shared" si="2"/>
        <v>350872</v>
      </c>
      <c r="E12" s="231"/>
      <c r="F12" s="257">
        <v>34785</v>
      </c>
      <c r="G12" s="228"/>
      <c r="H12" s="231">
        <f>231545+6355+203</f>
        <v>238103</v>
      </c>
      <c r="I12" s="219">
        <v>0</v>
      </c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>
        <v>77984</v>
      </c>
      <c r="S12" s="199">
        <v>308</v>
      </c>
      <c r="T12" s="200">
        <v>77984</v>
      </c>
    </row>
    <row r="13" spans="1:22" ht="15" thickBot="1" x14ac:dyDescent="0.35">
      <c r="A13" s="39">
        <v>562.29</v>
      </c>
      <c r="B13" s="82" t="s">
        <v>86</v>
      </c>
      <c r="C13" s="15"/>
      <c r="D13" s="14">
        <f t="shared" si="2"/>
        <v>0</v>
      </c>
      <c r="E13" s="231"/>
      <c r="F13" s="257"/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/>
      <c r="P13" s="217"/>
      <c r="Q13" s="214">
        <f t="shared" si="1"/>
        <v>0</v>
      </c>
      <c r="R13" s="231"/>
    </row>
    <row r="14" spans="1:22" ht="15" thickBot="1" x14ac:dyDescent="0.35">
      <c r="A14" s="39">
        <v>562.32000000000005</v>
      </c>
      <c r="B14" s="40" t="s">
        <v>50</v>
      </c>
      <c r="C14" s="15">
        <v>170761</v>
      </c>
      <c r="D14" s="14">
        <f t="shared" si="2"/>
        <v>170759</v>
      </c>
      <c r="E14" s="231"/>
      <c r="F14" s="257">
        <v>56339</v>
      </c>
      <c r="G14" s="228"/>
      <c r="H14" s="231">
        <f>13679+3164+6086+819+921</f>
        <v>24669</v>
      </c>
      <c r="I14" s="219">
        <f>18697+3367</f>
        <v>22064</v>
      </c>
      <c r="J14" s="217"/>
      <c r="K14" s="217"/>
      <c r="L14" s="217"/>
      <c r="M14" s="9">
        <f t="shared" si="0"/>
        <v>0</v>
      </c>
      <c r="N14" s="217"/>
      <c r="O14" s="217">
        <f>34798+123</f>
        <v>34921</v>
      </c>
      <c r="P14" s="217"/>
      <c r="Q14" s="214">
        <f t="shared" si="1"/>
        <v>34921</v>
      </c>
      <c r="R14" s="231">
        <f>10+32756</f>
        <v>32766</v>
      </c>
      <c r="S14" s="199">
        <v>369.81</v>
      </c>
      <c r="T14" s="200">
        <v>10</v>
      </c>
      <c r="U14" s="199">
        <v>308</v>
      </c>
      <c r="V14" s="200">
        <v>32756</v>
      </c>
    </row>
    <row r="15" spans="1:22" ht="15" thickBot="1" x14ac:dyDescent="0.35">
      <c r="A15" s="39">
        <v>562.33000000000004</v>
      </c>
      <c r="B15" s="82" t="s">
        <v>95</v>
      </c>
      <c r="C15" s="15">
        <v>31047</v>
      </c>
      <c r="D15" s="14">
        <f t="shared" si="2"/>
        <v>31047</v>
      </c>
      <c r="E15" s="231"/>
      <c r="F15" s="257">
        <v>25038</v>
      </c>
      <c r="G15" s="228"/>
      <c r="H15" s="231">
        <v>0</v>
      </c>
      <c r="I15" s="219"/>
      <c r="J15" s="217"/>
      <c r="K15" s="217"/>
      <c r="L15" s="217"/>
      <c r="M15" s="9">
        <f t="shared" si="0"/>
        <v>0</v>
      </c>
      <c r="N15" s="217"/>
      <c r="O15" s="217" t="s">
        <v>154</v>
      </c>
      <c r="P15" s="217"/>
      <c r="Q15" s="214">
        <f t="shared" si="1"/>
        <v>0</v>
      </c>
      <c r="R15" s="231">
        <v>6009</v>
      </c>
      <c r="S15" s="199">
        <v>308</v>
      </c>
      <c r="T15" s="200">
        <v>6009</v>
      </c>
    </row>
    <row r="16" spans="1:22" ht="15" thickBot="1" x14ac:dyDescent="0.35">
      <c r="A16" s="39">
        <v>562.34</v>
      </c>
      <c r="B16" s="40" t="s">
        <v>51</v>
      </c>
      <c r="C16" s="15">
        <v>22124</v>
      </c>
      <c r="D16" s="14">
        <f t="shared" si="2"/>
        <v>22124</v>
      </c>
      <c r="E16" s="231"/>
      <c r="F16" s="257">
        <v>11112</v>
      </c>
      <c r="G16" s="228"/>
      <c r="H16" s="231"/>
      <c r="I16" s="219"/>
      <c r="J16" s="217"/>
      <c r="K16" s="217"/>
      <c r="L16" s="217"/>
      <c r="M16" s="9">
        <f t="shared" si="0"/>
        <v>0</v>
      </c>
      <c r="N16" s="217"/>
      <c r="O16" s="217">
        <v>6471</v>
      </c>
      <c r="P16" s="217"/>
      <c r="Q16" s="214">
        <f t="shared" si="1"/>
        <v>6471</v>
      </c>
      <c r="R16" s="231">
        <v>4541</v>
      </c>
      <c r="S16" s="199">
        <v>308</v>
      </c>
      <c r="T16" s="204">
        <v>4541</v>
      </c>
    </row>
    <row r="17" spans="1:22" ht="15" thickBot="1" x14ac:dyDescent="0.35">
      <c r="A17" s="39">
        <v>562.35</v>
      </c>
      <c r="B17" s="40" t="s">
        <v>52</v>
      </c>
      <c r="C17" s="15">
        <f>90428+39815</f>
        <v>130243</v>
      </c>
      <c r="D17" s="14">
        <f t="shared" si="2"/>
        <v>130243</v>
      </c>
      <c r="E17" s="231"/>
      <c r="F17" s="257">
        <v>31647</v>
      </c>
      <c r="G17" s="228"/>
      <c r="H17" s="231">
        <f>68112+10093</f>
        <v>78205</v>
      </c>
      <c r="I17" s="219">
        <v>0</v>
      </c>
      <c r="J17" s="217"/>
      <c r="K17" s="217"/>
      <c r="L17" s="217"/>
      <c r="M17" s="9">
        <f t="shared" si="0"/>
        <v>0</v>
      </c>
      <c r="N17" s="217"/>
      <c r="O17" s="217"/>
      <c r="P17" s="217"/>
      <c r="Q17" s="214">
        <f t="shared" si="1"/>
        <v>0</v>
      </c>
      <c r="R17" s="231">
        <f>75+20316</f>
        <v>20391</v>
      </c>
      <c r="S17" s="199">
        <v>369.9</v>
      </c>
      <c r="T17" s="200">
        <v>75</v>
      </c>
      <c r="U17" s="199">
        <v>308</v>
      </c>
      <c r="V17">
        <v>20316</v>
      </c>
    </row>
    <row r="18" spans="1:22" ht="15" thickBot="1" x14ac:dyDescent="0.35">
      <c r="A18" s="39">
        <v>562.39</v>
      </c>
      <c r="B18" s="40" t="s">
        <v>53</v>
      </c>
      <c r="C18" s="15">
        <v>99174</v>
      </c>
      <c r="D18" s="14">
        <f t="shared" si="2"/>
        <v>99174</v>
      </c>
      <c r="E18" s="231"/>
      <c r="F18" s="257">
        <v>76562</v>
      </c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>
        <v>2563</v>
      </c>
      <c r="P18" s="217"/>
      <c r="Q18" s="214">
        <f t="shared" si="1"/>
        <v>2563</v>
      </c>
      <c r="R18" s="231">
        <v>20049</v>
      </c>
      <c r="S18" s="199">
        <v>308</v>
      </c>
      <c r="T18" s="200">
        <v>20049</v>
      </c>
    </row>
    <row r="19" spans="1:22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</row>
    <row r="20" spans="1:22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</row>
    <row r="21" spans="1:22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</row>
    <row r="22" spans="1:22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>
        <v>0</v>
      </c>
      <c r="F22" s="257">
        <v>0</v>
      </c>
      <c r="G22" s="228">
        <v>0</v>
      </c>
      <c r="H22" s="231">
        <v>0</v>
      </c>
      <c r="I22" s="219">
        <v>0</v>
      </c>
      <c r="J22" s="217">
        <v>0</v>
      </c>
      <c r="K22" s="217">
        <v>0</v>
      </c>
      <c r="L22" s="217">
        <v>0</v>
      </c>
      <c r="M22" s="9">
        <f t="shared" si="0"/>
        <v>0</v>
      </c>
      <c r="N22" s="217">
        <v>0</v>
      </c>
      <c r="O22" s="217">
        <v>0</v>
      </c>
      <c r="P22" s="217">
        <v>0</v>
      </c>
      <c r="Q22" s="214">
        <f t="shared" si="1"/>
        <v>0</v>
      </c>
      <c r="R22" s="231"/>
    </row>
    <row r="23" spans="1:22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</row>
    <row r="24" spans="1:22" ht="15" thickBot="1" x14ac:dyDescent="0.35">
      <c r="A24" s="39">
        <v>562.49</v>
      </c>
      <c r="B24" s="82" t="s">
        <v>87</v>
      </c>
      <c r="C24" s="15"/>
      <c r="D24" s="14">
        <f t="shared" si="2"/>
        <v>0</v>
      </c>
      <c r="E24" s="231"/>
      <c r="F24" s="257"/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</row>
    <row r="25" spans="1:22" ht="15" thickBot="1" x14ac:dyDescent="0.35">
      <c r="A25" s="39">
        <v>562.52</v>
      </c>
      <c r="B25" s="40" t="s">
        <v>56</v>
      </c>
      <c r="C25" s="15">
        <v>148452</v>
      </c>
      <c r="D25" s="14">
        <f t="shared" si="2"/>
        <v>148453</v>
      </c>
      <c r="E25" s="231"/>
      <c r="F25" s="257"/>
      <c r="G25" s="228"/>
      <c r="H25" s="231"/>
      <c r="I25" s="219"/>
      <c r="J25" s="217"/>
      <c r="K25" s="217"/>
      <c r="L25" s="217"/>
      <c r="M25" s="9">
        <f t="shared" si="0"/>
        <v>0</v>
      </c>
      <c r="N25" s="217"/>
      <c r="O25" s="217">
        <f>2750+2400+2400+104852</f>
        <v>112402</v>
      </c>
      <c r="P25" s="217"/>
      <c r="Q25" s="214">
        <f t="shared" si="1"/>
        <v>112402</v>
      </c>
      <c r="R25" s="231">
        <v>36051</v>
      </c>
      <c r="S25" s="199">
        <v>308</v>
      </c>
      <c r="T25" s="200">
        <v>36051</v>
      </c>
    </row>
    <row r="26" spans="1:22" ht="15" thickBot="1" x14ac:dyDescent="0.35">
      <c r="A26" s="39">
        <v>562.53</v>
      </c>
      <c r="B26" s="82" t="s">
        <v>99</v>
      </c>
      <c r="C26" s="15">
        <v>139656</v>
      </c>
      <c r="D26" s="14">
        <f t="shared" si="2"/>
        <v>139656</v>
      </c>
      <c r="E26" s="231"/>
      <c r="F26" s="257"/>
      <c r="G26" s="228">
        <f>12816+21022+49249</f>
        <v>83087</v>
      </c>
      <c r="H26" s="231"/>
      <c r="I26" s="219"/>
      <c r="J26" s="217"/>
      <c r="K26" s="217"/>
      <c r="L26" s="217"/>
      <c r="M26" s="9">
        <f t="shared" si="0"/>
        <v>0</v>
      </c>
      <c r="N26" s="217"/>
      <c r="O26" s="217">
        <f>33132+9712</f>
        <v>42844</v>
      </c>
      <c r="P26" s="217"/>
      <c r="Q26" s="214">
        <f t="shared" si="1"/>
        <v>42844</v>
      </c>
      <c r="R26" s="231">
        <v>13725</v>
      </c>
      <c r="S26" s="199">
        <v>308</v>
      </c>
      <c r="T26" s="200">
        <v>13725</v>
      </c>
    </row>
    <row r="27" spans="1:22" ht="15" thickBot="1" x14ac:dyDescent="0.35">
      <c r="A27" s="39">
        <v>562.54</v>
      </c>
      <c r="B27" s="82" t="s">
        <v>100</v>
      </c>
      <c r="C27" s="15">
        <v>382868</v>
      </c>
      <c r="D27" s="14">
        <f t="shared" si="2"/>
        <v>382868</v>
      </c>
      <c r="E27" s="231">
        <v>50265</v>
      </c>
      <c r="F27" s="257"/>
      <c r="G27" s="228"/>
      <c r="H27" s="231">
        <v>167107</v>
      </c>
      <c r="I27" s="219"/>
      <c r="J27" s="217"/>
      <c r="K27" s="217"/>
      <c r="L27" s="217"/>
      <c r="M27" s="9">
        <f t="shared" si="0"/>
        <v>0</v>
      </c>
      <c r="N27" s="217"/>
      <c r="O27" s="217">
        <v>163317</v>
      </c>
      <c r="P27" s="217"/>
      <c r="Q27" s="214">
        <f t="shared" si="1"/>
        <v>163317</v>
      </c>
      <c r="R27" s="231">
        <v>2179</v>
      </c>
      <c r="S27" s="199">
        <v>308</v>
      </c>
      <c r="T27" s="200">
        <v>2179</v>
      </c>
    </row>
    <row r="28" spans="1:22" ht="15" thickBot="1" x14ac:dyDescent="0.35">
      <c r="A28" s="39">
        <v>562.54999999999995</v>
      </c>
      <c r="B28" s="40" t="s">
        <v>57</v>
      </c>
      <c r="C28" s="15">
        <v>653</v>
      </c>
      <c r="D28" s="14">
        <f t="shared" si="2"/>
        <v>653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>
        <v>653</v>
      </c>
      <c r="S28" s="199">
        <v>308</v>
      </c>
      <c r="T28" s="200">
        <v>653</v>
      </c>
    </row>
    <row r="29" spans="1:22" ht="15" thickBot="1" x14ac:dyDescent="0.35">
      <c r="A29" s="39">
        <v>562.55999999999995</v>
      </c>
      <c r="B29" s="40" t="s">
        <v>58</v>
      </c>
      <c r="C29" s="15">
        <v>267917</v>
      </c>
      <c r="D29" s="14">
        <f t="shared" si="2"/>
        <v>267917</v>
      </c>
      <c r="E29" s="231"/>
      <c r="F29" s="257"/>
      <c r="G29" s="228"/>
      <c r="H29" s="231"/>
      <c r="I29" s="219"/>
      <c r="J29" s="217"/>
      <c r="K29" s="217"/>
      <c r="L29" s="217"/>
      <c r="M29" s="9">
        <f t="shared" si="0"/>
        <v>0</v>
      </c>
      <c r="N29" s="217"/>
      <c r="O29" s="217">
        <v>161903</v>
      </c>
      <c r="P29" s="217"/>
      <c r="Q29" s="214">
        <f t="shared" si="1"/>
        <v>161903</v>
      </c>
      <c r="R29" s="231">
        <v>106014</v>
      </c>
      <c r="S29" s="199">
        <v>308</v>
      </c>
      <c r="T29" s="200">
        <v>106014</v>
      </c>
    </row>
    <row r="30" spans="1:22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</row>
    <row r="31" spans="1:22" ht="15" thickBot="1" x14ac:dyDescent="0.35">
      <c r="A31" s="39">
        <v>562.58000000000004</v>
      </c>
      <c r="B31" s="82" t="s">
        <v>88</v>
      </c>
      <c r="C31" s="15">
        <f>4674+4807</f>
        <v>9481</v>
      </c>
      <c r="D31" s="14">
        <f t="shared" si="2"/>
        <v>9481</v>
      </c>
      <c r="E31" s="231">
        <v>3536</v>
      </c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/>
      <c r="O31" s="217">
        <v>5058</v>
      </c>
      <c r="P31" s="217"/>
      <c r="Q31" s="214">
        <f t="shared" si="1"/>
        <v>5058</v>
      </c>
      <c r="R31" s="231">
        <v>887</v>
      </c>
      <c r="S31" s="199">
        <v>308</v>
      </c>
      <c r="T31" s="200">
        <v>887</v>
      </c>
    </row>
    <row r="32" spans="1:22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</row>
    <row r="33" spans="1:24" ht="15" thickBot="1" x14ac:dyDescent="0.35">
      <c r="A33" s="39">
        <v>562.6</v>
      </c>
      <c r="B33" s="40" t="s">
        <v>59</v>
      </c>
      <c r="C33" s="15">
        <f>189283+3330</f>
        <v>192613</v>
      </c>
      <c r="D33" s="14">
        <f t="shared" si="2"/>
        <v>192612</v>
      </c>
      <c r="E33" s="231"/>
      <c r="F33" s="257"/>
      <c r="G33" s="228">
        <f>35529+31093+15086+69781</f>
        <v>151489</v>
      </c>
      <c r="H33" s="231">
        <v>9000</v>
      </c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>
        <f>1006+508+30609</f>
        <v>32123</v>
      </c>
      <c r="S33" s="199">
        <v>308</v>
      </c>
      <c r="T33" s="200">
        <v>30609</v>
      </c>
      <c r="U33" s="199">
        <v>308</v>
      </c>
      <c r="V33">
        <v>508</v>
      </c>
      <c r="W33" s="199">
        <v>308</v>
      </c>
      <c r="X33" s="210">
        <v>1006</v>
      </c>
    </row>
    <row r="34" spans="1:24" ht="15" thickBot="1" x14ac:dyDescent="0.35">
      <c r="A34" s="39">
        <v>562.71</v>
      </c>
      <c r="B34" s="40" t="s">
        <v>60</v>
      </c>
      <c r="C34" s="15">
        <v>42313</v>
      </c>
      <c r="D34" s="14">
        <f t="shared" si="2"/>
        <v>42313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36403</v>
      </c>
      <c r="P34" s="217"/>
      <c r="Q34" s="214">
        <f t="shared" si="1"/>
        <v>36403</v>
      </c>
      <c r="R34" s="231">
        <v>5910</v>
      </c>
      <c r="S34" s="199">
        <v>308</v>
      </c>
      <c r="T34" s="200">
        <v>5910</v>
      </c>
    </row>
    <row r="35" spans="1:24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</row>
    <row r="36" spans="1:24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</row>
    <row r="37" spans="1:24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</row>
    <row r="38" spans="1:24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</row>
    <row r="39" spans="1:24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</row>
    <row r="40" spans="1:24" ht="15" thickBot="1" x14ac:dyDescent="0.35">
      <c r="A40" s="39">
        <v>562.79999999999995</v>
      </c>
      <c r="B40" s="40" t="s">
        <v>65</v>
      </c>
      <c r="C40" s="15">
        <v>55917</v>
      </c>
      <c r="D40" s="14">
        <f t="shared" si="2"/>
        <v>55917</v>
      </c>
      <c r="E40" s="231"/>
      <c r="F40" s="257">
        <v>55917</v>
      </c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</row>
    <row r="41" spans="1:24" ht="15" thickBot="1" x14ac:dyDescent="0.35">
      <c r="A41" s="39">
        <v>562.88</v>
      </c>
      <c r="B41" s="82" t="s">
        <v>91</v>
      </c>
      <c r="C41" s="15">
        <v>42776</v>
      </c>
      <c r="D41" s="14">
        <f t="shared" si="2"/>
        <v>42776</v>
      </c>
      <c r="E41" s="231"/>
      <c r="F41" s="257"/>
      <c r="G41" s="228"/>
      <c r="H41" s="231">
        <v>42542</v>
      </c>
      <c r="I41" s="219"/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>
        <v>234</v>
      </c>
      <c r="S41" s="199">
        <v>308</v>
      </c>
      <c r="T41" s="200">
        <v>234</v>
      </c>
    </row>
    <row r="42" spans="1:24" ht="15" thickBot="1" x14ac:dyDescent="0.35">
      <c r="A42" s="39">
        <v>562.9</v>
      </c>
      <c r="B42" s="40" t="s">
        <v>66</v>
      </c>
      <c r="C42" s="15">
        <f>34643+395925</f>
        <v>430568</v>
      </c>
      <c r="D42" s="14">
        <f t="shared" si="2"/>
        <v>430568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>
        <f>34643+395925</f>
        <v>430568</v>
      </c>
      <c r="P42" s="217"/>
      <c r="Q42" s="214">
        <f t="shared" si="1"/>
        <v>430568</v>
      </c>
      <c r="R42" s="231"/>
    </row>
    <row r="43" spans="1:24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</row>
    <row r="44" spans="1:24" x14ac:dyDescent="0.3">
      <c r="A44" s="206" t="s">
        <v>110</v>
      </c>
      <c r="B44" s="207" t="s">
        <v>68</v>
      </c>
      <c r="C44" s="208">
        <f>SUM(C5:C43)</f>
        <v>3302103</v>
      </c>
      <c r="D44" s="205">
        <f>E44+F44+G44+H44+I44+M44+Q44+R44</f>
        <v>3302101</v>
      </c>
      <c r="E44" s="233">
        <f t="shared" ref="E44:R44" si="3">SUM(E5:E43)</f>
        <v>53801</v>
      </c>
      <c r="F44" s="259">
        <f t="shared" si="3"/>
        <v>291400</v>
      </c>
      <c r="G44" s="223">
        <f t="shared" si="3"/>
        <v>234581</v>
      </c>
      <c r="H44" s="233">
        <f t="shared" si="3"/>
        <v>638694</v>
      </c>
      <c r="I44" s="239">
        <f t="shared" si="3"/>
        <v>22064</v>
      </c>
      <c r="J44" s="245">
        <f>SUM(J5:J43)</f>
        <v>974</v>
      </c>
      <c r="K44" s="245">
        <f>SUM(K5:K43)</f>
        <v>0</v>
      </c>
      <c r="L44" s="245">
        <f>SUM(L5:L43)</f>
        <v>0</v>
      </c>
      <c r="M44" s="208">
        <f t="shared" si="3"/>
        <v>974</v>
      </c>
      <c r="N44" s="245">
        <f>SUM(N5:N43)</f>
        <v>0</v>
      </c>
      <c r="O44" s="245">
        <f>SUM(O5:O43)</f>
        <v>1178860</v>
      </c>
      <c r="P44" s="245">
        <f>SUM(P5:P43)</f>
        <v>0</v>
      </c>
      <c r="Q44" s="216">
        <f t="shared" si="3"/>
        <v>1178860</v>
      </c>
      <c r="R44" s="233">
        <f t="shared" si="3"/>
        <v>881727</v>
      </c>
    </row>
    <row r="45" spans="1:24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</row>
    <row r="46" spans="1:24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</row>
    <row r="47" spans="1:24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</row>
    <row r="48" spans="1:24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</row>
    <row r="49" spans="1:22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</row>
    <row r="50" spans="1:22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</row>
    <row r="51" spans="1:22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</row>
    <row r="52" spans="1:22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</row>
    <row r="53" spans="1:22" ht="15" thickBot="1" x14ac:dyDescent="0.35">
      <c r="A53" s="39">
        <v>566</v>
      </c>
      <c r="B53" s="40" t="s">
        <v>76</v>
      </c>
      <c r="C53" s="15">
        <f>398958+1241582+128881</f>
        <v>1769421</v>
      </c>
      <c r="D53" s="14">
        <f t="shared" si="2"/>
        <v>1769422</v>
      </c>
      <c r="E53" s="231"/>
      <c r="F53" s="257"/>
      <c r="G53" s="228">
        <f>140028+23631+56483+27657</f>
        <v>247799</v>
      </c>
      <c r="H53" s="231">
        <v>11985</v>
      </c>
      <c r="I53" s="219">
        <f>12794+139927+167155</f>
        <v>319876</v>
      </c>
      <c r="J53" s="217">
        <v>1031075</v>
      </c>
      <c r="K53" s="217"/>
      <c r="L53" s="217"/>
      <c r="M53" s="9">
        <f t="shared" si="0"/>
        <v>1031075</v>
      </c>
      <c r="N53" s="217"/>
      <c r="O53" s="217"/>
      <c r="P53" s="217"/>
      <c r="Q53" s="214">
        <f t="shared" si="1"/>
        <v>0</v>
      </c>
      <c r="R53" s="231">
        <f>5575+153112</f>
        <v>158687</v>
      </c>
      <c r="S53" s="199">
        <v>369.9</v>
      </c>
      <c r="T53" s="200">
        <v>5575</v>
      </c>
      <c r="U53" s="211">
        <v>308</v>
      </c>
      <c r="V53">
        <v>153112</v>
      </c>
    </row>
    <row r="54" spans="1:22" ht="15" thickBot="1" x14ac:dyDescent="0.35">
      <c r="A54" s="39">
        <v>568</v>
      </c>
      <c r="B54" s="40" t="s">
        <v>77</v>
      </c>
      <c r="C54" s="15">
        <v>777907</v>
      </c>
      <c r="D54" s="14">
        <f t="shared" si="2"/>
        <v>777907</v>
      </c>
      <c r="E54" s="231"/>
      <c r="F54" s="257"/>
      <c r="G54" s="228">
        <v>664372</v>
      </c>
      <c r="H54" s="231"/>
      <c r="I54" s="219"/>
      <c r="J54" s="217">
        <v>113535</v>
      </c>
      <c r="K54" s="217"/>
      <c r="L54" s="217"/>
      <c r="M54" s="9">
        <f t="shared" si="0"/>
        <v>113535</v>
      </c>
      <c r="N54" s="217">
        <v>0</v>
      </c>
      <c r="O54" s="217"/>
      <c r="P54" s="217"/>
      <c r="Q54" s="214">
        <f t="shared" si="1"/>
        <v>0</v>
      </c>
      <c r="R54" s="231"/>
    </row>
    <row r="55" spans="1:22" x14ac:dyDescent="0.3">
      <c r="A55" s="41">
        <v>500</v>
      </c>
      <c r="B55" s="32" t="s">
        <v>118</v>
      </c>
      <c r="C55" s="18"/>
      <c r="D55" s="20">
        <f t="shared" si="2"/>
        <v>0</v>
      </c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</row>
    <row r="56" spans="1:22" ht="15" thickBot="1" x14ac:dyDescent="0.35">
      <c r="A56" s="107"/>
      <c r="B56" s="108" t="s">
        <v>80</v>
      </c>
      <c r="C56" s="111">
        <f>SUM(C44:C55)</f>
        <v>5849431</v>
      </c>
      <c r="D56" s="110">
        <f>E56+F56+G56+H56+I56+M56+Q56+R56</f>
        <v>5849430</v>
      </c>
      <c r="E56" s="235">
        <f t="shared" ref="E56:R56" si="4">SUM(E44:E55)</f>
        <v>53801</v>
      </c>
      <c r="F56" s="260">
        <f t="shared" si="4"/>
        <v>291400</v>
      </c>
      <c r="G56" s="225">
        <f t="shared" si="4"/>
        <v>1146752</v>
      </c>
      <c r="H56" s="235">
        <f t="shared" si="4"/>
        <v>650679</v>
      </c>
      <c r="I56" s="240">
        <f t="shared" si="4"/>
        <v>341940</v>
      </c>
      <c r="J56" s="218">
        <f>SUM(J44:J55)</f>
        <v>1145584</v>
      </c>
      <c r="K56" s="218">
        <f>SUM(K44:K55)</f>
        <v>0</v>
      </c>
      <c r="L56" s="218">
        <f>SUM(L44:L55)</f>
        <v>0</v>
      </c>
      <c r="M56" s="209">
        <f t="shared" si="4"/>
        <v>1145584</v>
      </c>
      <c r="N56" s="218">
        <f>SUM(N44:N55)</f>
        <v>0</v>
      </c>
      <c r="O56" s="218">
        <f>SUM(O44:O55)</f>
        <v>1178860</v>
      </c>
      <c r="P56" s="218">
        <f>SUM(P44:P55)</f>
        <v>0</v>
      </c>
      <c r="Q56" s="218">
        <f t="shared" si="4"/>
        <v>1178860</v>
      </c>
      <c r="R56" s="235">
        <f t="shared" si="4"/>
        <v>1040414</v>
      </c>
    </row>
    <row r="57" spans="1:22" ht="15" thickTop="1" x14ac:dyDescent="0.3"/>
    <row r="58" spans="1:22" ht="15" thickBot="1" x14ac:dyDescent="0.35"/>
    <row r="59" spans="1:22" ht="15" thickBot="1" x14ac:dyDescent="0.35">
      <c r="B59" s="42" t="s">
        <v>109</v>
      </c>
      <c r="C59" s="43"/>
      <c r="D59" s="44"/>
    </row>
    <row r="60" spans="1:22" ht="15" thickTop="1" x14ac:dyDescent="0.3">
      <c r="B60" s="115"/>
      <c r="C60" s="116" t="s">
        <v>82</v>
      </c>
      <c r="D60" s="117" t="s">
        <v>78</v>
      </c>
    </row>
    <row r="61" spans="1:22" x14ac:dyDescent="0.3">
      <c r="B61" s="153" t="s">
        <v>108</v>
      </c>
      <c r="C61" s="45"/>
      <c r="D61" s="46"/>
    </row>
    <row r="62" spans="1:22" x14ac:dyDescent="0.3">
      <c r="B62" s="26" t="s">
        <v>3</v>
      </c>
      <c r="C62" s="47">
        <f>E56</f>
        <v>53801</v>
      </c>
      <c r="D62" s="48">
        <f>E56/D56</f>
        <v>9.1976483178702884E-3</v>
      </c>
    </row>
    <row r="63" spans="1:22" x14ac:dyDescent="0.3">
      <c r="B63" s="26" t="s">
        <v>4</v>
      </c>
      <c r="C63" s="49">
        <f>F56</f>
        <v>291400</v>
      </c>
      <c r="D63" s="48">
        <f>F56/D56</f>
        <v>4.9816819758506381E-2</v>
      </c>
    </row>
    <row r="64" spans="1:22" x14ac:dyDescent="0.3">
      <c r="B64" s="56" t="s">
        <v>79</v>
      </c>
      <c r="C64" s="50">
        <f>G56</f>
        <v>1146752</v>
      </c>
      <c r="D64" s="51">
        <f>G56/D56</f>
        <v>0.19604508473475193</v>
      </c>
    </row>
    <row r="65" spans="2:4" ht="15" thickBot="1" x14ac:dyDescent="0.35">
      <c r="B65" s="146" t="s">
        <v>115</v>
      </c>
      <c r="C65" s="52">
        <f>SUM(C62:C64)</f>
        <v>1491953</v>
      </c>
      <c r="D65" s="53">
        <f>SUM(D62:D64)</f>
        <v>0.25505955281112858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650679</v>
      </c>
      <c r="D67" s="25">
        <f>H56/D56</f>
        <v>0.11123801806329847</v>
      </c>
    </row>
    <row r="68" spans="2:4" x14ac:dyDescent="0.3">
      <c r="B68" s="57" t="s">
        <v>7</v>
      </c>
      <c r="C68" s="27">
        <f>I56</f>
        <v>341940</v>
      </c>
      <c r="D68" s="28">
        <f>I56/D56</f>
        <v>5.8456977859381171E-2</v>
      </c>
    </row>
    <row r="69" spans="2:4" ht="15" thickBot="1" x14ac:dyDescent="0.35">
      <c r="B69" s="146" t="s">
        <v>116</v>
      </c>
      <c r="C69" s="52">
        <f>SUM(C67:C68)</f>
        <v>992619</v>
      </c>
      <c r="D69" s="53">
        <f>SUM(D67:D68)</f>
        <v>0.16969499592267964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1145584</v>
      </c>
      <c r="D71" s="25">
        <f>M56/D56</f>
        <v>0.19584540715933005</v>
      </c>
    </row>
    <row r="72" spans="2:4" x14ac:dyDescent="0.3">
      <c r="B72" s="24" t="s">
        <v>8</v>
      </c>
      <c r="C72" s="23">
        <f>Q56</f>
        <v>1178860</v>
      </c>
      <c r="D72" s="25">
        <f>Q56/D56</f>
        <v>0.20153416657691434</v>
      </c>
    </row>
    <row r="73" spans="2:4" x14ac:dyDescent="0.3">
      <c r="B73" s="163" t="s">
        <v>83</v>
      </c>
      <c r="C73" s="27">
        <f>R56</f>
        <v>1040414</v>
      </c>
      <c r="D73" s="28">
        <f>R56/D56</f>
        <v>0.17786587752994737</v>
      </c>
    </row>
    <row r="74" spans="2:4" ht="15" thickBot="1" x14ac:dyDescent="0.35">
      <c r="B74" s="146" t="s">
        <v>117</v>
      </c>
      <c r="C74" s="52">
        <f>SUM(C71:C73)</f>
        <v>3364858</v>
      </c>
      <c r="D74" s="53">
        <f>SUM(D71:D73)</f>
        <v>0.57524545126619175</v>
      </c>
    </row>
    <row r="75" spans="2:4" ht="15" thickBot="1" x14ac:dyDescent="0.35">
      <c r="B75" s="157" t="s">
        <v>80</v>
      </c>
      <c r="C75" s="158">
        <f>C65+C69+C74</f>
        <v>5849430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A5:R55">
    <cfRule type="expression" dxfId="175" priority="7">
      <formula>ROW()=EVEN(ROW())</formula>
    </cfRule>
  </conditionalFormatting>
  <printOptions horizontalCentered="1"/>
  <pageMargins left="0" right="0" top="1.1000000000000001" bottom="0.5" header="0.3" footer="0.3"/>
  <pageSetup scale="85" fitToHeight="0" orientation="landscape" r:id="rId1"/>
  <headerFooter>
    <oddHeader>&amp;C&amp;"-,Bold"&amp;20Funding by Expenditure Code and Revenue Source&amp;"-,Regular"&amp;11
&amp;"-,Bold"&amp;20 2014&amp;"-,Regular"&amp;11
&amp;"-,Bold"&amp;20CLALLAM</oddHeader>
    <oddFooter>&amp;LRevised 11-4-16&amp;CPage &amp;P</oddFooter>
  </headerFooter>
  <rowBreaks count="1" manualBreakCount="1">
    <brk id="44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88"/>
  <sheetViews>
    <sheetView showZeros="0" topLeftCell="A4" zoomScale="85" zoomScaleNormal="85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2" x14ac:dyDescent="0.3">
      <c r="A1" s="22" t="s">
        <v>150</v>
      </c>
      <c r="B1" s="6"/>
      <c r="C1" s="31">
        <v>442800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2" x14ac:dyDescent="0.3">
      <c r="A2" s="80" t="s">
        <v>44</v>
      </c>
      <c r="B2" s="5"/>
      <c r="C2" s="83">
        <v>78.5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148</v>
      </c>
    </row>
    <row r="3" spans="1:22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2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</row>
    <row r="5" spans="1:22" ht="15" thickBot="1" x14ac:dyDescent="0.35">
      <c r="A5" s="36">
        <v>562.1</v>
      </c>
      <c r="B5" s="37" t="s">
        <v>47</v>
      </c>
      <c r="C5" s="16">
        <v>1606984.13</v>
      </c>
      <c r="D5" s="14">
        <f>E5+F5+G5+H5+I5+M5+Q5+R5</f>
        <v>621238.51</v>
      </c>
      <c r="E5" s="236">
        <v>0</v>
      </c>
      <c r="F5" s="275">
        <v>288841</v>
      </c>
      <c r="G5" s="227"/>
      <c r="H5" s="236">
        <v>0</v>
      </c>
      <c r="I5" s="241">
        <v>0</v>
      </c>
      <c r="J5" s="214"/>
      <c r="K5" s="214"/>
      <c r="L5" s="214">
        <v>316790.25</v>
      </c>
      <c r="M5" s="9">
        <f>SUM(J5:L5)</f>
        <v>316790.25</v>
      </c>
      <c r="N5" s="214"/>
      <c r="O5" s="214">
        <f>10000+18520</f>
        <v>28520</v>
      </c>
      <c r="P5" s="214">
        <v>0</v>
      </c>
      <c r="Q5" s="214">
        <f>SUM(N5:P5)</f>
        <v>28520</v>
      </c>
      <c r="R5" s="236">
        <f>13768.7+296.23-26977.67</f>
        <v>-12912.739999999998</v>
      </c>
    </row>
    <row r="6" spans="1:22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76"/>
      <c r="G6" s="228"/>
      <c r="H6" s="231"/>
      <c r="I6" s="219"/>
      <c r="J6" s="217"/>
      <c r="K6" s="217"/>
      <c r="L6" s="217">
        <v>0</v>
      </c>
      <c r="M6" s="9">
        <f t="shared" ref="M6:M55" si="0">SUM(J6:L6)</f>
        <v>0</v>
      </c>
      <c r="N6" s="217"/>
      <c r="O6" s="217"/>
      <c r="P6" s="217">
        <v>0</v>
      </c>
      <c r="Q6" s="214">
        <f t="shared" ref="Q6:Q55" si="1">SUM(N6:P6)</f>
        <v>0</v>
      </c>
      <c r="R6" s="231"/>
    </row>
    <row r="7" spans="1:22" ht="15" thickBot="1" x14ac:dyDescent="0.35">
      <c r="A7" s="39">
        <v>562.22</v>
      </c>
      <c r="B7" s="82" t="s">
        <v>92</v>
      </c>
      <c r="C7" s="15">
        <v>802434.61</v>
      </c>
      <c r="D7" s="14">
        <f t="shared" ref="D7:D55" si="2">E7+F7+G7+H7+I7+M7+Q7+R7</f>
        <v>800720.61</v>
      </c>
      <c r="E7" s="231"/>
      <c r="F7" s="276">
        <v>430000</v>
      </c>
      <c r="G7" s="228"/>
      <c r="H7" s="231">
        <f>127454.33+65000</f>
        <v>192454.33000000002</v>
      </c>
      <c r="I7" s="219">
        <v>11400</v>
      </c>
      <c r="J7" s="217"/>
      <c r="K7" s="217"/>
      <c r="L7" s="217">
        <v>85000</v>
      </c>
      <c r="M7" s="9">
        <f t="shared" si="0"/>
        <v>85000</v>
      </c>
      <c r="N7" s="217"/>
      <c r="O7" s="217">
        <v>81490.080000000002</v>
      </c>
      <c r="P7" s="217">
        <v>0</v>
      </c>
      <c r="Q7" s="214">
        <f t="shared" si="1"/>
        <v>81490.080000000002</v>
      </c>
      <c r="R7" s="231">
        <v>376.2</v>
      </c>
      <c r="S7" s="199">
        <v>369.9</v>
      </c>
      <c r="T7" s="199">
        <v>372.2</v>
      </c>
      <c r="U7" s="14">
        <v>397</v>
      </c>
      <c r="V7" s="14">
        <v>85000</v>
      </c>
    </row>
    <row r="8" spans="1:22" ht="15" thickBot="1" x14ac:dyDescent="0.35">
      <c r="A8" s="39">
        <v>562.24</v>
      </c>
      <c r="B8" s="40" t="s">
        <v>49</v>
      </c>
      <c r="C8" s="15">
        <v>49026.19</v>
      </c>
      <c r="D8" s="14">
        <f t="shared" si="2"/>
        <v>37995.869999999995</v>
      </c>
      <c r="E8" s="231"/>
      <c r="F8" s="276">
        <v>18998</v>
      </c>
      <c r="G8" s="228"/>
      <c r="H8" s="231">
        <v>18997.87</v>
      </c>
      <c r="I8" s="219">
        <v>0</v>
      </c>
      <c r="J8" s="217"/>
      <c r="K8" s="217"/>
      <c r="L8" s="217"/>
      <c r="M8" s="9">
        <f t="shared" si="0"/>
        <v>0</v>
      </c>
      <c r="N8" s="217"/>
      <c r="O8" s="217">
        <v>0</v>
      </c>
      <c r="P8" s="217"/>
      <c r="Q8" s="214">
        <f t="shared" si="1"/>
        <v>0</v>
      </c>
      <c r="R8" s="231"/>
      <c r="T8" s="199"/>
      <c r="U8" s="211"/>
    </row>
    <row r="9" spans="1:22" ht="15" thickBot="1" x14ac:dyDescent="0.35">
      <c r="A9" s="39">
        <v>562.25</v>
      </c>
      <c r="B9" s="82" t="s">
        <v>93</v>
      </c>
      <c r="C9" s="15"/>
      <c r="D9" s="14">
        <f t="shared" si="2"/>
        <v>0</v>
      </c>
      <c r="E9" s="231"/>
      <c r="F9" s="276"/>
      <c r="G9" s="228"/>
      <c r="H9" s="231"/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</row>
    <row r="10" spans="1:22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76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</row>
    <row r="11" spans="1:22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76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</row>
    <row r="12" spans="1:22" ht="15" thickBot="1" x14ac:dyDescent="0.35">
      <c r="A12" s="39">
        <v>562.28</v>
      </c>
      <c r="B12" s="82" t="s">
        <v>94</v>
      </c>
      <c r="C12" s="15"/>
      <c r="D12" s="14">
        <f t="shared" si="2"/>
        <v>0</v>
      </c>
      <c r="E12" s="231"/>
      <c r="F12" s="276"/>
      <c r="G12" s="228"/>
      <c r="H12" s="231"/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</row>
    <row r="13" spans="1:22" ht="15" thickBot="1" x14ac:dyDescent="0.35">
      <c r="A13" s="39">
        <v>562.29</v>
      </c>
      <c r="B13" s="82" t="s">
        <v>86</v>
      </c>
      <c r="C13" s="15">
        <v>395152.28</v>
      </c>
      <c r="D13" s="14">
        <f t="shared" si="2"/>
        <v>395162.2</v>
      </c>
      <c r="E13" s="231"/>
      <c r="F13" s="276">
        <v>55000</v>
      </c>
      <c r="G13" s="228"/>
      <c r="H13" s="231">
        <v>2734.07</v>
      </c>
      <c r="I13" s="219"/>
      <c r="J13" s="217"/>
      <c r="K13" s="217"/>
      <c r="L13" s="217"/>
      <c r="M13" s="9">
        <f t="shared" si="0"/>
        <v>0</v>
      </c>
      <c r="N13" s="217"/>
      <c r="O13" s="217">
        <v>330229.13</v>
      </c>
      <c r="P13" s="217"/>
      <c r="Q13" s="214">
        <f t="shared" si="1"/>
        <v>330229.13</v>
      </c>
      <c r="R13" s="231">
        <v>7199</v>
      </c>
      <c r="S13" s="199">
        <v>369.9</v>
      </c>
      <c r="T13" s="200">
        <v>7199</v>
      </c>
    </row>
    <row r="14" spans="1:22" ht="15" thickBot="1" x14ac:dyDescent="0.35">
      <c r="A14" s="39">
        <v>562.32000000000005</v>
      </c>
      <c r="B14" s="40" t="s">
        <v>50</v>
      </c>
      <c r="C14" s="15">
        <v>178309.63</v>
      </c>
      <c r="D14" s="14">
        <f t="shared" si="2"/>
        <v>179707.83000000002</v>
      </c>
      <c r="E14" s="231"/>
      <c r="F14" s="276">
        <v>0</v>
      </c>
      <c r="G14" s="228"/>
      <c r="H14" s="231">
        <f>73202.82+55623.75</f>
        <v>128826.57</v>
      </c>
      <c r="I14" s="219">
        <v>1374.97</v>
      </c>
      <c r="J14" s="217"/>
      <c r="K14" s="217"/>
      <c r="L14" s="217">
        <v>49376.25</v>
      </c>
      <c r="M14" s="9">
        <f t="shared" si="0"/>
        <v>49376.25</v>
      </c>
      <c r="N14" s="217"/>
      <c r="O14" s="217">
        <v>130.04</v>
      </c>
      <c r="P14" s="217"/>
      <c r="Q14" s="214">
        <f t="shared" si="1"/>
        <v>130.04</v>
      </c>
      <c r="R14" s="231"/>
    </row>
    <row r="15" spans="1:22" ht="15" thickBot="1" x14ac:dyDescent="0.35">
      <c r="A15" s="39">
        <v>562.33000000000004</v>
      </c>
      <c r="B15" s="82" t="s">
        <v>95</v>
      </c>
      <c r="C15" s="15">
        <v>176462.34</v>
      </c>
      <c r="D15" s="14">
        <f t="shared" si="2"/>
        <v>176227.92</v>
      </c>
      <c r="E15" s="231"/>
      <c r="F15" s="276">
        <v>0</v>
      </c>
      <c r="G15" s="228"/>
      <c r="H15" s="231">
        <v>20000</v>
      </c>
      <c r="I15" s="219">
        <v>0</v>
      </c>
      <c r="J15" s="217"/>
      <c r="K15" s="217"/>
      <c r="L15" s="217">
        <v>156000</v>
      </c>
      <c r="M15" s="9">
        <f t="shared" si="0"/>
        <v>156000</v>
      </c>
      <c r="N15" s="217"/>
      <c r="O15" s="217">
        <v>227.92</v>
      </c>
      <c r="P15" s="217"/>
      <c r="Q15" s="214">
        <f t="shared" si="1"/>
        <v>227.92</v>
      </c>
      <c r="R15" s="231"/>
    </row>
    <row r="16" spans="1:22" ht="15" thickBot="1" x14ac:dyDescent="0.35">
      <c r="A16" s="39">
        <v>562.34</v>
      </c>
      <c r="B16" s="40" t="s">
        <v>51</v>
      </c>
      <c r="C16" s="15">
        <v>263188.02</v>
      </c>
      <c r="D16" s="14">
        <f t="shared" si="2"/>
        <v>264019.40000000002</v>
      </c>
      <c r="E16" s="231"/>
      <c r="F16" s="276">
        <v>0</v>
      </c>
      <c r="G16" s="228"/>
      <c r="H16" s="231">
        <f>44812+9240.99</f>
        <v>54052.99</v>
      </c>
      <c r="I16" s="219">
        <v>0</v>
      </c>
      <c r="J16" s="217"/>
      <c r="K16" s="217"/>
      <c r="L16" s="217">
        <f>10634.23+187500</f>
        <v>198134.23</v>
      </c>
      <c r="M16" s="9">
        <f t="shared" si="0"/>
        <v>198134.23</v>
      </c>
      <c r="N16" s="217"/>
      <c r="O16" s="217">
        <v>11819.34</v>
      </c>
      <c r="P16" s="217"/>
      <c r="Q16" s="214">
        <f t="shared" si="1"/>
        <v>11819.34</v>
      </c>
      <c r="R16" s="231">
        <v>12.84</v>
      </c>
      <c r="S16" s="199">
        <v>367</v>
      </c>
      <c r="T16" s="204">
        <v>12.87</v>
      </c>
    </row>
    <row r="17" spans="1:22" ht="15" thickBot="1" x14ac:dyDescent="0.35">
      <c r="A17" s="39">
        <v>562.35</v>
      </c>
      <c r="B17" s="40" t="s">
        <v>52</v>
      </c>
      <c r="C17" s="15">
        <v>1118760.27</v>
      </c>
      <c r="D17" s="14">
        <f t="shared" si="2"/>
        <v>1154862.44</v>
      </c>
      <c r="E17" s="231">
        <v>245667</v>
      </c>
      <c r="F17" s="276">
        <v>217500</v>
      </c>
      <c r="G17" s="228"/>
      <c r="H17" s="231">
        <f>388453.07+31333+36000</f>
        <v>455786.07</v>
      </c>
      <c r="I17" s="219">
        <v>115378.85</v>
      </c>
      <c r="J17" s="217"/>
      <c r="K17" s="217"/>
      <c r="L17" s="217">
        <v>148</v>
      </c>
      <c r="M17" s="9">
        <f t="shared" si="0"/>
        <v>148</v>
      </c>
      <c r="N17" s="217"/>
      <c r="O17" s="217">
        <v>120321.32</v>
      </c>
      <c r="P17" s="217"/>
      <c r="Q17" s="214">
        <f t="shared" si="1"/>
        <v>120321.32</v>
      </c>
      <c r="R17" s="231">
        <f>1.2+60</f>
        <v>61.2</v>
      </c>
      <c r="S17" s="199">
        <v>367</v>
      </c>
      <c r="T17" s="199">
        <v>1.2</v>
      </c>
      <c r="U17" s="211">
        <v>369.9</v>
      </c>
      <c r="V17" s="211">
        <v>60</v>
      </c>
    </row>
    <row r="18" spans="1:22" ht="15" thickBot="1" x14ac:dyDescent="0.35">
      <c r="A18" s="39">
        <v>562.39</v>
      </c>
      <c r="B18" s="40" t="s">
        <v>53</v>
      </c>
      <c r="C18" s="15">
        <v>572579.93000000005</v>
      </c>
      <c r="D18" s="14">
        <f t="shared" si="2"/>
        <v>539235.69999999995</v>
      </c>
      <c r="E18" s="231"/>
      <c r="F18" s="276"/>
      <c r="G18" s="228"/>
      <c r="H18" s="231">
        <f>28405.52+6830.18</f>
        <v>35235.699999999997</v>
      </c>
      <c r="I18" s="219">
        <v>0</v>
      </c>
      <c r="J18" s="217"/>
      <c r="K18" s="217"/>
      <c r="L18" s="217">
        <v>504000</v>
      </c>
      <c r="M18" s="9">
        <f t="shared" si="0"/>
        <v>504000</v>
      </c>
      <c r="N18" s="217"/>
      <c r="O18" s="217"/>
      <c r="P18" s="217"/>
      <c r="Q18" s="214">
        <f t="shared" si="1"/>
        <v>0</v>
      </c>
      <c r="R18" s="231">
        <v>0</v>
      </c>
    </row>
    <row r="19" spans="1:22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76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</row>
    <row r="20" spans="1:22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76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</row>
    <row r="21" spans="1:22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76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</row>
    <row r="22" spans="1:22" ht="15" thickBot="1" x14ac:dyDescent="0.35">
      <c r="A22" s="39">
        <v>562.44000000000005</v>
      </c>
      <c r="B22" s="82" t="s">
        <v>97</v>
      </c>
      <c r="C22" s="15">
        <v>40938</v>
      </c>
      <c r="D22" s="14">
        <f t="shared" si="2"/>
        <v>41000</v>
      </c>
      <c r="E22" s="231">
        <v>0</v>
      </c>
      <c r="F22" s="276">
        <v>41000</v>
      </c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</row>
    <row r="23" spans="1:22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76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</row>
    <row r="24" spans="1:22" ht="15" thickBot="1" x14ac:dyDescent="0.35">
      <c r="A24" s="39">
        <v>562.49</v>
      </c>
      <c r="B24" s="82" t="s">
        <v>87</v>
      </c>
      <c r="C24" s="15">
        <v>835042.55</v>
      </c>
      <c r="D24" s="14">
        <f t="shared" si="2"/>
        <v>836644.1</v>
      </c>
      <c r="E24" s="231"/>
      <c r="F24" s="276">
        <v>335000</v>
      </c>
      <c r="G24" s="228"/>
      <c r="H24" s="231">
        <f>94143.61+5169.08+190751.06+210050.35</f>
        <v>500114.1</v>
      </c>
      <c r="I24" s="219"/>
      <c r="J24" s="217"/>
      <c r="K24" s="217"/>
      <c r="L24" s="217"/>
      <c r="M24" s="9">
        <f t="shared" si="0"/>
        <v>0</v>
      </c>
      <c r="N24" s="217"/>
      <c r="O24" s="217">
        <v>1230</v>
      </c>
      <c r="P24" s="217"/>
      <c r="Q24" s="214">
        <f t="shared" si="1"/>
        <v>1230</v>
      </c>
      <c r="R24" s="231">
        <v>300</v>
      </c>
      <c r="S24" s="199">
        <v>369.9</v>
      </c>
      <c r="T24" s="200">
        <v>300</v>
      </c>
    </row>
    <row r="25" spans="1:22" ht="15" thickBot="1" x14ac:dyDescent="0.35">
      <c r="A25" s="39">
        <v>562.52</v>
      </c>
      <c r="B25" s="40" t="s">
        <v>56</v>
      </c>
      <c r="C25" s="15">
        <v>243055.45</v>
      </c>
      <c r="D25" s="14">
        <f t="shared" si="2"/>
        <v>244643.55</v>
      </c>
      <c r="E25" s="231"/>
      <c r="F25" s="276"/>
      <c r="G25" s="228">
        <v>19695</v>
      </c>
      <c r="H25" s="231"/>
      <c r="I25" s="219"/>
      <c r="J25" s="217"/>
      <c r="K25" s="217"/>
      <c r="L25" s="217">
        <v>85000</v>
      </c>
      <c r="M25" s="9">
        <f t="shared" si="0"/>
        <v>85000</v>
      </c>
      <c r="N25" s="217">
        <v>41200</v>
      </c>
      <c r="O25" s="217">
        <f>4916.55+90032+3800</f>
        <v>98748.55</v>
      </c>
      <c r="P25" s="217"/>
      <c r="Q25" s="214">
        <f t="shared" si="1"/>
        <v>139948.54999999999</v>
      </c>
      <c r="R25" s="231">
        <v>0</v>
      </c>
    </row>
    <row r="26" spans="1:22" ht="15" thickBot="1" x14ac:dyDescent="0.35">
      <c r="A26" s="39">
        <v>562.53</v>
      </c>
      <c r="B26" s="82" t="s">
        <v>99</v>
      </c>
      <c r="C26" s="15">
        <v>318401.32</v>
      </c>
      <c r="D26" s="14">
        <f t="shared" si="2"/>
        <v>318913.02</v>
      </c>
      <c r="E26" s="231"/>
      <c r="F26" s="276"/>
      <c r="G26" s="228">
        <v>217103.02</v>
      </c>
      <c r="H26" s="231"/>
      <c r="I26" s="219"/>
      <c r="J26" s="217"/>
      <c r="K26" s="217"/>
      <c r="L26" s="217">
        <v>17000</v>
      </c>
      <c r="M26" s="9">
        <f t="shared" si="0"/>
        <v>17000</v>
      </c>
      <c r="N26" s="217">
        <f>57452+27358</f>
        <v>84810</v>
      </c>
      <c r="O26" s="217"/>
      <c r="P26" s="217"/>
      <c r="Q26" s="214">
        <f t="shared" si="1"/>
        <v>84810</v>
      </c>
      <c r="R26" s="231"/>
    </row>
    <row r="27" spans="1:22" ht="15" thickBot="1" x14ac:dyDescent="0.35">
      <c r="A27" s="39">
        <v>562.54</v>
      </c>
      <c r="B27" s="82" t="s">
        <v>100</v>
      </c>
      <c r="C27" s="15">
        <v>851722.05</v>
      </c>
      <c r="D27" s="14">
        <f t="shared" si="2"/>
        <v>851361.17</v>
      </c>
      <c r="E27" s="231"/>
      <c r="F27" s="276"/>
      <c r="G27" s="228"/>
      <c r="H27" s="231"/>
      <c r="I27" s="219"/>
      <c r="J27" s="217"/>
      <c r="K27" s="217"/>
      <c r="L27" s="217">
        <v>35000</v>
      </c>
      <c r="M27" s="9">
        <f t="shared" si="0"/>
        <v>35000</v>
      </c>
      <c r="N27" s="217">
        <f>23124+730460.27</f>
        <v>753584.27</v>
      </c>
      <c r="O27" s="217">
        <v>62776.9</v>
      </c>
      <c r="P27" s="217"/>
      <c r="Q27" s="214">
        <f t="shared" si="1"/>
        <v>816361.17</v>
      </c>
      <c r="R27" s="231"/>
    </row>
    <row r="28" spans="1:22" ht="15" thickBot="1" x14ac:dyDescent="0.35">
      <c r="A28" s="39">
        <v>562.54999999999995</v>
      </c>
      <c r="B28" s="40" t="s">
        <v>57</v>
      </c>
      <c r="C28" s="15"/>
      <c r="D28" s="14">
        <f t="shared" si="2"/>
        <v>0</v>
      </c>
      <c r="E28" s="231"/>
      <c r="F28" s="276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</row>
    <row r="29" spans="1:22" ht="15" thickBot="1" x14ac:dyDescent="0.35">
      <c r="A29" s="39">
        <v>562.55999999999995</v>
      </c>
      <c r="B29" s="40" t="s">
        <v>58</v>
      </c>
      <c r="C29" s="15">
        <v>1263678.82</v>
      </c>
      <c r="D29" s="14">
        <f t="shared" si="2"/>
        <v>1399404.56</v>
      </c>
      <c r="E29" s="231"/>
      <c r="F29" s="276"/>
      <c r="G29" s="228"/>
      <c r="H29" s="231"/>
      <c r="I29" s="219">
        <v>4641</v>
      </c>
      <c r="J29" s="217"/>
      <c r="K29" s="217"/>
      <c r="L29" s="217"/>
      <c r="M29" s="9">
        <f t="shared" si="0"/>
        <v>0</v>
      </c>
      <c r="N29" s="217">
        <f>1181007.56+137670</f>
        <v>1318677.56</v>
      </c>
      <c r="O29" s="217">
        <v>76086</v>
      </c>
      <c r="P29" s="217"/>
      <c r="Q29" s="214">
        <f t="shared" si="1"/>
        <v>1394763.56</v>
      </c>
      <c r="R29" s="231"/>
    </row>
    <row r="30" spans="1:22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76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</row>
    <row r="31" spans="1:22" ht="15" thickBot="1" x14ac:dyDescent="0.35">
      <c r="A31" s="39">
        <v>562.58000000000004</v>
      </c>
      <c r="B31" s="82" t="s">
        <v>88</v>
      </c>
      <c r="C31" s="15">
        <v>152089.69</v>
      </c>
      <c r="D31" s="14">
        <f t="shared" si="2"/>
        <v>181801.71</v>
      </c>
      <c r="E31" s="231"/>
      <c r="F31" s="276"/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v>181801.71</v>
      </c>
      <c r="O31" s="217"/>
      <c r="P31" s="217"/>
      <c r="Q31" s="214">
        <f t="shared" si="1"/>
        <v>181801.71</v>
      </c>
      <c r="R31" s="231"/>
    </row>
    <row r="32" spans="1:22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76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</row>
    <row r="33" spans="1:20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76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</row>
    <row r="34" spans="1:20" ht="15" thickBot="1" x14ac:dyDescent="0.35">
      <c r="A34" s="39">
        <v>562.71</v>
      </c>
      <c r="B34" s="40" t="s">
        <v>60</v>
      </c>
      <c r="C34" s="15">
        <v>413233.64</v>
      </c>
      <c r="D34" s="14">
        <f t="shared" si="2"/>
        <v>540182</v>
      </c>
      <c r="E34" s="231"/>
      <c r="F34" s="276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540172</v>
      </c>
      <c r="P34" s="217"/>
      <c r="Q34" s="214">
        <f t="shared" si="1"/>
        <v>540172</v>
      </c>
      <c r="R34" s="231">
        <v>10</v>
      </c>
      <c r="S34" s="199">
        <v>369.9</v>
      </c>
      <c r="T34" s="200">
        <v>10</v>
      </c>
    </row>
    <row r="35" spans="1:20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76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</row>
    <row r="36" spans="1:20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76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</row>
    <row r="37" spans="1:20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76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</row>
    <row r="38" spans="1:20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76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</row>
    <row r="39" spans="1:20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76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</row>
    <row r="40" spans="1:20" ht="15" thickBot="1" x14ac:dyDescent="0.35">
      <c r="A40" s="39">
        <v>562.79999999999995</v>
      </c>
      <c r="B40" s="40" t="s">
        <v>65</v>
      </c>
      <c r="C40" s="15">
        <v>399315.25</v>
      </c>
      <c r="D40" s="14">
        <f t="shared" si="2"/>
        <v>401960.06</v>
      </c>
      <c r="E40" s="231"/>
      <c r="F40" s="276">
        <v>400000</v>
      </c>
      <c r="G40" s="228"/>
      <c r="H40" s="231">
        <v>1960.06</v>
      </c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>
        <v>0</v>
      </c>
    </row>
    <row r="41" spans="1:20" ht="15" thickBot="1" x14ac:dyDescent="0.35">
      <c r="A41" s="39">
        <v>562.88</v>
      </c>
      <c r="B41" s="82" t="s">
        <v>91</v>
      </c>
      <c r="C41" s="15">
        <v>577293.47</v>
      </c>
      <c r="D41" s="14">
        <f t="shared" si="2"/>
        <v>577369.24000000011</v>
      </c>
      <c r="E41" s="231"/>
      <c r="F41" s="276"/>
      <c r="G41" s="228"/>
      <c r="H41" s="231">
        <f>441862.96+86279.88</f>
        <v>528142.84000000008</v>
      </c>
      <c r="I41" s="219"/>
      <c r="J41" s="217"/>
      <c r="K41" s="217"/>
      <c r="L41" s="217">
        <v>45000</v>
      </c>
      <c r="M41" s="9">
        <f t="shared" si="0"/>
        <v>45000</v>
      </c>
      <c r="N41" s="217"/>
      <c r="O41" s="217">
        <v>4226.3999999999996</v>
      </c>
      <c r="P41" s="217"/>
      <c r="Q41" s="214">
        <f t="shared" si="1"/>
        <v>4226.3999999999996</v>
      </c>
      <c r="R41" s="231"/>
    </row>
    <row r="42" spans="1:20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76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</row>
    <row r="43" spans="1:20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</row>
    <row r="44" spans="1:20" x14ac:dyDescent="0.3">
      <c r="A44" s="206" t="s">
        <v>110</v>
      </c>
      <c r="B44" s="207" t="s">
        <v>68</v>
      </c>
      <c r="C44" s="208">
        <f>SUM(C5:C43)</f>
        <v>10257667.640000001</v>
      </c>
      <c r="D44" s="205">
        <f>E44+F44+G44+H44+I44+M44+Q44+R44</f>
        <v>9562449.8900000006</v>
      </c>
      <c r="E44" s="233">
        <f t="shared" ref="E44:R44" si="3">SUM(E5:E43)</f>
        <v>245667</v>
      </c>
      <c r="F44" s="259">
        <f t="shared" si="3"/>
        <v>1786339</v>
      </c>
      <c r="G44" s="223">
        <f t="shared" si="3"/>
        <v>236798.02</v>
      </c>
      <c r="H44" s="233">
        <f t="shared" si="3"/>
        <v>1938304.6</v>
      </c>
      <c r="I44" s="239">
        <f t="shared" si="3"/>
        <v>132794.82</v>
      </c>
      <c r="J44" s="245">
        <f>SUM(J5:J43)</f>
        <v>0</v>
      </c>
      <c r="K44" s="245">
        <f>SUM(K5:K43)</f>
        <v>0</v>
      </c>
      <c r="L44" s="245">
        <f>SUM(L5:L43)</f>
        <v>1491448.73</v>
      </c>
      <c r="M44" s="208">
        <f t="shared" si="3"/>
        <v>1491448.73</v>
      </c>
      <c r="N44" s="245">
        <f>SUM(N5:N43)</f>
        <v>2380073.54</v>
      </c>
      <c r="O44" s="245">
        <f>SUM(O5:O43)</f>
        <v>1355977.6800000002</v>
      </c>
      <c r="P44" s="245">
        <f>SUM(P5:P43)</f>
        <v>0</v>
      </c>
      <c r="Q44" s="216">
        <f t="shared" si="3"/>
        <v>3736051.22</v>
      </c>
      <c r="R44" s="233">
        <f t="shared" si="3"/>
        <v>-4953.4999999999973</v>
      </c>
    </row>
    <row r="45" spans="1:20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</row>
    <row r="46" spans="1:20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</row>
    <row r="47" spans="1:20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</row>
    <row r="48" spans="1:20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</row>
    <row r="49" spans="1:18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</row>
    <row r="50" spans="1:18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</row>
    <row r="51" spans="1:18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</row>
    <row r="52" spans="1:18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</row>
    <row r="53" spans="1:18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</row>
    <row r="54" spans="1:18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</row>
    <row r="55" spans="1:18" x14ac:dyDescent="0.3">
      <c r="A55" s="41">
        <v>500</v>
      </c>
      <c r="B55" s="32" t="s">
        <v>118</v>
      </c>
      <c r="C55" s="18"/>
      <c r="D55" s="20">
        <f t="shared" si="2"/>
        <v>0</v>
      </c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</row>
    <row r="56" spans="1:18" ht="15" thickBot="1" x14ac:dyDescent="0.35">
      <c r="A56" s="107"/>
      <c r="B56" s="108" t="s">
        <v>80</v>
      </c>
      <c r="C56" s="111">
        <f>SUM(C44:C55)</f>
        <v>10257667.640000001</v>
      </c>
      <c r="D56" s="110">
        <f>E56+F56+G56+H56+I56+M56+Q56+R56</f>
        <v>9562449.8900000006</v>
      </c>
      <c r="E56" s="235">
        <f t="shared" ref="E56:R56" si="4">SUM(E44:E55)</f>
        <v>245667</v>
      </c>
      <c r="F56" s="260">
        <f t="shared" si="4"/>
        <v>1786339</v>
      </c>
      <c r="G56" s="225">
        <f t="shared" si="4"/>
        <v>236798.02</v>
      </c>
      <c r="H56" s="235">
        <f t="shared" si="4"/>
        <v>1938304.6</v>
      </c>
      <c r="I56" s="240">
        <f t="shared" si="4"/>
        <v>132794.82</v>
      </c>
      <c r="J56" s="218">
        <f>SUM(J44:J55)</f>
        <v>0</v>
      </c>
      <c r="K56" s="218">
        <f>SUM(K44:K55)</f>
        <v>0</v>
      </c>
      <c r="L56" s="218">
        <f>SUM(L44:L55)</f>
        <v>1491448.73</v>
      </c>
      <c r="M56" s="209">
        <f t="shared" si="4"/>
        <v>1491448.73</v>
      </c>
      <c r="N56" s="218">
        <f>SUM(N44:N55)</f>
        <v>2380073.54</v>
      </c>
      <c r="O56" s="218">
        <f>SUM(O44:O55)</f>
        <v>1355977.6800000002</v>
      </c>
      <c r="P56" s="218">
        <f>SUM(P44:P55)</f>
        <v>0</v>
      </c>
      <c r="Q56" s="218">
        <f t="shared" si="4"/>
        <v>3736051.22</v>
      </c>
      <c r="R56" s="235">
        <f t="shared" si="4"/>
        <v>-4953.4999999999973</v>
      </c>
    </row>
    <row r="57" spans="1:18" ht="15" thickTop="1" x14ac:dyDescent="0.3"/>
    <row r="58" spans="1:18" ht="15" thickBot="1" x14ac:dyDescent="0.35"/>
    <row r="59" spans="1:18" ht="15" thickBot="1" x14ac:dyDescent="0.35">
      <c r="B59" s="42" t="s">
        <v>109</v>
      </c>
      <c r="C59" s="43"/>
      <c r="D59" s="44"/>
    </row>
    <row r="60" spans="1:18" ht="15" thickTop="1" x14ac:dyDescent="0.3">
      <c r="B60" s="115"/>
      <c r="C60" s="116" t="s">
        <v>82</v>
      </c>
      <c r="D60" s="117" t="s">
        <v>78</v>
      </c>
    </row>
    <row r="61" spans="1:18" x14ac:dyDescent="0.3">
      <c r="B61" s="153" t="s">
        <v>108</v>
      </c>
      <c r="C61" s="45"/>
      <c r="D61" s="46"/>
    </row>
    <row r="62" spans="1:18" x14ac:dyDescent="0.3">
      <c r="B62" s="26" t="s">
        <v>3</v>
      </c>
      <c r="C62" s="47">
        <f>E56</f>
        <v>245667</v>
      </c>
      <c r="D62" s="48">
        <f>E56/D56</f>
        <v>2.5690801293181992E-2</v>
      </c>
    </row>
    <row r="63" spans="1:18" x14ac:dyDescent="0.3">
      <c r="B63" s="26" t="s">
        <v>4</v>
      </c>
      <c r="C63" s="49">
        <f>F56</f>
        <v>1786339</v>
      </c>
      <c r="D63" s="48">
        <f>F56/D56</f>
        <v>0.18680767173149598</v>
      </c>
    </row>
    <row r="64" spans="1:18" x14ac:dyDescent="0.3">
      <c r="B64" s="56" t="s">
        <v>79</v>
      </c>
      <c r="C64" s="50">
        <f>G56</f>
        <v>236798.02</v>
      </c>
      <c r="D64" s="51">
        <f>G56/D56</f>
        <v>2.4763321400265135E-2</v>
      </c>
    </row>
    <row r="65" spans="2:4" ht="15" thickBot="1" x14ac:dyDescent="0.35">
      <c r="B65" s="146" t="s">
        <v>115</v>
      </c>
      <c r="C65" s="52">
        <f>SUM(C62:C64)</f>
        <v>2268804.02</v>
      </c>
      <c r="D65" s="53">
        <f>SUM(D62:D64)</f>
        <v>0.23726179442494311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1938304.6</v>
      </c>
      <c r="D67" s="25">
        <f>H56/D56</f>
        <v>0.20269958246024336</v>
      </c>
    </row>
    <row r="68" spans="2:4" x14ac:dyDescent="0.3">
      <c r="B68" s="57" t="s">
        <v>7</v>
      </c>
      <c r="C68" s="27">
        <f>I56</f>
        <v>132794.82</v>
      </c>
      <c r="D68" s="28">
        <f>I56/D56</f>
        <v>1.3887112772101544E-2</v>
      </c>
    </row>
    <row r="69" spans="2:4" ht="15" thickBot="1" x14ac:dyDescent="0.35">
      <c r="B69" s="146" t="s">
        <v>116</v>
      </c>
      <c r="C69" s="52">
        <f>SUM(C67:C68)</f>
        <v>2071099.4200000002</v>
      </c>
      <c r="D69" s="53">
        <f>SUM(D67:D68)</f>
        <v>0.21658669523234492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1491448.73</v>
      </c>
      <c r="D71" s="25">
        <f>M56/D56</f>
        <v>0.15596931196049382</v>
      </c>
    </row>
    <row r="72" spans="2:4" x14ac:dyDescent="0.3">
      <c r="B72" s="24" t="s">
        <v>8</v>
      </c>
      <c r="C72" s="23">
        <f>Q56</f>
        <v>3736051.22</v>
      </c>
      <c r="D72" s="25">
        <f>Q56/D56</f>
        <v>0.39070021416865169</v>
      </c>
    </row>
    <row r="73" spans="2:4" x14ac:dyDescent="0.3">
      <c r="B73" s="163" t="s">
        <v>83</v>
      </c>
      <c r="C73" s="27">
        <f>R56</f>
        <v>-4953.4999999999973</v>
      </c>
      <c r="D73" s="28">
        <f>R56/D56</f>
        <v>-5.1801578643357444E-4</v>
      </c>
    </row>
    <row r="74" spans="2:4" ht="15" thickBot="1" x14ac:dyDescent="0.35">
      <c r="B74" s="146" t="s">
        <v>117</v>
      </c>
      <c r="C74" s="52">
        <f>SUM(C71:C73)</f>
        <v>5222546.45</v>
      </c>
      <c r="D74" s="53">
        <f>SUM(D71:D73)</f>
        <v>0.54615151034271192</v>
      </c>
    </row>
    <row r="75" spans="2:4" ht="15" thickBot="1" x14ac:dyDescent="0.35">
      <c r="B75" s="157" t="s">
        <v>80</v>
      </c>
      <c r="C75" s="158">
        <f>C65+C69+C74</f>
        <v>9562449.8900000006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 U7:V7">
    <cfRule type="expression" dxfId="174" priority="7">
      <formula>ROW()=EVEN(ROW())</formula>
    </cfRule>
  </conditionalFormatting>
  <conditionalFormatting sqref="A55:B55">
    <cfRule type="expression" dxfId="173" priority="5">
      <formula>ROW()=EVEN(ROW())</formula>
    </cfRule>
  </conditionalFormatting>
  <conditionalFormatting sqref="A54:B54">
    <cfRule type="expression" dxfId="172" priority="4">
      <formula>ROW()=EVEN(ROW())</formula>
    </cfRule>
  </conditionalFormatting>
  <conditionalFormatting sqref="M45:M55">
    <cfRule type="expression" dxfId="171" priority="3">
      <formula>ROW()=EVEN(ROW())</formula>
    </cfRule>
  </conditionalFormatting>
  <conditionalFormatting sqref="D45:D55">
    <cfRule type="expression" dxfId="170" priority="2">
      <formula>ROW()=EVEN(ROW())</formula>
    </cfRule>
  </conditionalFormatting>
  <conditionalFormatting sqref="N44:P55">
    <cfRule type="expression" dxfId="169" priority="1">
      <formula>ROW()=EVEN(ROW())</formula>
    </cfRule>
  </conditionalFormatting>
  <printOptions horizontalCentered="1"/>
  <pageMargins left="0" right="0" top="1.1000000000000001" bottom="0.5" header="0.3" footer="0.3"/>
  <pageSetup scale="85" fitToHeight="0" orientation="landscape" r:id="rId1"/>
  <headerFooter>
    <oddHeader>&amp;C&amp;"-,Bold"&amp;20Funding by Expenditure Code and Revenue Source&amp;"-,Regular"&amp;11
&amp;"-,Bold"&amp;20 2014&amp;"-,Regular"&amp;11
&amp;"-,Bold"&amp;20CLARK</oddHeader>
    <oddFooter>Page &amp;P</oddFooter>
  </headerFooter>
  <rowBreaks count="1" manualBreakCount="1">
    <brk id="44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88"/>
  <sheetViews>
    <sheetView showZeros="0" topLeftCell="A16" zoomScaleNormal="100" workbookViewId="0">
      <selection activeCell="E16" sqref="E16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4" x14ac:dyDescent="0.3">
      <c r="A1" s="22" t="s">
        <v>150</v>
      </c>
      <c r="B1" s="6"/>
      <c r="C1" s="31">
        <v>4080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4" x14ac:dyDescent="0.3">
      <c r="A2" s="80" t="s">
        <v>44</v>
      </c>
      <c r="B2" s="5"/>
      <c r="C2" s="83">
        <v>4.2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145</v>
      </c>
    </row>
    <row r="3" spans="1:24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4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  <c r="W4" s="202" t="s">
        <v>153</v>
      </c>
      <c r="X4" s="203" t="s">
        <v>82</v>
      </c>
    </row>
    <row r="5" spans="1:24" ht="15" thickBot="1" x14ac:dyDescent="0.35">
      <c r="A5" s="36">
        <v>562.1</v>
      </c>
      <c r="B5" s="37" t="s">
        <v>47</v>
      </c>
      <c r="C5" s="16">
        <f>30660+19926+44233+15841+14554</f>
        <v>125214</v>
      </c>
      <c r="D5" s="14">
        <f>E5+F5+G5+H5+I5+M5+Q5+R5</f>
        <v>125213</v>
      </c>
      <c r="E5" s="236">
        <v>0</v>
      </c>
      <c r="F5" s="256">
        <v>61053</v>
      </c>
      <c r="G5" s="227">
        <v>0</v>
      </c>
      <c r="H5" s="236">
        <f>8178+6090+1000+5194</f>
        <v>20462</v>
      </c>
      <c r="I5" s="241"/>
      <c r="J5" s="214"/>
      <c r="K5" s="214"/>
      <c r="L5" s="214">
        <v>36467</v>
      </c>
      <c r="M5" s="9">
        <f>SUM(J5:L5)</f>
        <v>36467</v>
      </c>
      <c r="N5" s="214"/>
      <c r="O5" s="214"/>
      <c r="P5" s="214"/>
      <c r="Q5" s="214">
        <f>SUM(N5:P5)</f>
        <v>0</v>
      </c>
      <c r="R5" s="236">
        <f>1860+5280+91</f>
        <v>7231</v>
      </c>
      <c r="S5" s="199">
        <v>389</v>
      </c>
      <c r="T5" s="199">
        <v>1860</v>
      </c>
      <c r="U5" s="211">
        <v>362.5</v>
      </c>
      <c r="V5" s="211">
        <v>5280</v>
      </c>
      <c r="W5" s="211">
        <v>389</v>
      </c>
      <c r="X5" s="211">
        <v>91</v>
      </c>
    </row>
    <row r="6" spans="1:24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  <c r="U6" s="211"/>
      <c r="V6" s="211"/>
      <c r="W6" s="211"/>
      <c r="X6" s="211"/>
    </row>
    <row r="7" spans="1:24" ht="15" thickBot="1" x14ac:dyDescent="0.35">
      <c r="A7" s="39">
        <v>562.22</v>
      </c>
      <c r="B7" s="82" t="s">
        <v>92</v>
      </c>
      <c r="C7" s="15">
        <f>16852+26190</f>
        <v>43042</v>
      </c>
      <c r="D7" s="14">
        <f t="shared" ref="D7:D55" si="2">E7+F7+G7+H7+I7+M7+Q7+R7</f>
        <v>43042</v>
      </c>
      <c r="E7" s="231"/>
      <c r="F7" s="257"/>
      <c r="G7" s="228"/>
      <c r="H7" s="231">
        <v>20461</v>
      </c>
      <c r="I7" s="219">
        <v>22581</v>
      </c>
      <c r="J7" s="217"/>
      <c r="K7" s="217"/>
      <c r="L7" s="217"/>
      <c r="M7" s="9">
        <f t="shared" si="0"/>
        <v>0</v>
      </c>
      <c r="N7" s="217"/>
      <c r="O7" s="217"/>
      <c r="P7" s="217"/>
      <c r="Q7" s="214">
        <f t="shared" si="1"/>
        <v>0</v>
      </c>
      <c r="R7" s="231"/>
      <c r="T7" s="199"/>
      <c r="U7" s="211"/>
      <c r="V7" s="211"/>
      <c r="W7" s="211"/>
      <c r="X7" s="211"/>
    </row>
    <row r="8" spans="1:24" ht="15" thickBot="1" x14ac:dyDescent="0.35">
      <c r="A8" s="39">
        <v>562.24</v>
      </c>
      <c r="B8" s="40" t="s">
        <v>49</v>
      </c>
      <c r="C8" s="15">
        <v>2280</v>
      </c>
      <c r="D8" s="14">
        <f t="shared" si="2"/>
        <v>2280</v>
      </c>
      <c r="E8" s="231"/>
      <c r="F8" s="257">
        <f>264+369</f>
        <v>633</v>
      </c>
      <c r="G8" s="228"/>
      <c r="H8" s="231">
        <f>264+1383</f>
        <v>1647</v>
      </c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/>
      <c r="T8" s="199"/>
      <c r="U8" s="211"/>
      <c r="V8" s="211"/>
      <c r="W8" s="211"/>
      <c r="X8" s="211"/>
    </row>
    <row r="9" spans="1:24" ht="15" thickBot="1" x14ac:dyDescent="0.35">
      <c r="A9" s="39">
        <v>562.25</v>
      </c>
      <c r="B9" s="82" t="s">
        <v>93</v>
      </c>
      <c r="C9" s="15">
        <v>10284</v>
      </c>
      <c r="D9" s="14">
        <f t="shared" si="2"/>
        <v>10284</v>
      </c>
      <c r="E9" s="231"/>
      <c r="F9" s="257">
        <v>3344</v>
      </c>
      <c r="G9" s="228"/>
      <c r="H9" s="231">
        <v>6940</v>
      </c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  <c r="T9" s="199"/>
      <c r="U9" s="211"/>
      <c r="V9" s="211"/>
      <c r="W9" s="211"/>
      <c r="X9" s="211"/>
    </row>
    <row r="10" spans="1:24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T10" s="199"/>
      <c r="U10" s="211"/>
      <c r="V10" s="211"/>
      <c r="W10" s="211"/>
      <c r="X10" s="211"/>
    </row>
    <row r="11" spans="1:24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T11" s="199"/>
      <c r="U11" s="211"/>
      <c r="V11" s="211"/>
      <c r="W11" s="211"/>
      <c r="X11" s="211"/>
    </row>
    <row r="12" spans="1:24" ht="15" thickBot="1" x14ac:dyDescent="0.35">
      <c r="A12" s="39">
        <v>562.28</v>
      </c>
      <c r="B12" s="82" t="s">
        <v>94</v>
      </c>
      <c r="C12" s="15">
        <f>16625+42954</f>
        <v>59579</v>
      </c>
      <c r="D12" s="14">
        <f t="shared" si="2"/>
        <v>59579</v>
      </c>
      <c r="E12" s="231"/>
      <c r="F12" s="257">
        <v>4909</v>
      </c>
      <c r="G12" s="228"/>
      <c r="H12" s="231">
        <f>38400+16157+113</f>
        <v>54670</v>
      </c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  <c r="T12" s="199"/>
      <c r="U12" s="211"/>
      <c r="V12" s="211"/>
      <c r="W12" s="211"/>
      <c r="X12" s="211"/>
    </row>
    <row r="13" spans="1:24" ht="15" thickBot="1" x14ac:dyDescent="0.35">
      <c r="A13" s="39">
        <v>562.29</v>
      </c>
      <c r="B13" s="82" t="s">
        <v>86</v>
      </c>
      <c r="C13" s="15">
        <f>32611+6874+152</f>
        <v>39637</v>
      </c>
      <c r="D13" s="14">
        <f t="shared" si="2"/>
        <v>39637</v>
      </c>
      <c r="E13" s="231"/>
      <c r="F13" s="257">
        <v>4000</v>
      </c>
      <c r="G13" s="228"/>
      <c r="H13" s="231"/>
      <c r="I13" s="219">
        <v>6158</v>
      </c>
      <c r="J13" s="217"/>
      <c r="K13" s="217"/>
      <c r="L13" s="217">
        <v>4142</v>
      </c>
      <c r="M13" s="9">
        <f t="shared" si="0"/>
        <v>4142</v>
      </c>
      <c r="N13" s="217"/>
      <c r="O13" s="217">
        <v>25337</v>
      </c>
      <c r="P13" s="217"/>
      <c r="Q13" s="214">
        <f t="shared" si="1"/>
        <v>25337</v>
      </c>
      <c r="R13" s="231"/>
      <c r="T13" s="199"/>
      <c r="U13" s="211"/>
      <c r="V13" s="211"/>
      <c r="W13" s="211"/>
      <c r="X13" s="211"/>
    </row>
    <row r="14" spans="1:24" ht="15" thickBot="1" x14ac:dyDescent="0.35">
      <c r="A14" s="39">
        <v>562.32000000000005</v>
      </c>
      <c r="B14" s="40" t="s">
        <v>50</v>
      </c>
      <c r="C14" s="15">
        <f>17238+21315</f>
        <v>38553</v>
      </c>
      <c r="D14" s="14">
        <f t="shared" si="2"/>
        <v>38553</v>
      </c>
      <c r="E14" s="231"/>
      <c r="F14" s="257">
        <v>20000</v>
      </c>
      <c r="G14" s="228"/>
      <c r="H14" s="231">
        <f>1906+761+358</f>
        <v>3025</v>
      </c>
      <c r="I14" s="219"/>
      <c r="J14" s="217"/>
      <c r="K14" s="217"/>
      <c r="L14" s="217">
        <v>12521</v>
      </c>
      <c r="M14" s="9">
        <f t="shared" si="0"/>
        <v>12521</v>
      </c>
      <c r="N14" s="217">
        <f>2767+240</f>
        <v>3007</v>
      </c>
      <c r="O14" s="217"/>
      <c r="P14" s="217"/>
      <c r="Q14" s="214">
        <f t="shared" si="1"/>
        <v>3007</v>
      </c>
      <c r="R14" s="231"/>
      <c r="T14" s="199"/>
      <c r="U14" s="211"/>
      <c r="V14" s="211"/>
      <c r="W14" s="211"/>
      <c r="X14" s="211"/>
    </row>
    <row r="15" spans="1:24" ht="15" thickBot="1" x14ac:dyDescent="0.35">
      <c r="A15" s="39">
        <v>562.33000000000004</v>
      </c>
      <c r="B15" s="82" t="s">
        <v>95</v>
      </c>
      <c r="C15" s="15">
        <v>2602</v>
      </c>
      <c r="D15" s="14">
        <f t="shared" si="2"/>
        <v>2602</v>
      </c>
      <c r="E15" s="231"/>
      <c r="F15" s="257">
        <v>2000</v>
      </c>
      <c r="G15" s="228"/>
      <c r="H15" s="231"/>
      <c r="I15" s="219"/>
      <c r="J15" s="217"/>
      <c r="K15" s="217"/>
      <c r="L15" s="217">
        <v>602</v>
      </c>
      <c r="M15" s="9">
        <f t="shared" si="0"/>
        <v>602</v>
      </c>
      <c r="N15" s="217"/>
      <c r="O15" s="217"/>
      <c r="P15" s="217"/>
      <c r="Q15" s="214">
        <f t="shared" si="1"/>
        <v>0</v>
      </c>
      <c r="R15" s="231"/>
      <c r="T15" s="199"/>
      <c r="U15" s="211"/>
      <c r="V15" s="211"/>
      <c r="W15" s="211"/>
      <c r="X15" s="211"/>
    </row>
    <row r="16" spans="1:24" ht="15" thickBot="1" x14ac:dyDescent="0.35">
      <c r="A16" s="39">
        <v>562.34</v>
      </c>
      <c r="B16" s="40" t="s">
        <v>51</v>
      </c>
      <c r="C16" s="15">
        <v>5436</v>
      </c>
      <c r="D16" s="14">
        <f t="shared" si="2"/>
        <v>5436</v>
      </c>
      <c r="E16" s="231"/>
      <c r="F16" s="257">
        <v>4619</v>
      </c>
      <c r="G16" s="228"/>
      <c r="H16" s="231"/>
      <c r="I16" s="219"/>
      <c r="J16" s="217"/>
      <c r="K16" s="217"/>
      <c r="L16" s="217"/>
      <c r="M16" s="9">
        <f t="shared" si="0"/>
        <v>0</v>
      </c>
      <c r="N16" s="217"/>
      <c r="O16" s="217">
        <f>642+175</f>
        <v>817</v>
      </c>
      <c r="P16" s="217"/>
      <c r="Q16" s="214">
        <f t="shared" si="1"/>
        <v>817</v>
      </c>
      <c r="R16" s="231"/>
      <c r="T16" s="213"/>
      <c r="U16" s="211"/>
      <c r="V16" s="211"/>
      <c r="W16" s="211"/>
      <c r="X16" s="211"/>
    </row>
    <row r="17" spans="1:24" ht="15" thickBot="1" x14ac:dyDescent="0.35">
      <c r="A17" s="39">
        <v>562.35</v>
      </c>
      <c r="B17" s="40" t="s">
        <v>52</v>
      </c>
      <c r="C17" s="15"/>
      <c r="D17" s="14">
        <f t="shared" si="2"/>
        <v>0</v>
      </c>
      <c r="E17" s="231"/>
      <c r="F17" s="257"/>
      <c r="G17" s="228"/>
      <c r="H17" s="231"/>
      <c r="I17" s="219"/>
      <c r="J17" s="217"/>
      <c r="K17" s="217"/>
      <c r="L17" s="217"/>
      <c r="M17" s="9">
        <f t="shared" si="0"/>
        <v>0</v>
      </c>
      <c r="N17" s="217"/>
      <c r="O17" s="217"/>
      <c r="P17" s="217"/>
      <c r="Q17" s="214">
        <f t="shared" si="1"/>
        <v>0</v>
      </c>
      <c r="R17" s="231"/>
      <c r="T17" s="199"/>
      <c r="U17" s="211"/>
      <c r="V17" s="211"/>
      <c r="W17" s="211"/>
      <c r="X17" s="211"/>
    </row>
    <row r="18" spans="1:24" ht="15" thickBot="1" x14ac:dyDescent="0.35">
      <c r="A18" s="39">
        <v>562.39</v>
      </c>
      <c r="B18" s="40" t="s">
        <v>53</v>
      </c>
      <c r="C18" s="15">
        <v>13282</v>
      </c>
      <c r="D18" s="14">
        <f t="shared" si="2"/>
        <v>13282</v>
      </c>
      <c r="E18" s="231"/>
      <c r="F18" s="257">
        <v>7109</v>
      </c>
      <c r="G18" s="228"/>
      <c r="H18" s="231"/>
      <c r="I18" s="219"/>
      <c r="J18" s="217"/>
      <c r="K18" s="217"/>
      <c r="L18" s="217">
        <v>6173</v>
      </c>
      <c r="M18" s="9">
        <f t="shared" si="0"/>
        <v>6173</v>
      </c>
      <c r="N18" s="217"/>
      <c r="O18" s="217"/>
      <c r="P18" s="217"/>
      <c r="Q18" s="214">
        <f t="shared" si="1"/>
        <v>0</v>
      </c>
      <c r="R18" s="231"/>
      <c r="T18" s="199"/>
      <c r="U18" s="211"/>
      <c r="V18" s="211"/>
      <c r="W18" s="211"/>
      <c r="X18" s="211"/>
    </row>
    <row r="19" spans="1:24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  <c r="T19" s="199"/>
      <c r="U19" s="211"/>
      <c r="V19" s="211"/>
      <c r="W19" s="211"/>
      <c r="X19" s="211"/>
    </row>
    <row r="20" spans="1:24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  <c r="W20" s="211"/>
      <c r="X20" s="211"/>
    </row>
    <row r="21" spans="1:24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  <c r="T21" s="199"/>
      <c r="U21" s="211"/>
      <c r="V21" s="211"/>
      <c r="W21" s="211"/>
      <c r="X21" s="211"/>
    </row>
    <row r="22" spans="1:24" ht="15" thickBot="1" x14ac:dyDescent="0.35">
      <c r="A22" s="39">
        <v>562.44000000000005</v>
      </c>
      <c r="B22" s="82" t="s">
        <v>97</v>
      </c>
      <c r="C22" s="15">
        <v>8121</v>
      </c>
      <c r="D22" s="14">
        <f t="shared" si="2"/>
        <v>8121</v>
      </c>
      <c r="E22" s="231"/>
      <c r="F22" s="257">
        <v>2500</v>
      </c>
      <c r="G22" s="228"/>
      <c r="H22" s="231">
        <v>3635</v>
      </c>
      <c r="I22" s="219"/>
      <c r="J22" s="217"/>
      <c r="K22" s="217"/>
      <c r="L22" s="217">
        <v>1986</v>
      </c>
      <c r="M22" s="9">
        <f t="shared" si="0"/>
        <v>1986</v>
      </c>
      <c r="N22" s="217"/>
      <c r="O22" s="217"/>
      <c r="P22" s="217"/>
      <c r="Q22" s="214">
        <f t="shared" si="1"/>
        <v>0</v>
      </c>
      <c r="R22" s="231"/>
      <c r="T22" s="199"/>
      <c r="U22" s="211"/>
      <c r="V22" s="211"/>
      <c r="W22" s="211"/>
      <c r="X22" s="211"/>
    </row>
    <row r="23" spans="1:24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  <c r="W23" s="211"/>
      <c r="X23" s="211"/>
    </row>
    <row r="24" spans="1:24" ht="15" thickBot="1" x14ac:dyDescent="0.35">
      <c r="A24" s="39">
        <v>562.49</v>
      </c>
      <c r="B24" s="82" t="s">
        <v>87</v>
      </c>
      <c r="C24" s="15"/>
      <c r="D24" s="14">
        <f t="shared" si="2"/>
        <v>0</v>
      </c>
      <c r="E24" s="231"/>
      <c r="F24" s="257"/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  <c r="T24" s="199"/>
      <c r="U24" s="211"/>
      <c r="V24" s="211"/>
      <c r="W24" s="211"/>
      <c r="X24" s="211"/>
    </row>
    <row r="25" spans="1:24" ht="15" thickBot="1" x14ac:dyDescent="0.35">
      <c r="A25" s="39">
        <v>562.52</v>
      </c>
      <c r="B25" s="40" t="s">
        <v>56</v>
      </c>
      <c r="C25" s="15">
        <f>946+839</f>
        <v>1785</v>
      </c>
      <c r="D25" s="14">
        <f t="shared" si="2"/>
        <v>1786</v>
      </c>
      <c r="E25" s="231"/>
      <c r="F25" s="257"/>
      <c r="G25" s="228"/>
      <c r="H25" s="231"/>
      <c r="I25" s="219"/>
      <c r="J25" s="217"/>
      <c r="K25" s="217"/>
      <c r="L25" s="217">
        <v>1086</v>
      </c>
      <c r="M25" s="9">
        <f t="shared" si="0"/>
        <v>1086</v>
      </c>
      <c r="N25" s="217">
        <v>700</v>
      </c>
      <c r="O25" s="217"/>
      <c r="P25" s="217"/>
      <c r="Q25" s="214">
        <f t="shared" si="1"/>
        <v>700</v>
      </c>
      <c r="R25" s="231"/>
      <c r="T25" s="199"/>
      <c r="U25" s="211"/>
      <c r="V25" s="211"/>
      <c r="W25" s="211"/>
      <c r="X25" s="211"/>
    </row>
    <row r="26" spans="1:24" ht="15" thickBot="1" x14ac:dyDescent="0.35">
      <c r="A26" s="39">
        <v>562.53</v>
      </c>
      <c r="B26" s="82" t="s">
        <v>99</v>
      </c>
      <c r="C26" s="15">
        <f>8+154</f>
        <v>162</v>
      </c>
      <c r="D26" s="14">
        <f t="shared" si="2"/>
        <v>162</v>
      </c>
      <c r="E26" s="231"/>
      <c r="F26" s="257"/>
      <c r="G26" s="228"/>
      <c r="H26" s="231"/>
      <c r="I26" s="219"/>
      <c r="J26" s="217"/>
      <c r="K26" s="217"/>
      <c r="L26" s="217"/>
      <c r="M26" s="9">
        <f t="shared" si="0"/>
        <v>0</v>
      </c>
      <c r="N26" s="217">
        <v>162</v>
      </c>
      <c r="O26" s="217"/>
      <c r="P26" s="217"/>
      <c r="Q26" s="214">
        <f t="shared" si="1"/>
        <v>162</v>
      </c>
      <c r="R26" s="231"/>
      <c r="T26" s="199"/>
      <c r="U26" s="211"/>
      <c r="V26" s="211"/>
      <c r="W26" s="211"/>
      <c r="X26" s="211"/>
    </row>
    <row r="27" spans="1:24" ht="15" thickBot="1" x14ac:dyDescent="0.35">
      <c r="A27" s="39">
        <v>562.54</v>
      </c>
      <c r="B27" s="82" t="s">
        <v>100</v>
      </c>
      <c r="C27" s="15">
        <v>11056</v>
      </c>
      <c r="D27" s="14">
        <f t="shared" si="2"/>
        <v>11056</v>
      </c>
      <c r="E27" s="231"/>
      <c r="F27" s="257"/>
      <c r="G27" s="228"/>
      <c r="H27" s="231"/>
      <c r="I27" s="219"/>
      <c r="J27" s="217"/>
      <c r="K27" s="217"/>
      <c r="L27" s="217">
        <v>4593</v>
      </c>
      <c r="M27" s="9">
        <f t="shared" si="0"/>
        <v>4593</v>
      </c>
      <c r="N27" s="217">
        <f>4575+1888</f>
        <v>6463</v>
      </c>
      <c r="O27" s="217"/>
      <c r="P27" s="217"/>
      <c r="Q27" s="214">
        <f t="shared" si="1"/>
        <v>6463</v>
      </c>
      <c r="R27" s="231"/>
      <c r="T27" s="199"/>
      <c r="U27" s="211"/>
      <c r="V27" s="211"/>
      <c r="W27" s="211"/>
      <c r="X27" s="211"/>
    </row>
    <row r="28" spans="1:24" ht="15" thickBot="1" x14ac:dyDescent="0.35">
      <c r="A28" s="39">
        <v>562.54999999999995</v>
      </c>
      <c r="B28" s="40" t="s">
        <v>57</v>
      </c>
      <c r="C28" s="15">
        <v>200</v>
      </c>
      <c r="D28" s="14">
        <f t="shared" si="2"/>
        <v>200</v>
      </c>
      <c r="E28" s="231"/>
      <c r="F28" s="257"/>
      <c r="G28" s="228"/>
      <c r="H28" s="231"/>
      <c r="I28" s="219"/>
      <c r="J28" s="217"/>
      <c r="K28" s="217"/>
      <c r="L28" s="217">
        <v>200</v>
      </c>
      <c r="M28" s="9">
        <f t="shared" si="0"/>
        <v>200</v>
      </c>
      <c r="N28" s="217"/>
      <c r="O28" s="217"/>
      <c r="P28" s="217"/>
      <c r="Q28" s="214">
        <f t="shared" si="1"/>
        <v>0</v>
      </c>
      <c r="R28" s="231"/>
      <c r="T28" s="199"/>
      <c r="U28" s="211"/>
      <c r="V28" s="211"/>
      <c r="W28" s="211"/>
      <c r="X28" s="211"/>
    </row>
    <row r="29" spans="1:24" ht="15" thickBot="1" x14ac:dyDescent="0.35">
      <c r="A29" s="39">
        <v>562.55999999999995</v>
      </c>
      <c r="B29" s="40" t="s">
        <v>58</v>
      </c>
      <c r="C29" s="15">
        <v>21238</v>
      </c>
      <c r="D29" s="14">
        <f t="shared" si="2"/>
        <v>21238</v>
      </c>
      <c r="E29" s="231"/>
      <c r="F29" s="257"/>
      <c r="G29" s="228"/>
      <c r="H29" s="231"/>
      <c r="I29" s="219"/>
      <c r="J29" s="217"/>
      <c r="K29" s="217"/>
      <c r="L29" s="217">
        <v>6890</v>
      </c>
      <c r="M29" s="9">
        <f t="shared" si="0"/>
        <v>6890</v>
      </c>
      <c r="N29" s="217">
        <f>13069+1279</f>
        <v>14348</v>
      </c>
      <c r="O29" s="217"/>
      <c r="P29" s="217"/>
      <c r="Q29" s="214">
        <f t="shared" si="1"/>
        <v>14348</v>
      </c>
      <c r="R29" s="231"/>
      <c r="T29" s="199"/>
      <c r="U29" s="211"/>
      <c r="V29" s="211"/>
      <c r="W29" s="211"/>
      <c r="X29" s="211"/>
    </row>
    <row r="30" spans="1:24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  <c r="T30" s="199"/>
      <c r="U30" s="211"/>
      <c r="V30" s="211"/>
      <c r="W30" s="211"/>
      <c r="X30" s="211"/>
    </row>
    <row r="31" spans="1:24" ht="15" thickBot="1" x14ac:dyDescent="0.35">
      <c r="A31" s="39">
        <v>562.58000000000004</v>
      </c>
      <c r="B31" s="82" t="s">
        <v>88</v>
      </c>
      <c r="C31" s="15">
        <v>190</v>
      </c>
      <c r="D31" s="14">
        <f t="shared" si="2"/>
        <v>190</v>
      </c>
      <c r="E31" s="231"/>
      <c r="F31" s="257"/>
      <c r="G31" s="228"/>
      <c r="H31" s="231"/>
      <c r="I31" s="219"/>
      <c r="J31" s="217"/>
      <c r="K31" s="217"/>
      <c r="L31" s="217">
        <v>190</v>
      </c>
      <c r="M31" s="9">
        <f t="shared" si="0"/>
        <v>190</v>
      </c>
      <c r="N31" s="217"/>
      <c r="O31" s="217"/>
      <c r="P31" s="217"/>
      <c r="Q31" s="214">
        <f t="shared" si="1"/>
        <v>0</v>
      </c>
      <c r="R31" s="231"/>
      <c r="T31" s="199"/>
      <c r="U31" s="211"/>
      <c r="V31" s="211"/>
      <c r="W31" s="211"/>
      <c r="X31" s="211"/>
    </row>
    <row r="32" spans="1:24" ht="15" thickBot="1" x14ac:dyDescent="0.35">
      <c r="A32" s="39">
        <v>562.59</v>
      </c>
      <c r="B32" s="82" t="s">
        <v>89</v>
      </c>
      <c r="C32" s="15">
        <v>509</v>
      </c>
      <c r="D32" s="14">
        <f t="shared" si="2"/>
        <v>509</v>
      </c>
      <c r="E32" s="231"/>
      <c r="F32" s="257"/>
      <c r="G32" s="228"/>
      <c r="H32" s="231"/>
      <c r="I32" s="219"/>
      <c r="J32" s="247"/>
      <c r="K32" s="247"/>
      <c r="L32" s="247">
        <v>509</v>
      </c>
      <c r="M32" s="9">
        <f t="shared" si="0"/>
        <v>509</v>
      </c>
      <c r="N32" s="247"/>
      <c r="O32" s="247"/>
      <c r="P32" s="247"/>
      <c r="Q32" s="214">
        <f t="shared" si="1"/>
        <v>0</v>
      </c>
      <c r="R32" s="231"/>
      <c r="T32" s="199"/>
      <c r="U32" s="211"/>
      <c r="V32" s="211"/>
      <c r="W32" s="211"/>
      <c r="X32" s="211"/>
    </row>
    <row r="33" spans="1:24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  <c r="T33" s="199"/>
      <c r="U33" s="211"/>
      <c r="V33" s="211"/>
      <c r="W33" s="211"/>
      <c r="X33" s="211"/>
    </row>
    <row r="34" spans="1:24" ht="15" thickBot="1" x14ac:dyDescent="0.35">
      <c r="A34" s="39">
        <v>562.71</v>
      </c>
      <c r="B34" s="40" t="s">
        <v>60</v>
      </c>
      <c r="C34" s="15">
        <v>6585</v>
      </c>
      <c r="D34" s="14">
        <f t="shared" si="2"/>
        <v>6585</v>
      </c>
      <c r="E34" s="231"/>
      <c r="F34" s="257">
        <v>2000</v>
      </c>
      <c r="G34" s="228"/>
      <c r="H34" s="231"/>
      <c r="I34" s="219"/>
      <c r="J34" s="217"/>
      <c r="K34" s="217"/>
      <c r="L34" s="217">
        <v>2352</v>
      </c>
      <c r="M34" s="9">
        <f t="shared" si="0"/>
        <v>2352</v>
      </c>
      <c r="N34" s="217"/>
      <c r="O34" s="217">
        <v>2233</v>
      </c>
      <c r="P34" s="217"/>
      <c r="Q34" s="214">
        <f t="shared" si="1"/>
        <v>2233</v>
      </c>
      <c r="R34" s="231"/>
      <c r="T34" s="199"/>
      <c r="U34" s="211"/>
      <c r="V34" s="211"/>
      <c r="W34" s="211"/>
      <c r="X34" s="211"/>
    </row>
    <row r="35" spans="1:24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T35" s="199"/>
      <c r="U35" s="211"/>
      <c r="V35" s="211"/>
      <c r="W35" s="211"/>
      <c r="X35" s="211"/>
    </row>
    <row r="36" spans="1:24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  <c r="T36" s="199"/>
      <c r="U36" s="211"/>
      <c r="V36" s="211"/>
      <c r="W36" s="211"/>
      <c r="X36" s="211"/>
    </row>
    <row r="37" spans="1:24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  <c r="U37" s="211"/>
      <c r="V37" s="211"/>
      <c r="W37" s="211"/>
      <c r="X37" s="211"/>
    </row>
    <row r="38" spans="1:24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  <c r="W38" s="211"/>
      <c r="X38" s="211"/>
    </row>
    <row r="39" spans="1:24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  <c r="W39" s="211"/>
      <c r="X39" s="211"/>
    </row>
    <row r="40" spans="1:24" ht="15" thickBot="1" x14ac:dyDescent="0.35">
      <c r="A40" s="39">
        <v>562.79999999999995</v>
      </c>
      <c r="B40" s="40" t="s">
        <v>65</v>
      </c>
      <c r="C40" s="15">
        <f>737+4173</f>
        <v>4910</v>
      </c>
      <c r="D40" s="14">
        <f t="shared" si="2"/>
        <v>4910</v>
      </c>
      <c r="E40" s="231"/>
      <c r="F40" s="257">
        <v>4683</v>
      </c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>
        <v>227</v>
      </c>
      <c r="S40" s="199">
        <v>389</v>
      </c>
      <c r="T40" s="199">
        <v>227</v>
      </c>
      <c r="U40" s="211"/>
      <c r="V40" s="211"/>
      <c r="W40" s="211"/>
      <c r="X40" s="211"/>
    </row>
    <row r="41" spans="1:24" ht="15" thickBot="1" x14ac:dyDescent="0.35">
      <c r="A41" s="39">
        <v>562.88</v>
      </c>
      <c r="B41" s="82" t="s">
        <v>91</v>
      </c>
      <c r="C41" s="15">
        <f>18846+5327</f>
        <v>24173</v>
      </c>
      <c r="D41" s="14">
        <f t="shared" si="2"/>
        <v>24172</v>
      </c>
      <c r="E41" s="231"/>
      <c r="F41" s="257">
        <v>3405</v>
      </c>
      <c r="G41" s="228"/>
      <c r="H41" s="231">
        <v>20767</v>
      </c>
      <c r="I41" s="219"/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/>
      <c r="T41" s="199"/>
      <c r="U41" s="211"/>
      <c r="V41" s="211"/>
      <c r="W41" s="211"/>
      <c r="X41" s="211"/>
    </row>
    <row r="42" spans="1:24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T42" s="199"/>
      <c r="U42" s="211"/>
      <c r="V42" s="211"/>
      <c r="W42" s="211"/>
      <c r="X42" s="211"/>
    </row>
    <row r="43" spans="1:24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  <c r="U43" s="211"/>
      <c r="V43" s="211"/>
      <c r="W43" s="211"/>
      <c r="X43" s="211"/>
    </row>
    <row r="44" spans="1:24" x14ac:dyDescent="0.3">
      <c r="A44" s="206" t="s">
        <v>110</v>
      </c>
      <c r="B44" s="207" t="s">
        <v>68</v>
      </c>
      <c r="C44" s="208">
        <f>SUM(C5:C43)</f>
        <v>418838</v>
      </c>
      <c r="D44" s="205">
        <f>E44+F44+G44+H44+I44+M44+Q44+R44</f>
        <v>418837</v>
      </c>
      <c r="E44" s="233">
        <f t="shared" ref="E44:R44" si="3">SUM(E5:E43)</f>
        <v>0</v>
      </c>
      <c r="F44" s="259">
        <f t="shared" si="3"/>
        <v>120255</v>
      </c>
      <c r="G44" s="223">
        <f t="shared" si="3"/>
        <v>0</v>
      </c>
      <c r="H44" s="233">
        <f t="shared" si="3"/>
        <v>131607</v>
      </c>
      <c r="I44" s="239">
        <f t="shared" si="3"/>
        <v>28739</v>
      </c>
      <c r="J44" s="245">
        <f>SUM(J5:J43)</f>
        <v>0</v>
      </c>
      <c r="K44" s="245">
        <f>SUM(K5:K43)</f>
        <v>0</v>
      </c>
      <c r="L44" s="245">
        <f>SUM(L5:L43)</f>
        <v>77711</v>
      </c>
      <c r="M44" s="208">
        <f t="shared" si="3"/>
        <v>77711</v>
      </c>
      <c r="N44" s="245">
        <f>SUM(N5:N43)</f>
        <v>24680</v>
      </c>
      <c r="O44" s="245">
        <f>SUM(O5:O43)</f>
        <v>28387</v>
      </c>
      <c r="P44" s="245">
        <f>SUM(P5:P43)</f>
        <v>0</v>
      </c>
      <c r="Q44" s="216">
        <f t="shared" si="3"/>
        <v>53067</v>
      </c>
      <c r="R44" s="233">
        <f t="shared" si="3"/>
        <v>7458</v>
      </c>
      <c r="T44" s="199"/>
      <c r="U44" s="211"/>
      <c r="V44" s="211"/>
      <c r="W44" s="211"/>
      <c r="X44" s="211"/>
    </row>
    <row r="45" spans="1:24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  <c r="W45" s="211"/>
      <c r="X45" s="211"/>
    </row>
    <row r="46" spans="1:24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  <c r="W46" s="211"/>
      <c r="X46" s="211"/>
    </row>
    <row r="47" spans="1:24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T47" s="199"/>
      <c r="U47" s="211"/>
      <c r="V47" s="211"/>
      <c r="W47" s="211"/>
      <c r="X47" s="211"/>
    </row>
    <row r="48" spans="1:24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  <c r="W48" s="211"/>
      <c r="X48" s="211"/>
    </row>
    <row r="49" spans="1:24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T49" s="199"/>
      <c r="U49" s="211"/>
      <c r="V49" s="211"/>
      <c r="W49" s="211"/>
      <c r="X49" s="211"/>
    </row>
    <row r="50" spans="1:24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  <c r="W50" s="211"/>
      <c r="X50" s="211"/>
    </row>
    <row r="51" spans="1:24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  <c r="W51" s="211"/>
      <c r="X51" s="211"/>
    </row>
    <row r="52" spans="1:24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  <c r="W52" s="211"/>
      <c r="X52" s="211"/>
    </row>
    <row r="53" spans="1:24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  <c r="T53" s="199"/>
      <c r="U53" s="211"/>
      <c r="V53" s="211"/>
      <c r="W53" s="211"/>
      <c r="X53" s="211"/>
    </row>
    <row r="54" spans="1:24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  <c r="U54" s="211"/>
      <c r="V54" s="211"/>
      <c r="W54" s="211"/>
      <c r="X54" s="211"/>
    </row>
    <row r="55" spans="1:24" x14ac:dyDescent="0.3">
      <c r="A55" s="41">
        <v>500</v>
      </c>
      <c r="B55" s="32" t="s">
        <v>118</v>
      </c>
      <c r="C55" s="18"/>
      <c r="D55" s="20">
        <f t="shared" si="2"/>
        <v>0</v>
      </c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T55" s="199"/>
      <c r="U55" s="211"/>
      <c r="V55" s="211"/>
      <c r="W55" s="211"/>
      <c r="X55" s="211"/>
    </row>
    <row r="56" spans="1:24" ht="15" thickBot="1" x14ac:dyDescent="0.35">
      <c r="A56" s="107"/>
      <c r="B56" s="108" t="s">
        <v>80</v>
      </c>
      <c r="C56" s="111">
        <f>SUM(C44:C55)</f>
        <v>418838</v>
      </c>
      <c r="D56" s="110">
        <f>E56+F56+G56+H56+I56+M56+Q56+R56</f>
        <v>418837</v>
      </c>
      <c r="E56" s="235">
        <f t="shared" ref="E56:R56" si="4">SUM(E44:E55)</f>
        <v>0</v>
      </c>
      <c r="F56" s="260">
        <f t="shared" si="4"/>
        <v>120255</v>
      </c>
      <c r="G56" s="225">
        <f t="shared" si="4"/>
        <v>0</v>
      </c>
      <c r="H56" s="235">
        <f t="shared" si="4"/>
        <v>131607</v>
      </c>
      <c r="I56" s="240">
        <f t="shared" si="4"/>
        <v>28739</v>
      </c>
      <c r="J56" s="218">
        <f>SUM(J44:J55)</f>
        <v>0</v>
      </c>
      <c r="K56" s="218">
        <f>SUM(K44:K55)</f>
        <v>0</v>
      </c>
      <c r="L56" s="218">
        <f>SUM(L44:L55)</f>
        <v>77711</v>
      </c>
      <c r="M56" s="209">
        <f t="shared" si="4"/>
        <v>77711</v>
      </c>
      <c r="N56" s="218">
        <f>SUM(N44:N55)</f>
        <v>24680</v>
      </c>
      <c r="O56" s="218">
        <f>SUM(O44:O55)</f>
        <v>28387</v>
      </c>
      <c r="P56" s="218">
        <f>SUM(P44:P55)</f>
        <v>0</v>
      </c>
      <c r="Q56" s="218">
        <f t="shared" si="4"/>
        <v>53067</v>
      </c>
      <c r="R56" s="235">
        <f t="shared" si="4"/>
        <v>7458</v>
      </c>
      <c r="T56" s="199"/>
      <c r="U56" s="211"/>
      <c r="V56" s="211"/>
      <c r="W56" s="211"/>
      <c r="X56" s="211"/>
    </row>
    <row r="57" spans="1:24" ht="15" thickTop="1" x14ac:dyDescent="0.3">
      <c r="T57" s="199"/>
      <c r="U57" s="211"/>
      <c r="V57" s="211"/>
      <c r="W57" s="211"/>
      <c r="X57" s="211"/>
    </row>
    <row r="58" spans="1:24" ht="15" thickBot="1" x14ac:dyDescent="0.35"/>
    <row r="59" spans="1:24" ht="15" thickBot="1" x14ac:dyDescent="0.35">
      <c r="B59" s="42" t="s">
        <v>109</v>
      </c>
      <c r="C59" s="43"/>
      <c r="D59" s="44"/>
    </row>
    <row r="60" spans="1:24" ht="15" thickTop="1" x14ac:dyDescent="0.3">
      <c r="B60" s="115"/>
      <c r="C60" s="116" t="s">
        <v>82</v>
      </c>
      <c r="D60" s="117" t="s">
        <v>78</v>
      </c>
    </row>
    <row r="61" spans="1:24" x14ac:dyDescent="0.3">
      <c r="B61" s="153" t="s">
        <v>108</v>
      </c>
      <c r="C61" s="45"/>
      <c r="D61" s="46"/>
    </row>
    <row r="62" spans="1:24" x14ac:dyDescent="0.3">
      <c r="B62" s="26" t="s">
        <v>3</v>
      </c>
      <c r="C62" s="47">
        <f>E56</f>
        <v>0</v>
      </c>
      <c r="D62" s="48">
        <f>E56/D56</f>
        <v>0</v>
      </c>
    </row>
    <row r="63" spans="1:24" x14ac:dyDescent="0.3">
      <c r="B63" s="26" t="s">
        <v>4</v>
      </c>
      <c r="C63" s="49">
        <f>F56</f>
        <v>120255</v>
      </c>
      <c r="D63" s="48">
        <f>F56/D56</f>
        <v>0.28711646774282118</v>
      </c>
    </row>
    <row r="64" spans="1:24" x14ac:dyDescent="0.3">
      <c r="B64" s="56" t="s">
        <v>79</v>
      </c>
      <c r="C64" s="50">
        <f>G56</f>
        <v>0</v>
      </c>
      <c r="D64" s="51">
        <f>G56/D56</f>
        <v>0</v>
      </c>
    </row>
    <row r="65" spans="2:4" ht="15" thickBot="1" x14ac:dyDescent="0.35">
      <c r="B65" s="146" t="s">
        <v>115</v>
      </c>
      <c r="C65" s="52">
        <f>SUM(C62:C64)</f>
        <v>120255</v>
      </c>
      <c r="D65" s="53">
        <f>SUM(D62:D64)</f>
        <v>0.28711646774282118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131607</v>
      </c>
      <c r="D67" s="25">
        <f>H56/D56</f>
        <v>0.31422009039316012</v>
      </c>
    </row>
    <row r="68" spans="2:4" x14ac:dyDescent="0.3">
      <c r="B68" s="57" t="s">
        <v>7</v>
      </c>
      <c r="C68" s="27">
        <f>I56</f>
        <v>28739</v>
      </c>
      <c r="D68" s="28">
        <f>I56/D56</f>
        <v>6.8616191979218644E-2</v>
      </c>
    </row>
    <row r="69" spans="2:4" ht="15" thickBot="1" x14ac:dyDescent="0.35">
      <c r="B69" s="146" t="s">
        <v>116</v>
      </c>
      <c r="C69" s="52">
        <f>SUM(C67:C68)</f>
        <v>160346</v>
      </c>
      <c r="D69" s="53">
        <f>SUM(D67:D68)</f>
        <v>0.38283628237237877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77711</v>
      </c>
      <c r="D71" s="25">
        <f>M56/D56</f>
        <v>0.18553995945916907</v>
      </c>
    </row>
    <row r="72" spans="2:4" x14ac:dyDescent="0.3">
      <c r="B72" s="24" t="s">
        <v>8</v>
      </c>
      <c r="C72" s="23">
        <f>Q56</f>
        <v>53067</v>
      </c>
      <c r="D72" s="25">
        <f>Q56/D56</f>
        <v>0.12670084066116413</v>
      </c>
    </row>
    <row r="73" spans="2:4" x14ac:dyDescent="0.3">
      <c r="B73" s="163" t="s">
        <v>83</v>
      </c>
      <c r="C73" s="27">
        <f>R56</f>
        <v>7458</v>
      </c>
      <c r="D73" s="28">
        <f>R56/D56</f>
        <v>1.7806449764466846E-2</v>
      </c>
    </row>
    <row r="74" spans="2:4" ht="15" thickBot="1" x14ac:dyDescent="0.35">
      <c r="B74" s="146" t="s">
        <v>117</v>
      </c>
      <c r="C74" s="52">
        <f>SUM(C71:C73)</f>
        <v>138236</v>
      </c>
      <c r="D74" s="53">
        <f>SUM(D71:D73)</f>
        <v>0.3300472498848</v>
      </c>
    </row>
    <row r="75" spans="2:4" ht="15" thickBot="1" x14ac:dyDescent="0.35">
      <c r="B75" s="157" t="s">
        <v>80</v>
      </c>
      <c r="C75" s="158">
        <f>C65+C69+C74</f>
        <v>418837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A5:R55">
    <cfRule type="expression" dxfId="168" priority="7">
      <formula>ROW()=EVEN(ROW())</formula>
    </cfRule>
  </conditionalFormatting>
  <printOptions horizontalCentered="1"/>
  <pageMargins left="0" right="0" top="1.1000000000000001" bottom="0.5" header="0.3" footer="0.3"/>
  <pageSetup scale="85" fitToHeight="0" orientation="landscape" r:id="rId1"/>
  <headerFooter>
    <oddHeader>&amp;C&amp;"-,Bold"&amp;20Funding by Expenditure Code and Revenue Source&amp;"-,Regular"&amp;11
&amp;"-,Bold"&amp;20 2014&amp;"-,Regular"&amp;11
&amp;"-,Bold"&amp;20COLUMBIA</oddHeader>
    <oddFooter>&amp;LRevised 11-4-16&amp;CPage &amp;P</oddFooter>
  </headerFooter>
  <rowBreaks count="1" manualBreakCount="1">
    <brk id="44" max="16383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88"/>
  <sheetViews>
    <sheetView showZeros="0" topLeftCell="A4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  <col min="26" max="26" width="9.5546875" bestFit="1" customWidth="1"/>
  </cols>
  <sheetData>
    <row r="1" spans="1:26" x14ac:dyDescent="0.3">
      <c r="A1" s="22" t="s">
        <v>150</v>
      </c>
      <c r="B1" s="6"/>
      <c r="C1" s="31">
        <v>103700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6" x14ac:dyDescent="0.3">
      <c r="A2" s="80" t="s">
        <v>44</v>
      </c>
      <c r="B2" s="5"/>
      <c r="C2" s="83">
        <v>26.5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6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6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</row>
    <row r="5" spans="1:26" ht="15" thickBot="1" x14ac:dyDescent="0.35">
      <c r="A5" s="36">
        <v>562.1</v>
      </c>
      <c r="B5" s="37" t="s">
        <v>47</v>
      </c>
      <c r="C5" s="16">
        <v>934542</v>
      </c>
      <c r="D5" s="14">
        <f>E5+F5+G5+H5+I5+M5+Q5+R5</f>
        <v>934542</v>
      </c>
      <c r="E5" s="236">
        <v>0</v>
      </c>
      <c r="F5" s="256">
        <v>0</v>
      </c>
      <c r="G5" s="227">
        <v>0</v>
      </c>
      <c r="H5" s="236">
        <v>0</v>
      </c>
      <c r="I5" s="241">
        <v>0</v>
      </c>
      <c r="J5" s="214"/>
      <c r="K5" s="214"/>
      <c r="L5" s="214">
        <v>0</v>
      </c>
      <c r="M5" s="9">
        <f>SUM(J5:L5)</f>
        <v>0</v>
      </c>
      <c r="N5" s="214">
        <v>236934</v>
      </c>
      <c r="O5" s="214">
        <v>9943</v>
      </c>
      <c r="P5" s="214">
        <v>0</v>
      </c>
      <c r="Q5" s="214">
        <f>SUM(N5:P5)</f>
        <v>246877</v>
      </c>
      <c r="R5" s="236">
        <f>227+10+11347+676081</f>
        <v>687665</v>
      </c>
      <c r="S5" s="199">
        <v>361</v>
      </c>
      <c r="T5" s="199">
        <v>227</v>
      </c>
      <c r="U5" s="212">
        <v>369.81</v>
      </c>
      <c r="V5" s="211">
        <v>10</v>
      </c>
      <c r="W5" s="211">
        <v>369.9</v>
      </c>
      <c r="X5" s="211">
        <v>11347</v>
      </c>
      <c r="Y5" s="211">
        <v>508.1</v>
      </c>
      <c r="Z5" s="211">
        <v>676081</v>
      </c>
    </row>
    <row r="6" spans="1:26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>
        <v>0</v>
      </c>
      <c r="M6" s="9">
        <f t="shared" ref="M6:M55" si="0">SUM(J6:L6)</f>
        <v>0</v>
      </c>
      <c r="N6" s="217"/>
      <c r="O6" s="217"/>
      <c r="P6" s="217">
        <v>0</v>
      </c>
      <c r="Q6" s="214">
        <f t="shared" ref="Q6:Q55" si="1">SUM(N6:P6)</f>
        <v>0</v>
      </c>
      <c r="R6" s="231"/>
      <c r="T6" s="199"/>
      <c r="U6" s="211"/>
      <c r="V6" s="211"/>
      <c r="W6" s="211"/>
      <c r="X6" s="211"/>
      <c r="Y6" s="211"/>
      <c r="Z6" s="211"/>
    </row>
    <row r="7" spans="1:26" ht="15" thickBot="1" x14ac:dyDescent="0.35">
      <c r="A7" s="39">
        <v>562.22</v>
      </c>
      <c r="B7" s="82" t="s">
        <v>92</v>
      </c>
      <c r="C7" s="15">
        <v>537532</v>
      </c>
      <c r="D7" s="14">
        <f t="shared" ref="D7:D55" si="2">E7+F7+G7+H7+I7+M7+Q7+R7</f>
        <v>537532</v>
      </c>
      <c r="E7" s="231"/>
      <c r="F7" s="257">
        <v>81244</v>
      </c>
      <c r="G7" s="228"/>
      <c r="H7" s="231">
        <v>104683</v>
      </c>
      <c r="I7" s="219">
        <f>4125+333432+6135</f>
        <v>343692</v>
      </c>
      <c r="J7" s="217"/>
      <c r="K7" s="217"/>
      <c r="L7" s="217">
        <v>0</v>
      </c>
      <c r="M7" s="9">
        <f t="shared" si="0"/>
        <v>0</v>
      </c>
      <c r="N7" s="217"/>
      <c r="O7" s="217">
        <v>7773</v>
      </c>
      <c r="P7" s="217">
        <v>0</v>
      </c>
      <c r="Q7" s="214">
        <f t="shared" si="1"/>
        <v>7773</v>
      </c>
      <c r="R7" s="231">
        <v>140</v>
      </c>
      <c r="S7" s="199">
        <v>369.9</v>
      </c>
      <c r="T7" s="199">
        <v>140</v>
      </c>
      <c r="U7" s="211"/>
      <c r="V7" s="211"/>
      <c r="W7" s="211"/>
      <c r="X7" s="211"/>
      <c r="Y7" s="211"/>
      <c r="Z7" s="211"/>
    </row>
    <row r="8" spans="1:26" ht="15" thickBot="1" x14ac:dyDescent="0.35">
      <c r="A8" s="39">
        <v>562.24</v>
      </c>
      <c r="B8" s="40" t="s">
        <v>49</v>
      </c>
      <c r="C8" s="15">
        <v>20083</v>
      </c>
      <c r="D8" s="14">
        <f t="shared" si="2"/>
        <v>20083</v>
      </c>
      <c r="E8" s="231"/>
      <c r="F8" s="257"/>
      <c r="G8" s="228"/>
      <c r="H8" s="231"/>
      <c r="I8" s="219">
        <v>20083</v>
      </c>
      <c r="J8" s="217"/>
      <c r="K8" s="217"/>
      <c r="L8" s="217"/>
      <c r="M8" s="9">
        <f t="shared" si="0"/>
        <v>0</v>
      </c>
      <c r="N8" s="217"/>
      <c r="O8" s="217">
        <v>0</v>
      </c>
      <c r="P8" s="217"/>
      <c r="Q8" s="214">
        <f t="shared" si="1"/>
        <v>0</v>
      </c>
      <c r="R8" s="231">
        <v>0</v>
      </c>
      <c r="S8" s="199" t="s">
        <v>154</v>
      </c>
      <c r="T8" s="199">
        <v>0</v>
      </c>
      <c r="U8" s="211"/>
      <c r="V8" s="211"/>
      <c r="W8" s="211"/>
      <c r="X8" s="211"/>
      <c r="Y8" s="211"/>
      <c r="Z8" s="211"/>
    </row>
    <row r="9" spans="1:26" ht="15" thickBot="1" x14ac:dyDescent="0.35">
      <c r="A9" s="39">
        <v>562.25</v>
      </c>
      <c r="B9" s="82" t="s">
        <v>93</v>
      </c>
      <c r="C9" s="15"/>
      <c r="D9" s="14">
        <f t="shared" si="2"/>
        <v>0</v>
      </c>
      <c r="E9" s="231"/>
      <c r="F9" s="257"/>
      <c r="G9" s="228"/>
      <c r="H9" s="231"/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  <c r="T9" s="199"/>
      <c r="U9" s="211"/>
      <c r="V9" s="211"/>
      <c r="W9" s="211"/>
      <c r="X9" s="211"/>
      <c r="Y9" s="211"/>
      <c r="Z9" s="211"/>
    </row>
    <row r="10" spans="1:26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T10" s="199"/>
      <c r="U10" s="211"/>
      <c r="V10" s="211"/>
      <c r="W10" s="211"/>
      <c r="X10" s="211"/>
      <c r="Y10" s="211"/>
      <c r="Z10" s="211"/>
    </row>
    <row r="11" spans="1:26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T11" s="199"/>
      <c r="U11" s="211"/>
      <c r="V11" s="211"/>
      <c r="W11" s="211"/>
      <c r="X11" s="211"/>
      <c r="Y11" s="211"/>
      <c r="Z11" s="211"/>
    </row>
    <row r="12" spans="1:26" ht="15" thickBot="1" x14ac:dyDescent="0.35">
      <c r="A12" s="39">
        <v>562.28</v>
      </c>
      <c r="B12" s="82" t="s">
        <v>94</v>
      </c>
      <c r="C12" s="15"/>
      <c r="D12" s="14">
        <f t="shared" si="2"/>
        <v>0</v>
      </c>
      <c r="E12" s="231"/>
      <c r="F12" s="257"/>
      <c r="G12" s="228"/>
      <c r="H12" s="231"/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  <c r="T12" s="199"/>
      <c r="U12" s="211"/>
      <c r="V12" s="211"/>
      <c r="W12" s="211"/>
      <c r="X12" s="211"/>
      <c r="Y12" s="211"/>
      <c r="Z12" s="211"/>
    </row>
    <row r="13" spans="1:26" ht="15" thickBot="1" x14ac:dyDescent="0.35">
      <c r="A13" s="39">
        <v>562.29</v>
      </c>
      <c r="B13" s="82" t="s">
        <v>86</v>
      </c>
      <c r="C13" s="15"/>
      <c r="D13" s="14">
        <f t="shared" si="2"/>
        <v>0</v>
      </c>
      <c r="E13" s="231"/>
      <c r="F13" s="257"/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/>
      <c r="P13" s="217"/>
      <c r="Q13" s="214">
        <f t="shared" si="1"/>
        <v>0</v>
      </c>
      <c r="R13" s="231"/>
      <c r="T13" s="199"/>
      <c r="U13" s="211"/>
      <c r="V13" s="211"/>
      <c r="W13" s="211"/>
      <c r="X13" s="211"/>
      <c r="Y13" s="211"/>
      <c r="Z13" s="211"/>
    </row>
    <row r="14" spans="1:26" ht="15" thickBot="1" x14ac:dyDescent="0.35">
      <c r="A14" s="39">
        <v>562.32000000000005</v>
      </c>
      <c r="B14" s="40" t="s">
        <v>50</v>
      </c>
      <c r="C14" s="15">
        <v>41644</v>
      </c>
      <c r="D14" s="14">
        <f t="shared" si="2"/>
        <v>41644</v>
      </c>
      <c r="E14" s="231"/>
      <c r="F14" s="257"/>
      <c r="G14" s="228"/>
      <c r="H14" s="231">
        <f>16713+2177+832</f>
        <v>19722</v>
      </c>
      <c r="I14" s="219">
        <v>0</v>
      </c>
      <c r="J14" s="217"/>
      <c r="K14" s="217"/>
      <c r="L14" s="217">
        <v>21922</v>
      </c>
      <c r="M14" s="9">
        <f t="shared" si="0"/>
        <v>21922</v>
      </c>
      <c r="N14" s="217"/>
      <c r="O14" s="217"/>
      <c r="P14" s="217"/>
      <c r="Q14" s="214">
        <f t="shared" si="1"/>
        <v>0</v>
      </c>
      <c r="R14" s="231"/>
      <c r="T14" s="199"/>
      <c r="U14" s="211"/>
      <c r="V14" s="211"/>
      <c r="W14" s="211"/>
      <c r="X14" s="211"/>
      <c r="Y14" s="211"/>
      <c r="Z14" s="211"/>
    </row>
    <row r="15" spans="1:26" ht="15" thickBot="1" x14ac:dyDescent="0.35">
      <c r="A15" s="39">
        <v>562.33000000000004</v>
      </c>
      <c r="B15" s="82" t="s">
        <v>95</v>
      </c>
      <c r="C15" s="15">
        <v>12280</v>
      </c>
      <c r="D15" s="14">
        <f t="shared" si="2"/>
        <v>12280</v>
      </c>
      <c r="E15" s="231"/>
      <c r="F15" s="257"/>
      <c r="G15" s="228"/>
      <c r="H15" s="231"/>
      <c r="I15" s="219"/>
      <c r="J15" s="217"/>
      <c r="K15" s="217"/>
      <c r="L15" s="217">
        <v>12280</v>
      </c>
      <c r="M15" s="9">
        <f t="shared" si="0"/>
        <v>12280</v>
      </c>
      <c r="N15" s="217"/>
      <c r="O15" s="217"/>
      <c r="P15" s="217"/>
      <c r="Q15" s="214">
        <f t="shared" si="1"/>
        <v>0</v>
      </c>
      <c r="R15" s="231"/>
      <c r="T15" s="199"/>
      <c r="U15" s="211"/>
      <c r="V15" s="211"/>
      <c r="W15" s="211"/>
      <c r="X15" s="211"/>
      <c r="Y15" s="211"/>
      <c r="Z15" s="211"/>
    </row>
    <row r="16" spans="1:26" ht="15" thickBot="1" x14ac:dyDescent="0.35">
      <c r="A16" s="39">
        <v>562.34</v>
      </c>
      <c r="B16" s="40" t="s">
        <v>51</v>
      </c>
      <c r="C16" s="15">
        <v>23785</v>
      </c>
      <c r="D16" s="14">
        <f t="shared" si="2"/>
        <v>23785</v>
      </c>
      <c r="E16" s="231"/>
      <c r="F16" s="257"/>
      <c r="G16" s="228"/>
      <c r="H16" s="231"/>
      <c r="I16" s="219"/>
      <c r="J16" s="217"/>
      <c r="K16" s="217"/>
      <c r="L16" s="217">
        <v>23785</v>
      </c>
      <c r="M16" s="9">
        <f t="shared" si="0"/>
        <v>23785</v>
      </c>
      <c r="N16" s="217"/>
      <c r="O16" s="217"/>
      <c r="P16" s="217"/>
      <c r="Q16" s="214">
        <f t="shared" si="1"/>
        <v>0</v>
      </c>
      <c r="R16" s="231"/>
      <c r="T16" s="213"/>
      <c r="U16" s="211"/>
      <c r="V16" s="211"/>
      <c r="W16" s="211"/>
      <c r="X16" s="211"/>
      <c r="Y16" s="211"/>
      <c r="Z16" s="211"/>
    </row>
    <row r="17" spans="1:26" ht="15" thickBot="1" x14ac:dyDescent="0.35">
      <c r="A17" s="39">
        <v>562.35</v>
      </c>
      <c r="B17" s="40" t="s">
        <v>52</v>
      </c>
      <c r="C17" s="15">
        <v>110803</v>
      </c>
      <c r="D17" s="14">
        <f t="shared" si="2"/>
        <v>110803</v>
      </c>
      <c r="E17" s="231"/>
      <c r="F17" s="257">
        <v>103341</v>
      </c>
      <c r="G17" s="228"/>
      <c r="H17" s="231"/>
      <c r="I17" s="219"/>
      <c r="J17" s="217"/>
      <c r="K17" s="217"/>
      <c r="L17" s="217">
        <v>7387</v>
      </c>
      <c r="M17" s="9">
        <f t="shared" si="0"/>
        <v>7387</v>
      </c>
      <c r="N17" s="217"/>
      <c r="O17" s="217"/>
      <c r="P17" s="217"/>
      <c r="Q17" s="214">
        <f t="shared" si="1"/>
        <v>0</v>
      </c>
      <c r="R17" s="231">
        <v>75</v>
      </c>
      <c r="S17" s="199">
        <v>369.9</v>
      </c>
      <c r="T17" s="199">
        <v>75</v>
      </c>
      <c r="U17" s="211"/>
      <c r="V17" s="211"/>
      <c r="W17" s="211"/>
      <c r="X17" s="211"/>
      <c r="Y17" s="211"/>
      <c r="Z17" s="211"/>
    </row>
    <row r="18" spans="1:26" ht="15" thickBot="1" x14ac:dyDescent="0.35">
      <c r="A18" s="39">
        <v>562.39</v>
      </c>
      <c r="B18" s="40" t="s">
        <v>53</v>
      </c>
      <c r="C18" s="15">
        <v>129193</v>
      </c>
      <c r="D18" s="14">
        <f t="shared" si="2"/>
        <v>129193</v>
      </c>
      <c r="E18" s="231"/>
      <c r="F18" s="257">
        <v>0</v>
      </c>
      <c r="G18" s="228"/>
      <c r="H18" s="231"/>
      <c r="I18" s="219"/>
      <c r="J18" s="217"/>
      <c r="K18" s="217"/>
      <c r="L18" s="217">
        <v>129193</v>
      </c>
      <c r="M18" s="9">
        <f t="shared" si="0"/>
        <v>129193</v>
      </c>
      <c r="N18" s="217"/>
      <c r="O18" s="217"/>
      <c r="P18" s="217"/>
      <c r="Q18" s="214">
        <f t="shared" si="1"/>
        <v>0</v>
      </c>
      <c r="R18" s="231"/>
      <c r="T18" s="199"/>
      <c r="U18" s="211"/>
      <c r="V18" s="211"/>
      <c r="W18" s="211"/>
      <c r="X18" s="211"/>
      <c r="Y18" s="211"/>
      <c r="Z18" s="211"/>
    </row>
    <row r="19" spans="1:26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  <c r="T19" s="199"/>
      <c r="U19" s="211"/>
      <c r="V19" s="211"/>
      <c r="W19" s="211"/>
      <c r="X19" s="211"/>
      <c r="Y19" s="211"/>
      <c r="Z19" s="211"/>
    </row>
    <row r="20" spans="1:26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  <c r="W20" s="211"/>
      <c r="X20" s="211"/>
      <c r="Y20" s="211"/>
      <c r="Z20" s="211"/>
    </row>
    <row r="21" spans="1:26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  <c r="T21" s="199"/>
      <c r="U21" s="211"/>
      <c r="V21" s="211"/>
      <c r="W21" s="211"/>
      <c r="X21" s="211"/>
      <c r="Y21" s="211"/>
      <c r="Z21" s="211"/>
    </row>
    <row r="22" spans="1:26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>
        <v>0</v>
      </c>
      <c r="F22" s="257">
        <v>0</v>
      </c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>
        <v>0</v>
      </c>
      <c r="T22" s="199"/>
      <c r="U22" s="211"/>
      <c r="V22" s="211"/>
      <c r="W22" s="211"/>
      <c r="X22" s="211"/>
      <c r="Y22" s="211"/>
      <c r="Z22" s="211"/>
    </row>
    <row r="23" spans="1:26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  <c r="W23" s="211"/>
      <c r="X23" s="211"/>
      <c r="Y23" s="211"/>
      <c r="Z23" s="211"/>
    </row>
    <row r="24" spans="1:26" ht="15" thickBot="1" x14ac:dyDescent="0.35">
      <c r="A24" s="39">
        <v>562.49</v>
      </c>
      <c r="B24" s="82" t="s">
        <v>87</v>
      </c>
      <c r="C24" s="15">
        <v>121322</v>
      </c>
      <c r="D24" s="14">
        <f t="shared" si="2"/>
        <v>121323</v>
      </c>
      <c r="E24" s="231"/>
      <c r="F24" s="257">
        <v>50811</v>
      </c>
      <c r="G24" s="228"/>
      <c r="H24" s="231">
        <v>0</v>
      </c>
      <c r="I24" s="219">
        <v>19679</v>
      </c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>
        <v>50833</v>
      </c>
      <c r="S24" s="199">
        <v>369.9</v>
      </c>
      <c r="T24" s="199">
        <v>50883</v>
      </c>
      <c r="U24" s="211"/>
      <c r="V24" s="211"/>
      <c r="W24" s="211"/>
      <c r="X24" s="211"/>
      <c r="Y24" s="211"/>
      <c r="Z24" s="211"/>
    </row>
    <row r="25" spans="1:26" ht="15" thickBot="1" x14ac:dyDescent="0.35">
      <c r="A25" s="39">
        <v>562.52</v>
      </c>
      <c r="B25" s="40" t="s">
        <v>56</v>
      </c>
      <c r="C25" s="15">
        <v>86105</v>
      </c>
      <c r="D25" s="14">
        <f t="shared" si="2"/>
        <v>86106</v>
      </c>
      <c r="E25" s="231"/>
      <c r="F25" s="257">
        <v>22148</v>
      </c>
      <c r="G25" s="228"/>
      <c r="H25" s="231"/>
      <c r="I25" s="219"/>
      <c r="J25" s="217"/>
      <c r="K25" s="217"/>
      <c r="L25" s="217"/>
      <c r="M25" s="9">
        <f t="shared" si="0"/>
        <v>0</v>
      </c>
      <c r="N25" s="217">
        <v>58705</v>
      </c>
      <c r="O25" s="217">
        <f>3250+1821</f>
        <v>5071</v>
      </c>
      <c r="P25" s="217"/>
      <c r="Q25" s="214">
        <f t="shared" si="1"/>
        <v>63776</v>
      </c>
      <c r="R25" s="231">
        <v>182</v>
      </c>
      <c r="S25" s="199">
        <v>369.9</v>
      </c>
      <c r="T25" s="199">
        <v>182</v>
      </c>
      <c r="U25" s="211"/>
      <c r="V25" s="211"/>
      <c r="W25" s="211"/>
      <c r="X25" s="211"/>
      <c r="Y25" s="211"/>
      <c r="Z25" s="211"/>
    </row>
    <row r="26" spans="1:26" ht="15" thickBot="1" x14ac:dyDescent="0.35">
      <c r="A26" s="39">
        <v>562.53</v>
      </c>
      <c r="B26" s="82" t="s">
        <v>99</v>
      </c>
      <c r="C26" s="15">
        <v>159859</v>
      </c>
      <c r="D26" s="14">
        <f t="shared" si="2"/>
        <v>159859</v>
      </c>
      <c r="E26" s="231"/>
      <c r="F26" s="257">
        <v>0</v>
      </c>
      <c r="G26" s="228">
        <v>57355</v>
      </c>
      <c r="H26" s="231"/>
      <c r="I26" s="219"/>
      <c r="J26" s="217"/>
      <c r="K26" s="217"/>
      <c r="L26" s="217"/>
      <c r="M26" s="9">
        <f t="shared" si="0"/>
        <v>0</v>
      </c>
      <c r="N26" s="217">
        <v>102504</v>
      </c>
      <c r="O26" s="217"/>
      <c r="P26" s="217"/>
      <c r="Q26" s="214">
        <f t="shared" si="1"/>
        <v>102504</v>
      </c>
      <c r="R26" s="231"/>
      <c r="T26" s="199"/>
      <c r="U26" s="211"/>
      <c r="V26" s="211"/>
      <c r="W26" s="211"/>
      <c r="X26" s="211"/>
      <c r="Y26" s="211"/>
      <c r="Z26" s="211"/>
    </row>
    <row r="27" spans="1:26" ht="15" thickBot="1" x14ac:dyDescent="0.35">
      <c r="A27" s="39">
        <v>562.54</v>
      </c>
      <c r="B27" s="82" t="s">
        <v>100</v>
      </c>
      <c r="C27" s="15">
        <v>275865</v>
      </c>
      <c r="D27" s="14">
        <f t="shared" si="2"/>
        <v>275865</v>
      </c>
      <c r="E27" s="231"/>
      <c r="F27" s="257">
        <v>49859</v>
      </c>
      <c r="G27" s="228"/>
      <c r="H27" s="231"/>
      <c r="I27" s="219"/>
      <c r="J27" s="217"/>
      <c r="K27" s="217"/>
      <c r="L27" s="217"/>
      <c r="M27" s="9">
        <f t="shared" si="0"/>
        <v>0</v>
      </c>
      <c r="N27" s="217">
        <f>1045+224961</f>
        <v>226006</v>
      </c>
      <c r="O27" s="217"/>
      <c r="P27" s="217"/>
      <c r="Q27" s="214">
        <f t="shared" si="1"/>
        <v>226006</v>
      </c>
      <c r="R27" s="231"/>
      <c r="T27" s="199"/>
      <c r="U27" s="211"/>
      <c r="V27" s="211"/>
      <c r="W27" s="211"/>
      <c r="X27" s="211"/>
      <c r="Y27" s="211"/>
      <c r="Z27" s="211"/>
    </row>
    <row r="28" spans="1:26" ht="15" thickBot="1" x14ac:dyDescent="0.35">
      <c r="A28" s="39">
        <v>562.54999999999995</v>
      </c>
      <c r="B28" s="40" t="s">
        <v>57</v>
      </c>
      <c r="C28" s="15">
        <v>9482</v>
      </c>
      <c r="D28" s="14">
        <f t="shared" si="2"/>
        <v>9482</v>
      </c>
      <c r="E28" s="231"/>
      <c r="F28" s="257">
        <v>0</v>
      </c>
      <c r="G28" s="228"/>
      <c r="H28" s="231"/>
      <c r="I28" s="219"/>
      <c r="J28" s="217"/>
      <c r="K28" s="217"/>
      <c r="L28" s="217">
        <v>9482</v>
      </c>
      <c r="M28" s="9">
        <f t="shared" si="0"/>
        <v>9482</v>
      </c>
      <c r="N28" s="217"/>
      <c r="O28" s="217"/>
      <c r="P28" s="217"/>
      <c r="Q28" s="214">
        <f t="shared" si="1"/>
        <v>0</v>
      </c>
      <c r="R28" s="231"/>
      <c r="T28" s="199"/>
      <c r="U28" s="211"/>
      <c r="V28" s="211"/>
      <c r="W28" s="211"/>
      <c r="X28" s="211"/>
      <c r="Y28" s="211"/>
      <c r="Z28" s="211"/>
    </row>
    <row r="29" spans="1:26" ht="15" thickBot="1" x14ac:dyDescent="0.35">
      <c r="A29" s="39">
        <v>562.55999999999995</v>
      </c>
      <c r="B29" s="40" t="s">
        <v>58</v>
      </c>
      <c r="C29" s="15">
        <v>387380</v>
      </c>
      <c r="D29" s="14">
        <f t="shared" si="2"/>
        <v>387379</v>
      </c>
      <c r="E29" s="231"/>
      <c r="F29" s="257">
        <v>90019</v>
      </c>
      <c r="G29" s="228"/>
      <c r="H29" s="231"/>
      <c r="I29" s="219">
        <v>286</v>
      </c>
      <c r="J29" s="217"/>
      <c r="K29" s="217"/>
      <c r="L29" s="217">
        <v>1849</v>
      </c>
      <c r="M29" s="9">
        <f t="shared" si="0"/>
        <v>1849</v>
      </c>
      <c r="N29" s="217">
        <v>295225</v>
      </c>
      <c r="O29" s="217"/>
      <c r="P29" s="217"/>
      <c r="Q29" s="214">
        <f t="shared" si="1"/>
        <v>295225</v>
      </c>
      <c r="R29" s="231"/>
      <c r="T29" s="199"/>
      <c r="U29" s="211"/>
      <c r="V29" s="211"/>
      <c r="W29" s="211"/>
      <c r="X29" s="211"/>
      <c r="Y29" s="211"/>
      <c r="Z29" s="211"/>
    </row>
    <row r="30" spans="1:26" ht="15" thickBot="1" x14ac:dyDescent="0.35">
      <c r="A30" s="39">
        <v>562.57000000000005</v>
      </c>
      <c r="B30" s="82" t="s">
        <v>101</v>
      </c>
      <c r="C30" s="15">
        <v>4536</v>
      </c>
      <c r="D30" s="14">
        <f t="shared" si="2"/>
        <v>4536</v>
      </c>
      <c r="E30" s="231"/>
      <c r="F30" s="257">
        <v>0</v>
      </c>
      <c r="G30" s="228"/>
      <c r="H30" s="231"/>
      <c r="I30" s="219"/>
      <c r="J30" s="217"/>
      <c r="K30" s="217"/>
      <c r="L30" s="217">
        <v>4536</v>
      </c>
      <c r="M30" s="9">
        <f t="shared" si="0"/>
        <v>4536</v>
      </c>
      <c r="N30" s="217"/>
      <c r="O30" s="217"/>
      <c r="P30" s="217"/>
      <c r="Q30" s="214">
        <f t="shared" si="1"/>
        <v>0</v>
      </c>
      <c r="R30" s="231"/>
      <c r="T30" s="199"/>
      <c r="U30" s="211"/>
      <c r="V30" s="211"/>
      <c r="W30" s="211"/>
      <c r="X30" s="211"/>
      <c r="Y30" s="211"/>
      <c r="Z30" s="211"/>
    </row>
    <row r="31" spans="1:26" ht="15" thickBot="1" x14ac:dyDescent="0.35">
      <c r="A31" s="39">
        <v>562.58000000000004</v>
      </c>
      <c r="B31" s="82" t="s">
        <v>88</v>
      </c>
      <c r="C31" s="15">
        <v>50002</v>
      </c>
      <c r="D31" s="14">
        <f t="shared" si="2"/>
        <v>50002</v>
      </c>
      <c r="E31" s="231"/>
      <c r="F31" s="257">
        <v>0</v>
      </c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v>50002</v>
      </c>
      <c r="O31" s="217"/>
      <c r="P31" s="217"/>
      <c r="Q31" s="214">
        <f t="shared" si="1"/>
        <v>50002</v>
      </c>
      <c r="R31" s="231"/>
      <c r="T31" s="199"/>
      <c r="U31" s="211"/>
      <c r="V31" s="211"/>
      <c r="W31" s="211"/>
      <c r="X31" s="211"/>
      <c r="Y31" s="211"/>
      <c r="Z31" s="211"/>
    </row>
    <row r="32" spans="1:26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  <c r="T32" s="199"/>
      <c r="U32" s="211"/>
      <c r="V32" s="211"/>
      <c r="W32" s="211"/>
      <c r="X32" s="211"/>
      <c r="Y32" s="211"/>
      <c r="Z32" s="211"/>
    </row>
    <row r="33" spans="1:26" ht="15" thickBot="1" x14ac:dyDescent="0.35">
      <c r="A33" s="39">
        <v>562.6</v>
      </c>
      <c r="B33" s="40" t="s">
        <v>59</v>
      </c>
      <c r="C33" s="15">
        <v>4164</v>
      </c>
      <c r="D33" s="14">
        <f t="shared" si="2"/>
        <v>4164</v>
      </c>
      <c r="E33" s="231"/>
      <c r="F33" s="257">
        <v>0</v>
      </c>
      <c r="G33" s="228"/>
      <c r="H33" s="231"/>
      <c r="I33" s="219"/>
      <c r="J33" s="217"/>
      <c r="K33" s="217"/>
      <c r="L33" s="217">
        <v>4164</v>
      </c>
      <c r="M33" s="9">
        <f t="shared" si="0"/>
        <v>4164</v>
      </c>
      <c r="N33" s="217"/>
      <c r="O33" s="217"/>
      <c r="P33" s="217"/>
      <c r="Q33" s="214">
        <f t="shared" si="1"/>
        <v>0</v>
      </c>
      <c r="R33" s="231"/>
      <c r="T33" s="199"/>
      <c r="U33" s="211"/>
      <c r="V33" s="211"/>
      <c r="W33" s="211"/>
      <c r="X33" s="211"/>
      <c r="Y33" s="211"/>
      <c r="Z33" s="211"/>
    </row>
    <row r="34" spans="1:26" ht="15" thickBot="1" x14ac:dyDescent="0.35">
      <c r="A34" s="39">
        <v>562.71</v>
      </c>
      <c r="B34" s="40" t="s">
        <v>60</v>
      </c>
      <c r="C34" s="15">
        <v>57154</v>
      </c>
      <c r="D34" s="14">
        <f t="shared" si="2"/>
        <v>57154</v>
      </c>
      <c r="E34" s="231"/>
      <c r="F34" s="257">
        <v>0</v>
      </c>
      <c r="G34" s="228"/>
      <c r="H34" s="231"/>
      <c r="I34" s="219"/>
      <c r="J34" s="217"/>
      <c r="K34" s="217"/>
      <c r="L34" s="217">
        <v>2331</v>
      </c>
      <c r="M34" s="9">
        <f t="shared" si="0"/>
        <v>2331</v>
      </c>
      <c r="N34" s="217"/>
      <c r="O34" s="217">
        <v>54823</v>
      </c>
      <c r="P34" s="217"/>
      <c r="Q34" s="214">
        <f t="shared" si="1"/>
        <v>54823</v>
      </c>
      <c r="R34" s="231"/>
      <c r="T34" s="199"/>
      <c r="U34" s="211"/>
      <c r="V34" s="211"/>
      <c r="W34" s="211"/>
      <c r="X34" s="211"/>
      <c r="Y34" s="211"/>
      <c r="Z34" s="211"/>
    </row>
    <row r="35" spans="1:26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T35" s="199"/>
      <c r="U35" s="211"/>
      <c r="V35" s="211"/>
      <c r="W35" s="211"/>
      <c r="X35" s="211"/>
      <c r="Y35" s="211"/>
      <c r="Z35" s="211"/>
    </row>
    <row r="36" spans="1:26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  <c r="T36" s="199"/>
      <c r="U36" s="211"/>
      <c r="V36" s="211"/>
      <c r="W36" s="211"/>
      <c r="X36" s="211"/>
      <c r="Y36" s="211"/>
      <c r="Z36" s="211"/>
    </row>
    <row r="37" spans="1:26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  <c r="U37" s="211"/>
      <c r="V37" s="211"/>
      <c r="W37" s="211"/>
      <c r="X37" s="211"/>
      <c r="Y37" s="211"/>
      <c r="Z37" s="211"/>
    </row>
    <row r="38" spans="1:26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  <c r="W38" s="211"/>
      <c r="X38" s="211"/>
      <c r="Y38" s="211"/>
      <c r="Z38" s="211"/>
    </row>
    <row r="39" spans="1:26" ht="15" thickBot="1" x14ac:dyDescent="0.35">
      <c r="A39" s="39">
        <v>562.79</v>
      </c>
      <c r="B39" s="40" t="s">
        <v>64</v>
      </c>
      <c r="C39" s="15">
        <v>28820</v>
      </c>
      <c r="D39" s="14">
        <f t="shared" si="2"/>
        <v>28820</v>
      </c>
      <c r="E39" s="231"/>
      <c r="F39" s="257"/>
      <c r="G39" s="228"/>
      <c r="H39" s="231"/>
      <c r="I39" s="219"/>
      <c r="J39" s="217"/>
      <c r="K39" s="217"/>
      <c r="L39" s="217">
        <v>28820</v>
      </c>
      <c r="M39" s="9">
        <f t="shared" si="0"/>
        <v>28820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  <c r="W39" s="211"/>
      <c r="X39" s="211"/>
      <c r="Y39" s="211"/>
      <c r="Z39" s="211"/>
    </row>
    <row r="40" spans="1:26" ht="15" thickBot="1" x14ac:dyDescent="0.35">
      <c r="A40" s="39">
        <v>562.79999999999995</v>
      </c>
      <c r="B40" s="40" t="s">
        <v>65</v>
      </c>
      <c r="C40" s="15">
        <v>97462</v>
      </c>
      <c r="D40" s="14">
        <f t="shared" si="2"/>
        <v>97462</v>
      </c>
      <c r="E40" s="231"/>
      <c r="F40" s="257">
        <v>80559</v>
      </c>
      <c r="G40" s="228"/>
      <c r="H40" s="231"/>
      <c r="I40" s="219"/>
      <c r="J40" s="217"/>
      <c r="K40" s="217"/>
      <c r="L40" s="217">
        <v>16903</v>
      </c>
      <c r="M40" s="9">
        <f t="shared" si="0"/>
        <v>16903</v>
      </c>
      <c r="N40" s="217"/>
      <c r="O40" s="217"/>
      <c r="P40" s="217"/>
      <c r="Q40" s="214">
        <f t="shared" si="1"/>
        <v>0</v>
      </c>
      <c r="R40" s="231">
        <v>0</v>
      </c>
      <c r="T40" s="199"/>
      <c r="U40" s="211"/>
      <c r="V40" s="211"/>
      <c r="W40" s="211"/>
      <c r="X40" s="211"/>
      <c r="Y40" s="211"/>
      <c r="Z40" s="211"/>
    </row>
    <row r="41" spans="1:26" ht="15" thickBot="1" x14ac:dyDescent="0.35">
      <c r="A41" s="39">
        <v>562.88</v>
      </c>
      <c r="B41" s="82" t="s">
        <v>91</v>
      </c>
      <c r="C41" s="15">
        <v>39688</v>
      </c>
      <c r="D41" s="14">
        <f t="shared" si="2"/>
        <v>39688</v>
      </c>
      <c r="E41" s="231"/>
      <c r="F41" s="257"/>
      <c r="G41" s="228"/>
      <c r="H41" s="231">
        <v>36156</v>
      </c>
      <c r="I41" s="219"/>
      <c r="J41" s="217"/>
      <c r="K41" s="217"/>
      <c r="L41" s="217">
        <v>3532</v>
      </c>
      <c r="M41" s="9">
        <f t="shared" si="0"/>
        <v>3532</v>
      </c>
      <c r="N41" s="217"/>
      <c r="O41" s="217"/>
      <c r="P41" s="217"/>
      <c r="Q41" s="214">
        <f t="shared" si="1"/>
        <v>0</v>
      </c>
      <c r="R41" s="231"/>
      <c r="T41" s="199"/>
      <c r="U41" s="211"/>
      <c r="V41" s="211"/>
      <c r="W41" s="211"/>
      <c r="X41" s="211"/>
      <c r="Y41" s="211"/>
      <c r="Z41" s="211"/>
    </row>
    <row r="42" spans="1:26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T42" s="199"/>
      <c r="U42" s="211"/>
      <c r="V42" s="211"/>
      <c r="W42" s="211"/>
      <c r="X42" s="211"/>
      <c r="Y42" s="211"/>
      <c r="Z42" s="211"/>
    </row>
    <row r="43" spans="1:26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  <c r="U43" s="211"/>
      <c r="V43" s="211"/>
      <c r="W43" s="211"/>
      <c r="X43" s="211"/>
      <c r="Y43" s="211"/>
      <c r="Z43" s="211"/>
    </row>
    <row r="44" spans="1:26" x14ac:dyDescent="0.3">
      <c r="A44" s="206" t="s">
        <v>110</v>
      </c>
      <c r="B44" s="207" t="s">
        <v>68</v>
      </c>
      <c r="C44" s="208">
        <f>SUM(C5:C43)</f>
        <v>3131701</v>
      </c>
      <c r="D44" s="205">
        <f>E44+F44+G44+H44+I44+M44+Q44+R44</f>
        <v>3131702</v>
      </c>
      <c r="E44" s="233">
        <f t="shared" ref="E44:R44" si="3">SUM(E5:E43)</f>
        <v>0</v>
      </c>
      <c r="F44" s="259">
        <f t="shared" si="3"/>
        <v>477981</v>
      </c>
      <c r="G44" s="223">
        <f t="shared" si="3"/>
        <v>57355</v>
      </c>
      <c r="H44" s="233">
        <f t="shared" si="3"/>
        <v>160561</v>
      </c>
      <c r="I44" s="239">
        <f t="shared" si="3"/>
        <v>383740</v>
      </c>
      <c r="J44" s="245">
        <f>SUM(J5:J43)</f>
        <v>0</v>
      </c>
      <c r="K44" s="245">
        <f>SUM(K5:K43)</f>
        <v>0</v>
      </c>
      <c r="L44" s="245">
        <f>SUM(L5:L43)</f>
        <v>266184</v>
      </c>
      <c r="M44" s="208">
        <f t="shared" si="3"/>
        <v>266184</v>
      </c>
      <c r="N44" s="245">
        <f>SUM(N5:N43)</f>
        <v>969376</v>
      </c>
      <c r="O44" s="245">
        <f>SUM(O5:O43)</f>
        <v>77610</v>
      </c>
      <c r="P44" s="245">
        <f>SUM(P5:P43)</f>
        <v>0</v>
      </c>
      <c r="Q44" s="216">
        <f t="shared" si="3"/>
        <v>1046986</v>
      </c>
      <c r="R44" s="233">
        <f t="shared" si="3"/>
        <v>738895</v>
      </c>
      <c r="T44" s="199"/>
      <c r="U44" s="211"/>
      <c r="V44" s="211"/>
      <c r="W44" s="211"/>
      <c r="X44" s="211"/>
      <c r="Y44" s="211"/>
      <c r="Z44" s="211"/>
    </row>
    <row r="45" spans="1:26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  <c r="W45" s="211"/>
      <c r="X45" s="211"/>
      <c r="Y45" s="211"/>
      <c r="Z45" s="211"/>
    </row>
    <row r="46" spans="1:26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  <c r="W46" s="211"/>
      <c r="X46" s="211"/>
      <c r="Y46" s="211"/>
      <c r="Z46" s="211"/>
    </row>
    <row r="47" spans="1:26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T47" s="199"/>
      <c r="U47" s="211"/>
      <c r="V47" s="211"/>
      <c r="W47" s="211"/>
      <c r="X47" s="211"/>
      <c r="Y47" s="211"/>
      <c r="Z47" s="211"/>
    </row>
    <row r="48" spans="1:26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  <c r="W48" s="211"/>
      <c r="X48" s="211"/>
      <c r="Y48" s="211"/>
      <c r="Z48" s="211"/>
    </row>
    <row r="49" spans="1:26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T49" s="199"/>
      <c r="U49" s="211"/>
      <c r="V49" s="211"/>
      <c r="W49" s="211"/>
      <c r="X49" s="211"/>
      <c r="Y49" s="211"/>
      <c r="Z49" s="211"/>
    </row>
    <row r="50" spans="1:26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  <c r="W50" s="211"/>
      <c r="X50" s="211"/>
      <c r="Y50" s="211"/>
      <c r="Z50" s="211"/>
    </row>
    <row r="51" spans="1:26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  <c r="W51" s="211"/>
      <c r="X51" s="211"/>
      <c r="Y51" s="211"/>
      <c r="Z51" s="211"/>
    </row>
    <row r="52" spans="1:26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  <c r="W52" s="211"/>
      <c r="X52" s="211"/>
      <c r="Y52" s="211"/>
      <c r="Z52" s="211"/>
    </row>
    <row r="53" spans="1:26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  <c r="T53" s="199"/>
      <c r="U53" s="211"/>
      <c r="V53" s="211"/>
      <c r="W53" s="211"/>
      <c r="X53" s="211"/>
      <c r="Y53" s="211"/>
      <c r="Z53" s="211"/>
    </row>
    <row r="54" spans="1:26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  <c r="U54" s="211"/>
      <c r="V54" s="211"/>
      <c r="W54" s="211"/>
      <c r="X54" s="211"/>
      <c r="Y54" s="211"/>
      <c r="Z54" s="211"/>
    </row>
    <row r="55" spans="1:26" x14ac:dyDescent="0.3">
      <c r="A55" s="41">
        <v>500</v>
      </c>
      <c r="B55" s="32" t="s">
        <v>118</v>
      </c>
      <c r="C55" s="18"/>
      <c r="D55" s="20">
        <f t="shared" si="2"/>
        <v>0</v>
      </c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T55" s="199"/>
      <c r="U55" s="211"/>
      <c r="V55" s="211"/>
      <c r="W55" s="211"/>
      <c r="X55" s="211"/>
      <c r="Y55" s="211"/>
      <c r="Z55" s="211"/>
    </row>
    <row r="56" spans="1:26" ht="15" thickBot="1" x14ac:dyDescent="0.35">
      <c r="A56" s="107"/>
      <c r="B56" s="108" t="s">
        <v>80</v>
      </c>
      <c r="C56" s="111">
        <f>SUM(C44:C55)</f>
        <v>3131701</v>
      </c>
      <c r="D56" s="110">
        <f>E56+F56+G56+H56+I56+M56+Q56+R56</f>
        <v>3131702</v>
      </c>
      <c r="E56" s="235">
        <f t="shared" ref="E56:R56" si="4">SUM(E44:E55)</f>
        <v>0</v>
      </c>
      <c r="F56" s="260">
        <f t="shared" si="4"/>
        <v>477981</v>
      </c>
      <c r="G56" s="225">
        <f t="shared" si="4"/>
        <v>57355</v>
      </c>
      <c r="H56" s="235">
        <f t="shared" si="4"/>
        <v>160561</v>
      </c>
      <c r="I56" s="240">
        <f t="shared" si="4"/>
        <v>383740</v>
      </c>
      <c r="J56" s="218">
        <f>SUM(J44:J55)</f>
        <v>0</v>
      </c>
      <c r="K56" s="218">
        <f>SUM(K44:K55)</f>
        <v>0</v>
      </c>
      <c r="L56" s="218">
        <f>SUM(L44:L55)</f>
        <v>266184</v>
      </c>
      <c r="M56" s="209">
        <f t="shared" si="4"/>
        <v>266184</v>
      </c>
      <c r="N56" s="218">
        <f>SUM(N44:N55)</f>
        <v>969376</v>
      </c>
      <c r="O56" s="218">
        <f>SUM(O44:O55)</f>
        <v>77610</v>
      </c>
      <c r="P56" s="218">
        <f>SUM(P44:P55)</f>
        <v>0</v>
      </c>
      <c r="Q56" s="218">
        <f t="shared" si="4"/>
        <v>1046986</v>
      </c>
      <c r="R56" s="235">
        <f t="shared" si="4"/>
        <v>738895</v>
      </c>
      <c r="T56" s="199"/>
      <c r="U56" s="211"/>
      <c r="V56" s="211"/>
      <c r="W56" s="211"/>
      <c r="X56" s="211"/>
      <c r="Y56" s="211"/>
      <c r="Z56" s="211"/>
    </row>
    <row r="57" spans="1:26" ht="15" thickTop="1" x14ac:dyDescent="0.3"/>
    <row r="58" spans="1:26" ht="15" thickBot="1" x14ac:dyDescent="0.35"/>
    <row r="59" spans="1:26" ht="15" thickBot="1" x14ac:dyDescent="0.35">
      <c r="B59" s="42" t="s">
        <v>109</v>
      </c>
      <c r="C59" s="43"/>
      <c r="D59" s="44"/>
    </row>
    <row r="60" spans="1:26" ht="15" thickTop="1" x14ac:dyDescent="0.3">
      <c r="B60" s="115"/>
      <c r="C60" s="116" t="s">
        <v>82</v>
      </c>
      <c r="D60" s="117" t="s">
        <v>78</v>
      </c>
    </row>
    <row r="61" spans="1:26" x14ac:dyDescent="0.3">
      <c r="B61" s="153" t="s">
        <v>108</v>
      </c>
      <c r="C61" s="45"/>
      <c r="D61" s="46"/>
    </row>
    <row r="62" spans="1:26" x14ac:dyDescent="0.3">
      <c r="B62" s="26" t="s">
        <v>3</v>
      </c>
      <c r="C62" s="47">
        <f>E56</f>
        <v>0</v>
      </c>
      <c r="D62" s="48">
        <f>E56/D56</f>
        <v>0</v>
      </c>
    </row>
    <row r="63" spans="1:26" x14ac:dyDescent="0.3">
      <c r="B63" s="26" t="s">
        <v>4</v>
      </c>
      <c r="C63" s="49">
        <f>F56</f>
        <v>477981</v>
      </c>
      <c r="D63" s="48">
        <f>F56/D56</f>
        <v>0.1526265909080749</v>
      </c>
    </row>
    <row r="64" spans="1:26" x14ac:dyDescent="0.3">
      <c r="B64" s="56" t="s">
        <v>79</v>
      </c>
      <c r="C64" s="50">
        <f>G56</f>
        <v>57355</v>
      </c>
      <c r="D64" s="51">
        <f>G56/D56</f>
        <v>1.8314322371668825E-2</v>
      </c>
    </row>
    <row r="65" spans="2:4" ht="15" thickBot="1" x14ac:dyDescent="0.35">
      <c r="B65" s="146" t="s">
        <v>115</v>
      </c>
      <c r="C65" s="52">
        <f>SUM(C62:C64)</f>
        <v>535336</v>
      </c>
      <c r="D65" s="53">
        <f>SUM(D62:D64)</f>
        <v>0.17094091327974373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160561</v>
      </c>
      <c r="D67" s="25">
        <f>H56/D56</f>
        <v>5.1269565239604534E-2</v>
      </c>
    </row>
    <row r="68" spans="2:4" x14ac:dyDescent="0.3">
      <c r="B68" s="57" t="s">
        <v>7</v>
      </c>
      <c r="C68" s="27">
        <f>I56</f>
        <v>383740</v>
      </c>
      <c r="D68" s="28">
        <f>I56/D56</f>
        <v>0.12253400866365957</v>
      </c>
    </row>
    <row r="69" spans="2:4" ht="15" thickBot="1" x14ac:dyDescent="0.35">
      <c r="B69" s="146" t="s">
        <v>116</v>
      </c>
      <c r="C69" s="52">
        <f>SUM(C67:C68)</f>
        <v>544301</v>
      </c>
      <c r="D69" s="53">
        <f>SUM(D67:D68)</f>
        <v>0.17380357390326412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266184</v>
      </c>
      <c r="D71" s="25">
        <f>M56/D56</f>
        <v>8.4996592906987953E-2</v>
      </c>
    </row>
    <row r="72" spans="2:4" x14ac:dyDescent="0.3">
      <c r="B72" s="24" t="s">
        <v>8</v>
      </c>
      <c r="C72" s="23">
        <f>Q56</f>
        <v>1046986</v>
      </c>
      <c r="D72" s="25">
        <f>Q56/D56</f>
        <v>0.33431852711401022</v>
      </c>
    </row>
    <row r="73" spans="2:4" x14ac:dyDescent="0.3">
      <c r="B73" s="163" t="s">
        <v>83</v>
      </c>
      <c r="C73" s="27">
        <f>R56</f>
        <v>738895</v>
      </c>
      <c r="D73" s="28">
        <f>R56/D56</f>
        <v>0.23594039279599399</v>
      </c>
    </row>
    <row r="74" spans="2:4" ht="15" thickBot="1" x14ac:dyDescent="0.35">
      <c r="B74" s="146" t="s">
        <v>117</v>
      </c>
      <c r="C74" s="52">
        <f>SUM(C71:C73)</f>
        <v>2052065</v>
      </c>
      <c r="D74" s="53">
        <f>SUM(D71:D73)</f>
        <v>0.65525551281699213</v>
      </c>
    </row>
    <row r="75" spans="2:4" ht="15" thickBot="1" x14ac:dyDescent="0.35">
      <c r="B75" s="157" t="s">
        <v>80</v>
      </c>
      <c r="C75" s="158">
        <f>C65+C69+C74</f>
        <v>3131702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 U5">
    <cfRule type="expression" dxfId="167" priority="7">
      <formula>ROW()=EVEN(ROW())</formula>
    </cfRule>
  </conditionalFormatting>
  <conditionalFormatting sqref="A55:B55">
    <cfRule type="expression" dxfId="166" priority="5">
      <formula>ROW()=EVEN(ROW())</formula>
    </cfRule>
  </conditionalFormatting>
  <conditionalFormatting sqref="A54:B54">
    <cfRule type="expression" dxfId="165" priority="4">
      <formula>ROW()=EVEN(ROW())</formula>
    </cfRule>
  </conditionalFormatting>
  <conditionalFormatting sqref="M45:M55">
    <cfRule type="expression" dxfId="164" priority="3">
      <formula>ROW()=EVEN(ROW())</formula>
    </cfRule>
  </conditionalFormatting>
  <conditionalFormatting sqref="D45:D55">
    <cfRule type="expression" dxfId="163" priority="2">
      <formula>ROW()=EVEN(ROW())</formula>
    </cfRule>
  </conditionalFormatting>
  <conditionalFormatting sqref="N44:P55">
    <cfRule type="expression" dxfId="162" priority="1">
      <formula>ROW()=EVEN(ROW())</formula>
    </cfRule>
  </conditionalFormatting>
  <printOptions horizontalCentered="1"/>
  <pageMargins left="0" right="0" top="1.1000000000000001" bottom="0.5" header="0.3" footer="0.3"/>
  <pageSetup scale="85" fitToHeight="0" orientation="landscape" r:id="rId1"/>
  <headerFooter>
    <oddHeader>&amp;C&amp;"-,Bold"&amp;20Funding by Expenditure Code and Revenue Source&amp;"-,Regular"&amp;11
&amp;"-,Bold"&amp;20 2014&amp;"-,Regular"&amp;11
&amp;"-,Bold"&amp;20COWLITZ</oddHeader>
    <oddFooter>&amp;LRevised 11-4-16&amp;CPage &amp;P</oddFooter>
  </headerFooter>
  <rowBreaks count="1" manualBreakCount="1">
    <brk id="44" max="16383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8"/>
  <sheetViews>
    <sheetView showZeros="0" topLeftCell="A4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0" x14ac:dyDescent="0.3">
      <c r="A1" s="22" t="s">
        <v>150</v>
      </c>
      <c r="B1" s="6"/>
      <c r="C1" s="31">
        <v>2240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0" x14ac:dyDescent="0.3">
      <c r="A2" s="80" t="s">
        <v>44</v>
      </c>
      <c r="B2" s="5"/>
      <c r="C2" s="83">
        <v>3.7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0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0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</row>
    <row r="5" spans="1:20" ht="15" thickBot="1" x14ac:dyDescent="0.35">
      <c r="A5" s="36">
        <v>562.1</v>
      </c>
      <c r="B5" s="37" t="s">
        <v>47</v>
      </c>
      <c r="C5" s="16">
        <f>70414+17057</f>
        <v>87471</v>
      </c>
      <c r="D5" s="14">
        <f>E5+F5+G5+H5+I5+M5+Q5+R5</f>
        <v>87845</v>
      </c>
      <c r="E5" s="236"/>
      <c r="F5" s="256">
        <f>24091+9063</f>
        <v>33154</v>
      </c>
      <c r="G5" s="227">
        <f>50+38</f>
        <v>88</v>
      </c>
      <c r="H5" s="236">
        <f>6677+5633+863+232+43+4012+2227+583+899+115+577</f>
        <v>21861</v>
      </c>
      <c r="I5" s="241"/>
      <c r="J5" s="214"/>
      <c r="K5" s="214"/>
      <c r="L5" s="214">
        <v>32503</v>
      </c>
      <c r="M5" s="9">
        <f>SUM(J5:L5)</f>
        <v>32503</v>
      </c>
      <c r="N5" s="214"/>
      <c r="O5" s="214"/>
      <c r="P5" s="214"/>
      <c r="Q5" s="214">
        <f>SUM(N5:P5)</f>
        <v>0</v>
      </c>
      <c r="R5" s="236">
        <v>239</v>
      </c>
      <c r="S5" s="199">
        <v>389.9</v>
      </c>
      <c r="T5" s="200">
        <v>239</v>
      </c>
    </row>
    <row r="6" spans="1:20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</row>
    <row r="7" spans="1:20" ht="15" thickBot="1" x14ac:dyDescent="0.35">
      <c r="A7" s="39">
        <v>562.22</v>
      </c>
      <c r="B7" s="82" t="s">
        <v>92</v>
      </c>
      <c r="C7" s="15">
        <v>11154</v>
      </c>
      <c r="D7" s="14">
        <f t="shared" ref="D7:D55" si="2">E7+F7+G7+H7+I7+M7+Q7+R7</f>
        <v>11067</v>
      </c>
      <c r="E7" s="231"/>
      <c r="F7" s="257"/>
      <c r="G7" s="228"/>
      <c r="H7" s="231">
        <f>9312+1755</f>
        <v>11067</v>
      </c>
      <c r="I7" s="219"/>
      <c r="J7" s="217"/>
      <c r="K7" s="217"/>
      <c r="L7" s="217"/>
      <c r="M7" s="9">
        <f t="shared" si="0"/>
        <v>0</v>
      </c>
      <c r="N7" s="217"/>
      <c r="O7" s="217"/>
      <c r="P7" s="217"/>
      <c r="Q7" s="214">
        <f t="shared" si="1"/>
        <v>0</v>
      </c>
      <c r="R7" s="231"/>
    </row>
    <row r="8" spans="1:20" ht="15" thickBot="1" x14ac:dyDescent="0.35">
      <c r="A8" s="39">
        <v>562.24</v>
      </c>
      <c r="B8" s="40" t="s">
        <v>49</v>
      </c>
      <c r="C8" s="15"/>
      <c r="D8" s="14">
        <f t="shared" si="2"/>
        <v>0</v>
      </c>
      <c r="E8" s="231"/>
      <c r="F8" s="257"/>
      <c r="G8" s="228"/>
      <c r="H8" s="231"/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/>
    </row>
    <row r="9" spans="1:20" ht="15" thickBot="1" x14ac:dyDescent="0.35">
      <c r="A9" s="39">
        <v>562.25</v>
      </c>
      <c r="B9" s="82" t="s">
        <v>93</v>
      </c>
      <c r="C9" s="15">
        <v>6030</v>
      </c>
      <c r="D9" s="14">
        <f t="shared" si="2"/>
        <v>5934</v>
      </c>
      <c r="E9" s="231"/>
      <c r="F9" s="257"/>
      <c r="G9" s="228"/>
      <c r="H9" s="231">
        <f>5553+381</f>
        <v>5934</v>
      </c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</row>
    <row r="10" spans="1:20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</row>
    <row r="11" spans="1:20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</row>
    <row r="12" spans="1:20" ht="15" thickBot="1" x14ac:dyDescent="0.35">
      <c r="A12" s="39">
        <v>562.28</v>
      </c>
      <c r="B12" s="82" t="s">
        <v>94</v>
      </c>
      <c r="C12" s="15">
        <v>20085</v>
      </c>
      <c r="D12" s="14">
        <f t="shared" si="2"/>
        <v>19963</v>
      </c>
      <c r="E12" s="231"/>
      <c r="F12" s="257"/>
      <c r="G12" s="228"/>
      <c r="H12" s="231">
        <f>16106+3857</f>
        <v>19963</v>
      </c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</row>
    <row r="13" spans="1:20" ht="15" thickBot="1" x14ac:dyDescent="0.35">
      <c r="A13" s="39">
        <v>562.29</v>
      </c>
      <c r="B13" s="82" t="s">
        <v>86</v>
      </c>
      <c r="C13" s="15">
        <f>996+7982</f>
        <v>8978</v>
      </c>
      <c r="D13" s="14">
        <f t="shared" si="2"/>
        <v>2882</v>
      </c>
      <c r="E13" s="231"/>
      <c r="F13" s="257"/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>
        <f>2744+138</f>
        <v>2882</v>
      </c>
      <c r="P13" s="217"/>
      <c r="Q13" s="214">
        <f t="shared" si="1"/>
        <v>2882</v>
      </c>
      <c r="R13" s="231"/>
    </row>
    <row r="14" spans="1:20" ht="15" thickBot="1" x14ac:dyDescent="0.35">
      <c r="A14" s="39">
        <v>562.32000000000005</v>
      </c>
      <c r="B14" s="40" t="s">
        <v>50</v>
      </c>
      <c r="C14" s="15">
        <f>2251+491+67+490+96</f>
        <v>3395</v>
      </c>
      <c r="D14" s="14">
        <f t="shared" si="2"/>
        <v>5050</v>
      </c>
      <c r="E14" s="231"/>
      <c r="F14" s="257"/>
      <c r="G14" s="228"/>
      <c r="H14" s="231">
        <f>2162+558+360+59</f>
        <v>3139</v>
      </c>
      <c r="I14" s="219"/>
      <c r="J14" s="217"/>
      <c r="K14" s="217"/>
      <c r="L14" s="217"/>
      <c r="M14" s="9">
        <f t="shared" si="0"/>
        <v>0</v>
      </c>
      <c r="N14" s="217"/>
      <c r="O14" s="217">
        <f>1839+72</f>
        <v>1911</v>
      </c>
      <c r="P14" s="217"/>
      <c r="Q14" s="214">
        <f t="shared" si="1"/>
        <v>1911</v>
      </c>
      <c r="R14" s="231"/>
    </row>
    <row r="15" spans="1:20" ht="15" thickBot="1" x14ac:dyDescent="0.35">
      <c r="A15" s="39">
        <v>562.33000000000004</v>
      </c>
      <c r="B15" s="82" t="s">
        <v>95</v>
      </c>
      <c r="C15" s="15"/>
      <c r="D15" s="14">
        <f t="shared" si="2"/>
        <v>0</v>
      </c>
      <c r="E15" s="231"/>
      <c r="F15" s="257"/>
      <c r="G15" s="228"/>
      <c r="H15" s="231"/>
      <c r="I15" s="219"/>
      <c r="J15" s="217"/>
      <c r="K15" s="217"/>
      <c r="L15" s="217"/>
      <c r="M15" s="9">
        <f t="shared" si="0"/>
        <v>0</v>
      </c>
      <c r="N15" s="217"/>
      <c r="O15" s="217"/>
      <c r="P15" s="217"/>
      <c r="Q15" s="214">
        <f t="shared" si="1"/>
        <v>0</v>
      </c>
      <c r="R15" s="231"/>
    </row>
    <row r="16" spans="1:20" ht="15" thickBot="1" x14ac:dyDescent="0.35">
      <c r="A16" s="39">
        <v>562.34</v>
      </c>
      <c r="B16" s="40" t="s">
        <v>51</v>
      </c>
      <c r="C16" s="15">
        <v>54</v>
      </c>
      <c r="D16" s="14">
        <f t="shared" si="2"/>
        <v>0</v>
      </c>
      <c r="E16" s="231"/>
      <c r="F16" s="257"/>
      <c r="G16" s="228"/>
      <c r="H16" s="231"/>
      <c r="I16" s="219"/>
      <c r="J16" s="217"/>
      <c r="K16" s="217"/>
      <c r="L16" s="217"/>
      <c r="M16" s="9">
        <f t="shared" si="0"/>
        <v>0</v>
      </c>
      <c r="N16" s="217"/>
      <c r="O16" s="217"/>
      <c r="P16" s="217"/>
      <c r="Q16" s="214">
        <f t="shared" si="1"/>
        <v>0</v>
      </c>
      <c r="R16" s="231"/>
      <c r="T16" s="204"/>
    </row>
    <row r="17" spans="1:18" ht="15" thickBot="1" x14ac:dyDescent="0.35">
      <c r="A17" s="39">
        <v>562.35</v>
      </c>
      <c r="B17" s="40" t="s">
        <v>52</v>
      </c>
      <c r="C17" s="15"/>
      <c r="D17" s="14">
        <f t="shared" si="2"/>
        <v>0</v>
      </c>
      <c r="E17" s="231"/>
      <c r="F17" s="257"/>
      <c r="G17" s="228"/>
      <c r="H17" s="231"/>
      <c r="I17" s="219"/>
      <c r="J17" s="217"/>
      <c r="K17" s="217"/>
      <c r="L17" s="217"/>
      <c r="M17" s="9">
        <f t="shared" si="0"/>
        <v>0</v>
      </c>
      <c r="N17" s="217"/>
      <c r="O17" s="217"/>
      <c r="P17" s="217"/>
      <c r="Q17" s="214">
        <f t="shared" si="1"/>
        <v>0</v>
      </c>
      <c r="R17" s="231"/>
    </row>
    <row r="18" spans="1:18" ht="15" thickBot="1" x14ac:dyDescent="0.35">
      <c r="A18" s="39">
        <v>562.39</v>
      </c>
      <c r="B18" s="40" t="s">
        <v>53</v>
      </c>
      <c r="C18" s="15"/>
      <c r="D18" s="14">
        <f t="shared" si="2"/>
        <v>0</v>
      </c>
      <c r="E18" s="231"/>
      <c r="F18" s="257"/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/>
      <c r="P18" s="217"/>
      <c r="Q18" s="214">
        <f t="shared" si="1"/>
        <v>0</v>
      </c>
      <c r="R18" s="231"/>
    </row>
    <row r="19" spans="1:18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</row>
    <row r="20" spans="1:18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</row>
    <row r="21" spans="1:18" ht="15" thickBot="1" x14ac:dyDescent="0.35">
      <c r="A21" s="39">
        <v>562.42999999999995</v>
      </c>
      <c r="B21" s="82" t="s">
        <v>96</v>
      </c>
      <c r="C21" s="15">
        <v>370</v>
      </c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</row>
    <row r="22" spans="1:18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</row>
    <row r="23" spans="1:18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</row>
    <row r="24" spans="1:18" ht="15" thickBot="1" x14ac:dyDescent="0.35">
      <c r="A24" s="39">
        <v>562.49</v>
      </c>
      <c r="B24" s="82" t="s">
        <v>87</v>
      </c>
      <c r="C24" s="15"/>
      <c r="D24" s="14">
        <f t="shared" si="2"/>
        <v>0</v>
      </c>
      <c r="E24" s="231"/>
      <c r="F24" s="257"/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</row>
    <row r="25" spans="1:18" ht="15" thickBot="1" x14ac:dyDescent="0.35">
      <c r="A25" s="39">
        <v>562.52</v>
      </c>
      <c r="B25" s="40" t="s">
        <v>56</v>
      </c>
      <c r="C25" s="15">
        <v>508</v>
      </c>
      <c r="D25" s="14">
        <f t="shared" si="2"/>
        <v>0</v>
      </c>
      <c r="E25" s="231"/>
      <c r="F25" s="257"/>
      <c r="G25" s="228"/>
      <c r="H25" s="231"/>
      <c r="I25" s="219"/>
      <c r="J25" s="217"/>
      <c r="K25" s="217"/>
      <c r="L25" s="217"/>
      <c r="M25" s="9">
        <f t="shared" si="0"/>
        <v>0</v>
      </c>
      <c r="N25" s="217"/>
      <c r="O25" s="217"/>
      <c r="P25" s="217"/>
      <c r="Q25" s="214">
        <f t="shared" si="1"/>
        <v>0</v>
      </c>
      <c r="R25" s="231"/>
    </row>
    <row r="26" spans="1:18" ht="15" thickBot="1" x14ac:dyDescent="0.35">
      <c r="A26" s="39">
        <v>562.53</v>
      </c>
      <c r="B26" s="82" t="s">
        <v>99</v>
      </c>
      <c r="C26" s="15">
        <f>84+607</f>
        <v>691</v>
      </c>
      <c r="D26" s="14">
        <f t="shared" si="2"/>
        <v>1152</v>
      </c>
      <c r="E26" s="231"/>
      <c r="F26" s="257"/>
      <c r="G26" s="228">
        <f>325+152</f>
        <v>477</v>
      </c>
      <c r="H26" s="231"/>
      <c r="I26" s="219"/>
      <c r="J26" s="217"/>
      <c r="K26" s="217"/>
      <c r="L26" s="217"/>
      <c r="M26" s="9">
        <f t="shared" si="0"/>
        <v>0</v>
      </c>
      <c r="N26" s="217">
        <v>675</v>
      </c>
      <c r="O26" s="217"/>
      <c r="P26" s="217"/>
      <c r="Q26" s="214">
        <f t="shared" si="1"/>
        <v>675</v>
      </c>
      <c r="R26" s="231"/>
    </row>
    <row r="27" spans="1:18" ht="15" thickBot="1" x14ac:dyDescent="0.35">
      <c r="A27" s="39">
        <v>562.54</v>
      </c>
      <c r="B27" s="82" t="s">
        <v>100</v>
      </c>
      <c r="C27" s="15">
        <v>2398</v>
      </c>
      <c r="D27" s="14">
        <f t="shared" si="2"/>
        <v>1115</v>
      </c>
      <c r="E27" s="231"/>
      <c r="F27" s="257"/>
      <c r="G27" s="228"/>
      <c r="H27" s="231"/>
      <c r="I27" s="219"/>
      <c r="J27" s="217"/>
      <c r="K27" s="217"/>
      <c r="L27" s="217"/>
      <c r="M27" s="9">
        <f t="shared" si="0"/>
        <v>0</v>
      </c>
      <c r="N27" s="217">
        <f>375+470+270</f>
        <v>1115</v>
      </c>
      <c r="O27" s="217"/>
      <c r="P27" s="217"/>
      <c r="Q27" s="214">
        <f t="shared" si="1"/>
        <v>1115</v>
      </c>
      <c r="R27" s="231"/>
    </row>
    <row r="28" spans="1:18" ht="15" thickBot="1" x14ac:dyDescent="0.35">
      <c r="A28" s="39">
        <v>562.54999999999995</v>
      </c>
      <c r="B28" s="40" t="s">
        <v>57</v>
      </c>
      <c r="C28" s="15"/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</row>
    <row r="29" spans="1:18" ht="15" thickBot="1" x14ac:dyDescent="0.35">
      <c r="A29" s="39">
        <v>562.55999999999995</v>
      </c>
      <c r="B29" s="40" t="s">
        <v>58</v>
      </c>
      <c r="C29" s="15">
        <v>6548</v>
      </c>
      <c r="D29" s="14">
        <f t="shared" si="2"/>
        <v>2859</v>
      </c>
      <c r="E29" s="231"/>
      <c r="F29" s="257"/>
      <c r="G29" s="228"/>
      <c r="H29" s="231"/>
      <c r="I29" s="219"/>
      <c r="J29" s="217"/>
      <c r="K29" s="217"/>
      <c r="L29" s="217"/>
      <c r="M29" s="9">
        <f t="shared" si="0"/>
        <v>0</v>
      </c>
      <c r="N29" s="217">
        <f>614+2245</f>
        <v>2859</v>
      </c>
      <c r="O29" s="217"/>
      <c r="P29" s="217"/>
      <c r="Q29" s="214">
        <f t="shared" si="1"/>
        <v>2859</v>
      </c>
      <c r="R29" s="231"/>
    </row>
    <row r="30" spans="1:18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</row>
    <row r="31" spans="1:18" ht="15" thickBot="1" x14ac:dyDescent="0.35">
      <c r="A31" s="39">
        <v>562.58000000000004</v>
      </c>
      <c r="B31" s="82" t="s">
        <v>88</v>
      </c>
      <c r="C31" s="15">
        <v>264</v>
      </c>
      <c r="D31" s="14">
        <f t="shared" si="2"/>
        <v>120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v>120</v>
      </c>
      <c r="O31" s="217"/>
      <c r="P31" s="217"/>
      <c r="Q31" s="214">
        <f t="shared" si="1"/>
        <v>120</v>
      </c>
      <c r="R31" s="231"/>
    </row>
    <row r="32" spans="1:18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</row>
    <row r="33" spans="1:18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</row>
    <row r="34" spans="1:18" ht="15" thickBot="1" x14ac:dyDescent="0.35">
      <c r="A34" s="39">
        <v>562.71</v>
      </c>
      <c r="B34" s="40" t="s">
        <v>60</v>
      </c>
      <c r="C34" s="15">
        <v>1883</v>
      </c>
      <c r="D34" s="14">
        <f t="shared" si="2"/>
        <v>562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>
        <v>562</v>
      </c>
      <c r="O34" s="217"/>
      <c r="P34" s="217"/>
      <c r="Q34" s="214">
        <f t="shared" si="1"/>
        <v>562</v>
      </c>
      <c r="R34" s="231"/>
    </row>
    <row r="35" spans="1:18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</row>
    <row r="36" spans="1:18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</row>
    <row r="37" spans="1:18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</row>
    <row r="38" spans="1:18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</row>
    <row r="39" spans="1:18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</row>
    <row r="40" spans="1:18" ht="15" thickBot="1" x14ac:dyDescent="0.35">
      <c r="A40" s="39">
        <v>562.79999999999995</v>
      </c>
      <c r="B40" s="40" t="s">
        <v>65</v>
      </c>
      <c r="C40" s="15">
        <v>69501</v>
      </c>
      <c r="D40" s="14">
        <f t="shared" si="2"/>
        <v>60075</v>
      </c>
      <c r="E40" s="231"/>
      <c r="F40" s="257">
        <v>60000</v>
      </c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>
        <v>75</v>
      </c>
      <c r="P40" s="217"/>
      <c r="Q40" s="214">
        <f t="shared" si="1"/>
        <v>75</v>
      </c>
      <c r="R40" s="231"/>
    </row>
    <row r="41" spans="1:18" ht="15" thickBot="1" x14ac:dyDescent="0.35">
      <c r="A41" s="39">
        <v>562.88</v>
      </c>
      <c r="B41" s="82" t="s">
        <v>91</v>
      </c>
      <c r="C41" s="15">
        <v>17364</v>
      </c>
      <c r="D41" s="14">
        <f t="shared" si="2"/>
        <v>16881</v>
      </c>
      <c r="E41" s="231"/>
      <c r="F41" s="257"/>
      <c r="G41" s="228"/>
      <c r="H41" s="231">
        <f>13389+3492</f>
        <v>16881</v>
      </c>
      <c r="I41" s="219"/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/>
    </row>
    <row r="42" spans="1:18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</row>
    <row r="43" spans="1:18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</row>
    <row r="44" spans="1:18" x14ac:dyDescent="0.3">
      <c r="A44" s="206" t="s">
        <v>110</v>
      </c>
      <c r="B44" s="207" t="s">
        <v>68</v>
      </c>
      <c r="C44" s="208">
        <f>SUM(C5:C43)</f>
        <v>236694</v>
      </c>
      <c r="D44" s="205">
        <f>E44+F44+G44+H44+I44+M44+Q44+R44</f>
        <v>215505</v>
      </c>
      <c r="E44" s="233">
        <f t="shared" ref="E44:R44" si="3">SUM(E5:E43)</f>
        <v>0</v>
      </c>
      <c r="F44" s="259">
        <f t="shared" si="3"/>
        <v>93154</v>
      </c>
      <c r="G44" s="223">
        <f t="shared" si="3"/>
        <v>565</v>
      </c>
      <c r="H44" s="233">
        <f t="shared" si="3"/>
        <v>78845</v>
      </c>
      <c r="I44" s="239">
        <f t="shared" si="3"/>
        <v>0</v>
      </c>
      <c r="J44" s="245">
        <f>SUM(J5:J43)</f>
        <v>0</v>
      </c>
      <c r="K44" s="245">
        <f>SUM(K5:K43)</f>
        <v>0</v>
      </c>
      <c r="L44" s="245">
        <f>SUM(L5:L43)</f>
        <v>32503</v>
      </c>
      <c r="M44" s="208">
        <f t="shared" si="3"/>
        <v>32503</v>
      </c>
      <c r="N44" s="245">
        <f>SUM(N5:N43)</f>
        <v>5331</v>
      </c>
      <c r="O44" s="245">
        <f>SUM(O5:O43)</f>
        <v>4868</v>
      </c>
      <c r="P44" s="245">
        <f>SUM(P5:P43)</f>
        <v>0</v>
      </c>
      <c r="Q44" s="216">
        <f t="shared" si="3"/>
        <v>10199</v>
      </c>
      <c r="R44" s="233">
        <f t="shared" si="3"/>
        <v>239</v>
      </c>
    </row>
    <row r="45" spans="1:18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</row>
    <row r="46" spans="1:18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</row>
    <row r="47" spans="1:18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</row>
    <row r="48" spans="1:18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</row>
    <row r="49" spans="1:18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</row>
    <row r="50" spans="1:18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</row>
    <row r="51" spans="1:18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</row>
    <row r="52" spans="1:18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</row>
    <row r="53" spans="1:18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</row>
    <row r="54" spans="1:18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</row>
    <row r="55" spans="1:18" x14ac:dyDescent="0.3">
      <c r="A55" s="41">
        <v>500</v>
      </c>
      <c r="B55" s="32" t="s">
        <v>118</v>
      </c>
      <c r="C55" s="18"/>
      <c r="D55" s="20">
        <f t="shared" si="2"/>
        <v>4128</v>
      </c>
      <c r="E55" s="232">
        <v>1238</v>
      </c>
      <c r="F55" s="258"/>
      <c r="G55" s="229"/>
      <c r="H55" s="232"/>
      <c r="I55" s="220">
        <v>2890</v>
      </c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</row>
    <row r="56" spans="1:18" ht="15" thickBot="1" x14ac:dyDescent="0.35">
      <c r="A56" s="107"/>
      <c r="B56" s="108" t="s">
        <v>80</v>
      </c>
      <c r="C56" s="111">
        <f>SUM(C44:C55)</f>
        <v>236694</v>
      </c>
      <c r="D56" s="110">
        <f>E56+F56+G56+H56+I56+M56+Q56+R56</f>
        <v>219633</v>
      </c>
      <c r="E56" s="235">
        <f t="shared" ref="E56:R56" si="4">SUM(E44:E55)</f>
        <v>1238</v>
      </c>
      <c r="F56" s="260">
        <f t="shared" si="4"/>
        <v>93154</v>
      </c>
      <c r="G56" s="225">
        <f t="shared" si="4"/>
        <v>565</v>
      </c>
      <c r="H56" s="235">
        <f t="shared" si="4"/>
        <v>78845</v>
      </c>
      <c r="I56" s="240">
        <f t="shared" si="4"/>
        <v>2890</v>
      </c>
      <c r="J56" s="218">
        <f>SUM(J44:J55)</f>
        <v>0</v>
      </c>
      <c r="K56" s="218">
        <f>SUM(K44:K55)</f>
        <v>0</v>
      </c>
      <c r="L56" s="218">
        <f>SUM(L44:L55)</f>
        <v>32503</v>
      </c>
      <c r="M56" s="209">
        <f t="shared" si="4"/>
        <v>32503</v>
      </c>
      <c r="N56" s="218">
        <f>SUM(N44:N55)</f>
        <v>5331</v>
      </c>
      <c r="O56" s="218">
        <f>SUM(O44:O55)</f>
        <v>4868</v>
      </c>
      <c r="P56" s="218">
        <f>SUM(P44:P55)</f>
        <v>0</v>
      </c>
      <c r="Q56" s="218">
        <f t="shared" si="4"/>
        <v>10199</v>
      </c>
      <c r="R56" s="235">
        <f t="shared" si="4"/>
        <v>239</v>
      </c>
    </row>
    <row r="57" spans="1:18" ht="15" thickTop="1" x14ac:dyDescent="0.3"/>
    <row r="58" spans="1:18" ht="15" thickBot="1" x14ac:dyDescent="0.35"/>
    <row r="59" spans="1:18" ht="15" thickBot="1" x14ac:dyDescent="0.35">
      <c r="B59" s="42" t="s">
        <v>109</v>
      </c>
      <c r="C59" s="43"/>
      <c r="D59" s="44"/>
    </row>
    <row r="60" spans="1:18" ht="15" thickTop="1" x14ac:dyDescent="0.3">
      <c r="B60" s="115"/>
      <c r="C60" s="116" t="s">
        <v>82</v>
      </c>
      <c r="D60" s="117" t="s">
        <v>78</v>
      </c>
    </row>
    <row r="61" spans="1:18" x14ac:dyDescent="0.3">
      <c r="B61" s="153" t="s">
        <v>108</v>
      </c>
      <c r="C61" s="45"/>
      <c r="D61" s="46"/>
    </row>
    <row r="62" spans="1:18" x14ac:dyDescent="0.3">
      <c r="B62" s="26" t="s">
        <v>3</v>
      </c>
      <c r="C62" s="47">
        <f>E56</f>
        <v>1238</v>
      </c>
      <c r="D62" s="48">
        <f>E56/D56</f>
        <v>5.6366757272358885E-3</v>
      </c>
    </row>
    <row r="63" spans="1:18" x14ac:dyDescent="0.3">
      <c r="B63" s="26" t="s">
        <v>4</v>
      </c>
      <c r="C63" s="49">
        <f>F56</f>
        <v>93154</v>
      </c>
      <c r="D63" s="48">
        <f>F56/D56</f>
        <v>0.42413480670026815</v>
      </c>
    </row>
    <row r="64" spans="1:18" x14ac:dyDescent="0.3">
      <c r="B64" s="56" t="s">
        <v>79</v>
      </c>
      <c r="C64" s="50">
        <f>G56</f>
        <v>565</v>
      </c>
      <c r="D64" s="51">
        <f>G56/D56</f>
        <v>2.5724731711536972E-3</v>
      </c>
    </row>
    <row r="65" spans="2:4" ht="15" thickBot="1" x14ac:dyDescent="0.35">
      <c r="B65" s="146" t="s">
        <v>115</v>
      </c>
      <c r="C65" s="52">
        <f>SUM(C62:C64)</f>
        <v>94957</v>
      </c>
      <c r="D65" s="53">
        <f>SUM(D62:D64)</f>
        <v>0.43234395559865774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78845</v>
      </c>
      <c r="D67" s="25">
        <f>H56/D56</f>
        <v>0.35898521624710311</v>
      </c>
    </row>
    <row r="68" spans="2:4" x14ac:dyDescent="0.3">
      <c r="B68" s="57" t="s">
        <v>7</v>
      </c>
      <c r="C68" s="27">
        <f>I56</f>
        <v>2890</v>
      </c>
      <c r="D68" s="28">
        <f>I56/D56</f>
        <v>1.3158314096697673E-2</v>
      </c>
    </row>
    <row r="69" spans="2:4" ht="15" thickBot="1" x14ac:dyDescent="0.35">
      <c r="B69" s="146" t="s">
        <v>116</v>
      </c>
      <c r="C69" s="52">
        <f>SUM(C67:C68)</f>
        <v>81735</v>
      </c>
      <c r="D69" s="53">
        <f>SUM(D67:D68)</f>
        <v>0.37214353034380077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32503</v>
      </c>
      <c r="D71" s="25">
        <f>M56/D56</f>
        <v>0.14798777961417456</v>
      </c>
    </row>
    <row r="72" spans="2:4" x14ac:dyDescent="0.3">
      <c r="B72" s="24" t="s">
        <v>8</v>
      </c>
      <c r="C72" s="23">
        <f>Q56</f>
        <v>10199</v>
      </c>
      <c r="D72" s="25">
        <f>Q56/D56</f>
        <v>4.6436555526719575E-2</v>
      </c>
    </row>
    <row r="73" spans="2:4" x14ac:dyDescent="0.3">
      <c r="B73" s="163" t="s">
        <v>83</v>
      </c>
      <c r="C73" s="27">
        <f>R56</f>
        <v>239</v>
      </c>
      <c r="D73" s="28">
        <f>R56/D56</f>
        <v>1.0881789166473162E-3</v>
      </c>
    </row>
    <row r="74" spans="2:4" ht="15" thickBot="1" x14ac:dyDescent="0.35">
      <c r="B74" s="146" t="s">
        <v>117</v>
      </c>
      <c r="C74" s="52">
        <f>SUM(C71:C73)</f>
        <v>42941</v>
      </c>
      <c r="D74" s="53">
        <f>SUM(D71:D73)</f>
        <v>0.19551251405754144</v>
      </c>
    </row>
    <row r="75" spans="2:4" ht="15" thickBot="1" x14ac:dyDescent="0.35">
      <c r="B75" s="157" t="s">
        <v>80</v>
      </c>
      <c r="C75" s="158">
        <f>C65+C69+C74</f>
        <v>219633</v>
      </c>
      <c r="D75" s="159">
        <f>D65+D69+D74</f>
        <v>0.99999999999999989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161" priority="7">
      <formula>ROW()=EVEN(ROW())</formula>
    </cfRule>
  </conditionalFormatting>
  <conditionalFormatting sqref="A55:B55">
    <cfRule type="expression" dxfId="160" priority="5">
      <formula>ROW()=EVEN(ROW())</formula>
    </cfRule>
  </conditionalFormatting>
  <conditionalFormatting sqref="A54:B54">
    <cfRule type="expression" dxfId="159" priority="4">
      <formula>ROW()=EVEN(ROW())</formula>
    </cfRule>
  </conditionalFormatting>
  <conditionalFormatting sqref="M45:M55">
    <cfRule type="expression" dxfId="158" priority="3">
      <formula>ROW()=EVEN(ROW())</formula>
    </cfRule>
  </conditionalFormatting>
  <conditionalFormatting sqref="D45:D55">
    <cfRule type="expression" dxfId="157" priority="2">
      <formula>ROW()=EVEN(ROW())</formula>
    </cfRule>
  </conditionalFormatting>
  <conditionalFormatting sqref="N44:P55">
    <cfRule type="expression" dxfId="156" priority="1">
      <formula>ROW()=EVEN(ROW())</formula>
    </cfRule>
  </conditionalFormatting>
  <printOptions horizontalCentered="1"/>
  <pageMargins left="0" right="0" top="1.1000000000000001" bottom="0.5" header="0.3" footer="0.3"/>
  <pageSetup scale="85" fitToHeight="0" orientation="landscape" r:id="rId1"/>
  <headerFooter>
    <oddHeader>&amp;C&amp;"-,Bold"&amp;20Funding by Expenditure Code and Revenue Source&amp;"-,Regular"&amp;11
&amp;"-,Bold"&amp;20 2014&amp;"-,Regular"&amp;11
&amp;"-,Bold"&amp;20GARFIELD</oddHeader>
    <oddFooter>&amp;LRevised 11-4-16&amp;CPage &amp;P</oddFooter>
  </headerFooter>
  <rowBreaks count="1" manualBreakCount="1">
    <brk id="44" max="16383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88"/>
  <sheetViews>
    <sheetView showZeros="0" topLeftCell="A4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6" x14ac:dyDescent="0.3">
      <c r="A1" s="22" t="s">
        <v>150</v>
      </c>
      <c r="B1" s="6"/>
      <c r="C1" s="31">
        <v>92900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6" x14ac:dyDescent="0.3">
      <c r="A2" s="80" t="s">
        <v>44</v>
      </c>
      <c r="B2" s="5"/>
      <c r="C2" s="83">
        <v>24.11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6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6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  <c r="W4" s="202" t="s">
        <v>153</v>
      </c>
      <c r="X4" s="203" t="s">
        <v>82</v>
      </c>
      <c r="Y4" s="202" t="s">
        <v>153</v>
      </c>
      <c r="Z4" s="203" t="s">
        <v>82</v>
      </c>
    </row>
    <row r="5" spans="1:26" ht="15" thickBot="1" x14ac:dyDescent="0.35">
      <c r="A5" s="36">
        <v>562.1</v>
      </c>
      <c r="B5" s="37" t="s">
        <v>47</v>
      </c>
      <c r="C5" s="16">
        <v>-73927</v>
      </c>
      <c r="D5" s="14">
        <f>E5+F5+G5+H5+I5+M5+Q5+R5</f>
        <v>17843</v>
      </c>
      <c r="E5" s="236">
        <v>0</v>
      </c>
      <c r="F5" s="256">
        <v>0</v>
      </c>
      <c r="G5" s="227">
        <v>5000</v>
      </c>
      <c r="H5" s="236">
        <f>230+5355</f>
        <v>5585</v>
      </c>
      <c r="I5" s="241"/>
      <c r="J5" s="214"/>
      <c r="K5" s="214"/>
      <c r="L5" s="214"/>
      <c r="M5" s="9">
        <f>SUM(J5:L5)</f>
        <v>0</v>
      </c>
      <c r="N5" s="214"/>
      <c r="O5" s="214">
        <v>210</v>
      </c>
      <c r="P5" s="214"/>
      <c r="Q5" s="214">
        <f>SUM(N5:P5)</f>
        <v>210</v>
      </c>
      <c r="R5" s="236">
        <v>7048</v>
      </c>
      <c r="S5" s="199">
        <v>369.9</v>
      </c>
      <c r="T5" s="199">
        <v>7048</v>
      </c>
      <c r="U5" s="211"/>
      <c r="V5" s="211"/>
      <c r="W5" s="211"/>
      <c r="X5" s="211"/>
      <c r="Y5" s="211"/>
      <c r="Z5" s="211"/>
    </row>
    <row r="6" spans="1:26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  <c r="U6" s="211"/>
      <c r="V6" s="211"/>
      <c r="W6" s="211"/>
      <c r="X6" s="211"/>
      <c r="Y6" s="211"/>
      <c r="Z6" s="211"/>
    </row>
    <row r="7" spans="1:26" ht="15" thickBot="1" x14ac:dyDescent="0.35">
      <c r="A7" s="39">
        <v>562.22</v>
      </c>
      <c r="B7" s="82" t="s">
        <v>92</v>
      </c>
      <c r="C7" s="15">
        <v>74450</v>
      </c>
      <c r="D7" s="14">
        <f t="shared" ref="D7:D55" si="2">E7+F7+G7+H7+I7+M7+Q7+R7</f>
        <v>74450</v>
      </c>
      <c r="E7" s="231"/>
      <c r="F7" s="257">
        <v>771</v>
      </c>
      <c r="G7" s="228"/>
      <c r="H7" s="231">
        <f>105+71042</f>
        <v>71147</v>
      </c>
      <c r="I7" s="219"/>
      <c r="J7" s="217"/>
      <c r="K7" s="217"/>
      <c r="L7" s="217"/>
      <c r="M7" s="9">
        <f t="shared" si="0"/>
        <v>0</v>
      </c>
      <c r="N7" s="217"/>
      <c r="O7" s="217"/>
      <c r="P7" s="217"/>
      <c r="Q7" s="214">
        <f t="shared" si="1"/>
        <v>0</v>
      </c>
      <c r="R7" s="231">
        <v>2532</v>
      </c>
      <c r="S7" s="199">
        <v>369.9</v>
      </c>
      <c r="T7" s="199">
        <v>2532</v>
      </c>
      <c r="U7" s="211"/>
      <c r="V7" s="211"/>
      <c r="W7" s="211"/>
      <c r="X7" s="211"/>
      <c r="Y7" s="211"/>
      <c r="Z7" s="211"/>
    </row>
    <row r="8" spans="1:26" ht="15" thickBot="1" x14ac:dyDescent="0.35">
      <c r="A8" s="39">
        <v>562.24</v>
      </c>
      <c r="B8" s="40" t="s">
        <v>49</v>
      </c>
      <c r="C8" s="15">
        <v>36082</v>
      </c>
      <c r="D8" s="14">
        <f t="shared" si="2"/>
        <v>36082</v>
      </c>
      <c r="E8" s="231"/>
      <c r="F8" s="257">
        <v>6834</v>
      </c>
      <c r="G8" s="228"/>
      <c r="H8" s="231">
        <v>29248</v>
      </c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/>
      <c r="T8" s="199"/>
      <c r="U8" s="211"/>
      <c r="V8" s="211"/>
      <c r="W8" s="211"/>
      <c r="X8" s="211"/>
      <c r="Y8" s="211"/>
      <c r="Z8" s="211"/>
    </row>
    <row r="9" spans="1:26" ht="15" thickBot="1" x14ac:dyDescent="0.35">
      <c r="A9" s="39">
        <v>562.25</v>
      </c>
      <c r="B9" s="82" t="s">
        <v>93</v>
      </c>
      <c r="C9" s="15">
        <v>71904</v>
      </c>
      <c r="D9" s="14">
        <f t="shared" si="2"/>
        <v>71903</v>
      </c>
      <c r="E9" s="231"/>
      <c r="F9" s="257">
        <v>588</v>
      </c>
      <c r="G9" s="228"/>
      <c r="H9" s="231">
        <f>2985+67030</f>
        <v>70015</v>
      </c>
      <c r="I9" s="219"/>
      <c r="J9" s="217"/>
      <c r="K9" s="217"/>
      <c r="L9" s="217"/>
      <c r="M9" s="9">
        <f t="shared" si="0"/>
        <v>0</v>
      </c>
      <c r="N9" s="217"/>
      <c r="O9" s="217">
        <v>1300</v>
      </c>
      <c r="P9" s="217"/>
      <c r="Q9" s="214">
        <f t="shared" si="1"/>
        <v>1300</v>
      </c>
      <c r="R9" s="231"/>
      <c r="T9" s="199"/>
      <c r="U9" s="211"/>
      <c r="V9" s="211"/>
      <c r="W9" s="211"/>
      <c r="X9" s="211"/>
      <c r="Y9" s="211"/>
      <c r="Z9" s="211"/>
    </row>
    <row r="10" spans="1:26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T10" s="199"/>
      <c r="U10" s="211"/>
      <c r="V10" s="211"/>
      <c r="W10" s="211"/>
      <c r="X10" s="211"/>
      <c r="Y10" s="211"/>
      <c r="Z10" s="211"/>
    </row>
    <row r="11" spans="1:26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T11" s="199"/>
      <c r="U11" s="211"/>
      <c r="V11" s="211"/>
      <c r="W11" s="211"/>
      <c r="X11" s="211"/>
      <c r="Y11" s="211"/>
      <c r="Z11" s="211"/>
    </row>
    <row r="12" spans="1:26" ht="15" thickBot="1" x14ac:dyDescent="0.35">
      <c r="A12" s="39">
        <v>562.28</v>
      </c>
      <c r="B12" s="82" t="s">
        <v>94</v>
      </c>
      <c r="C12" s="15"/>
      <c r="D12" s="14">
        <f t="shared" si="2"/>
        <v>0</v>
      </c>
      <c r="E12" s="231"/>
      <c r="F12" s="257"/>
      <c r="G12" s="228"/>
      <c r="H12" s="231"/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  <c r="T12" s="199"/>
      <c r="U12" s="211"/>
      <c r="V12" s="211"/>
      <c r="W12" s="211"/>
      <c r="X12" s="211"/>
      <c r="Y12" s="211"/>
      <c r="Z12" s="211"/>
    </row>
    <row r="13" spans="1:26" ht="15" thickBot="1" x14ac:dyDescent="0.35">
      <c r="A13" s="39">
        <v>562.29</v>
      </c>
      <c r="B13" s="82" t="s">
        <v>86</v>
      </c>
      <c r="C13" s="15"/>
      <c r="D13" s="14">
        <f t="shared" si="2"/>
        <v>0</v>
      </c>
      <c r="E13" s="231"/>
      <c r="F13" s="257"/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/>
      <c r="P13" s="217"/>
      <c r="Q13" s="214">
        <f t="shared" si="1"/>
        <v>0</v>
      </c>
      <c r="R13" s="231"/>
      <c r="T13" s="199"/>
      <c r="U13" s="211"/>
      <c r="V13" s="211"/>
      <c r="W13" s="211"/>
      <c r="X13" s="211"/>
      <c r="Y13" s="211"/>
      <c r="Z13" s="211"/>
    </row>
    <row r="14" spans="1:26" ht="15" thickBot="1" x14ac:dyDescent="0.35">
      <c r="A14" s="39">
        <v>562.32000000000005</v>
      </c>
      <c r="B14" s="40" t="s">
        <v>50</v>
      </c>
      <c r="C14" s="15">
        <v>102733</v>
      </c>
      <c r="D14" s="14">
        <f t="shared" si="2"/>
        <v>102732</v>
      </c>
      <c r="E14" s="231"/>
      <c r="F14" s="257">
        <v>58243</v>
      </c>
      <c r="G14" s="228"/>
      <c r="H14" s="231">
        <f>3345+736+1293+590+25853</f>
        <v>31817</v>
      </c>
      <c r="I14" s="219"/>
      <c r="J14" s="217"/>
      <c r="K14" s="217"/>
      <c r="L14" s="217"/>
      <c r="M14" s="9">
        <f t="shared" si="0"/>
        <v>0</v>
      </c>
      <c r="N14" s="217"/>
      <c r="O14" s="217">
        <f>5198+480</f>
        <v>5678</v>
      </c>
      <c r="P14" s="217"/>
      <c r="Q14" s="214">
        <f t="shared" si="1"/>
        <v>5678</v>
      </c>
      <c r="R14" s="231">
        <v>6994</v>
      </c>
      <c r="T14" s="199"/>
      <c r="U14" s="211"/>
      <c r="V14" s="211"/>
      <c r="W14" s="211"/>
      <c r="X14" s="211"/>
      <c r="Y14" s="211"/>
      <c r="Z14" s="211"/>
    </row>
    <row r="15" spans="1:26" ht="15" thickBot="1" x14ac:dyDescent="0.35">
      <c r="A15" s="39">
        <v>562.33000000000004</v>
      </c>
      <c r="B15" s="82" t="s">
        <v>95</v>
      </c>
      <c r="C15" s="15">
        <v>57629</v>
      </c>
      <c r="D15" s="14">
        <f t="shared" si="2"/>
        <v>57630</v>
      </c>
      <c r="E15" s="231"/>
      <c r="F15" s="257">
        <v>17786</v>
      </c>
      <c r="G15" s="228"/>
      <c r="H15" s="231">
        <v>5521</v>
      </c>
      <c r="I15" s="219"/>
      <c r="J15" s="217"/>
      <c r="K15" s="217"/>
      <c r="L15" s="217">
        <f>13226+15048</f>
        <v>28274</v>
      </c>
      <c r="M15" s="9">
        <f t="shared" si="0"/>
        <v>28274</v>
      </c>
      <c r="N15" s="217"/>
      <c r="O15" s="217"/>
      <c r="P15" s="217"/>
      <c r="Q15" s="214">
        <f t="shared" si="1"/>
        <v>0</v>
      </c>
      <c r="R15" s="231">
        <v>6049</v>
      </c>
      <c r="S15" s="199">
        <v>361.11</v>
      </c>
      <c r="T15" s="199">
        <v>6049</v>
      </c>
      <c r="U15" s="211"/>
      <c r="V15" s="211"/>
      <c r="W15" s="211"/>
      <c r="X15" s="211"/>
      <c r="Y15" s="211"/>
      <c r="Z15" s="211"/>
    </row>
    <row r="16" spans="1:26" ht="15" thickBot="1" x14ac:dyDescent="0.35">
      <c r="A16" s="39">
        <v>562.34</v>
      </c>
      <c r="B16" s="40" t="s">
        <v>51</v>
      </c>
      <c r="C16" s="15">
        <v>111153</v>
      </c>
      <c r="D16" s="14">
        <f t="shared" si="2"/>
        <v>111154</v>
      </c>
      <c r="E16" s="231"/>
      <c r="F16" s="257">
        <v>55725</v>
      </c>
      <c r="G16" s="228"/>
      <c r="H16" s="231">
        <v>667</v>
      </c>
      <c r="I16" s="219"/>
      <c r="J16" s="217"/>
      <c r="K16" s="217"/>
      <c r="L16" s="217">
        <v>42550</v>
      </c>
      <c r="M16" s="9">
        <f t="shared" si="0"/>
        <v>42550</v>
      </c>
      <c r="N16" s="217"/>
      <c r="O16" s="217">
        <f>11287+925</f>
        <v>12212</v>
      </c>
      <c r="P16" s="217"/>
      <c r="Q16" s="214">
        <f t="shared" si="1"/>
        <v>12212</v>
      </c>
      <c r="R16" s="231"/>
      <c r="T16" s="213"/>
      <c r="U16" s="211"/>
      <c r="V16" s="211"/>
      <c r="W16" s="211"/>
      <c r="X16" s="211"/>
      <c r="Y16" s="211"/>
      <c r="Z16" s="211"/>
    </row>
    <row r="17" spans="1:26" ht="15" thickBot="1" x14ac:dyDescent="0.35">
      <c r="A17" s="39">
        <v>562.35</v>
      </c>
      <c r="B17" s="40" t="s">
        <v>52</v>
      </c>
      <c r="C17" s="15">
        <v>55584</v>
      </c>
      <c r="D17" s="14">
        <f t="shared" si="2"/>
        <v>55584</v>
      </c>
      <c r="E17" s="231"/>
      <c r="F17" s="257">
        <v>2553</v>
      </c>
      <c r="G17" s="228"/>
      <c r="H17" s="231">
        <v>40263</v>
      </c>
      <c r="I17" s="219"/>
      <c r="J17" s="217"/>
      <c r="K17" s="217"/>
      <c r="L17" s="217"/>
      <c r="M17" s="9">
        <f t="shared" si="0"/>
        <v>0</v>
      </c>
      <c r="N17" s="217"/>
      <c r="O17" s="217">
        <v>12768</v>
      </c>
      <c r="P17" s="217"/>
      <c r="Q17" s="214">
        <f t="shared" si="1"/>
        <v>12768</v>
      </c>
      <c r="R17" s="231"/>
      <c r="T17" s="199"/>
      <c r="U17" s="211"/>
      <c r="V17" s="211"/>
      <c r="W17" s="211"/>
      <c r="X17" s="211"/>
      <c r="Y17" s="211"/>
      <c r="Z17" s="211"/>
    </row>
    <row r="18" spans="1:26" ht="15" thickBot="1" x14ac:dyDescent="0.35">
      <c r="A18" s="39">
        <v>562.39</v>
      </c>
      <c r="B18" s="40" t="s">
        <v>53</v>
      </c>
      <c r="C18" s="15">
        <v>126040</v>
      </c>
      <c r="D18" s="14">
        <f t="shared" si="2"/>
        <v>126040</v>
      </c>
      <c r="E18" s="231"/>
      <c r="F18" s="257">
        <v>44827</v>
      </c>
      <c r="G18" s="228"/>
      <c r="H18" s="231"/>
      <c r="I18" s="219"/>
      <c r="J18" s="217"/>
      <c r="K18" s="217"/>
      <c r="L18" s="217">
        <f>54925+26288</f>
        <v>81213</v>
      </c>
      <c r="M18" s="9">
        <f t="shared" si="0"/>
        <v>81213</v>
      </c>
      <c r="N18" s="217"/>
      <c r="O18" s="217"/>
      <c r="P18" s="217"/>
      <c r="Q18" s="214">
        <f t="shared" si="1"/>
        <v>0</v>
      </c>
      <c r="R18" s="231"/>
      <c r="T18" s="199"/>
      <c r="U18" s="211"/>
      <c r="V18" s="211"/>
      <c r="W18" s="211"/>
      <c r="X18" s="211"/>
      <c r="Y18" s="211"/>
      <c r="Z18" s="211"/>
    </row>
    <row r="19" spans="1:26" ht="15" thickBot="1" x14ac:dyDescent="0.35">
      <c r="A19" s="39">
        <v>562.41</v>
      </c>
      <c r="B19" s="40" t="s">
        <v>54</v>
      </c>
      <c r="C19" s="15">
        <v>455191</v>
      </c>
      <c r="D19" s="14">
        <f t="shared" si="2"/>
        <v>407103</v>
      </c>
      <c r="E19" s="231"/>
      <c r="F19" s="257">
        <v>4710</v>
      </c>
      <c r="G19" s="228"/>
      <c r="H19" s="231">
        <f>30612+216602+129860+11814</f>
        <v>388888</v>
      </c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>
        <f>13000+505</f>
        <v>13505</v>
      </c>
      <c r="S19" s="199">
        <v>367</v>
      </c>
      <c r="T19" s="199">
        <v>13000</v>
      </c>
      <c r="U19" s="211">
        <v>369.9</v>
      </c>
      <c r="V19" s="211">
        <v>505</v>
      </c>
      <c r="W19" s="211"/>
      <c r="X19" s="211"/>
      <c r="Y19" s="211"/>
      <c r="Z19" s="211"/>
    </row>
    <row r="20" spans="1:26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  <c r="W20" s="211"/>
      <c r="X20" s="211"/>
      <c r="Y20" s="211"/>
      <c r="Z20" s="211"/>
    </row>
    <row r="21" spans="1:26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  <c r="T21" s="199"/>
      <c r="U21" s="211"/>
      <c r="V21" s="211"/>
      <c r="W21" s="211"/>
      <c r="X21" s="211"/>
      <c r="Y21" s="211"/>
      <c r="Z21" s="211"/>
    </row>
    <row r="22" spans="1:26" ht="15" thickBot="1" x14ac:dyDescent="0.35">
      <c r="A22" s="39">
        <v>562.44000000000005</v>
      </c>
      <c r="B22" s="82" t="s">
        <v>97</v>
      </c>
      <c r="C22" s="15">
        <v>34707</v>
      </c>
      <c r="D22" s="14">
        <f t="shared" si="2"/>
        <v>34707</v>
      </c>
      <c r="E22" s="231">
        <v>4077</v>
      </c>
      <c r="F22" s="257">
        <v>152</v>
      </c>
      <c r="G22" s="228"/>
      <c r="H22" s="231">
        <v>30478</v>
      </c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  <c r="T22" s="199"/>
      <c r="U22" s="211"/>
      <c r="V22" s="211"/>
      <c r="W22" s="211"/>
      <c r="X22" s="211"/>
      <c r="Y22" s="211"/>
      <c r="Z22" s="211"/>
    </row>
    <row r="23" spans="1:26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  <c r="W23" s="211"/>
      <c r="X23" s="211"/>
      <c r="Y23" s="211"/>
      <c r="Z23" s="211"/>
    </row>
    <row r="24" spans="1:26" ht="15" thickBot="1" x14ac:dyDescent="0.35">
      <c r="A24" s="39">
        <v>562.49</v>
      </c>
      <c r="B24" s="82" t="s">
        <v>87</v>
      </c>
      <c r="C24" s="15"/>
      <c r="D24" s="14">
        <f t="shared" si="2"/>
        <v>0</v>
      </c>
      <c r="E24" s="231"/>
      <c r="F24" s="257"/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  <c r="T24" s="199"/>
      <c r="U24" s="211"/>
      <c r="V24" s="211"/>
      <c r="W24" s="211"/>
      <c r="X24" s="211"/>
      <c r="Y24" s="211"/>
      <c r="Z24" s="211"/>
    </row>
    <row r="25" spans="1:26" ht="15" thickBot="1" x14ac:dyDescent="0.35">
      <c r="A25" s="39">
        <v>562.52</v>
      </c>
      <c r="B25" s="40" t="s">
        <v>56</v>
      </c>
      <c r="C25" s="15">
        <v>72143</v>
      </c>
      <c r="D25" s="14">
        <f t="shared" si="2"/>
        <v>72143</v>
      </c>
      <c r="E25" s="231"/>
      <c r="F25" s="257">
        <v>9575</v>
      </c>
      <c r="G25" s="228"/>
      <c r="H25" s="231"/>
      <c r="I25" s="219"/>
      <c r="J25" s="217"/>
      <c r="K25" s="217"/>
      <c r="L25" s="217"/>
      <c r="M25" s="9">
        <f t="shared" si="0"/>
        <v>0</v>
      </c>
      <c r="N25" s="217"/>
      <c r="O25" s="217">
        <f>25405+17750+9200+9200+1000</f>
        <v>62555</v>
      </c>
      <c r="P25" s="217"/>
      <c r="Q25" s="214">
        <f t="shared" si="1"/>
        <v>62555</v>
      </c>
      <c r="R25" s="231">
        <v>13</v>
      </c>
      <c r="S25" s="199">
        <v>369.9</v>
      </c>
      <c r="T25" s="199">
        <v>13</v>
      </c>
      <c r="U25" s="211"/>
      <c r="V25" s="211"/>
      <c r="W25" s="211"/>
      <c r="X25" s="211"/>
      <c r="Y25" s="211"/>
      <c r="Z25" s="211"/>
    </row>
    <row r="26" spans="1:26" ht="15" thickBot="1" x14ac:dyDescent="0.35">
      <c r="A26" s="39">
        <v>562.53</v>
      </c>
      <c r="B26" s="82" t="s">
        <v>99</v>
      </c>
      <c r="C26" s="15">
        <v>115645</v>
      </c>
      <c r="D26" s="14">
        <f t="shared" si="2"/>
        <v>115645</v>
      </c>
      <c r="E26" s="231"/>
      <c r="F26" s="257">
        <v>15036</v>
      </c>
      <c r="G26" s="228">
        <v>78609</v>
      </c>
      <c r="H26" s="231"/>
      <c r="I26" s="219"/>
      <c r="J26" s="217"/>
      <c r="K26" s="217"/>
      <c r="L26" s="217">
        <f>10000+7500</f>
        <v>17500</v>
      </c>
      <c r="M26" s="9">
        <f t="shared" si="0"/>
        <v>17500</v>
      </c>
      <c r="N26" s="217">
        <v>4500</v>
      </c>
      <c r="O26" s="217"/>
      <c r="P26" s="217"/>
      <c r="Q26" s="214">
        <f t="shared" si="1"/>
        <v>4500</v>
      </c>
      <c r="R26" s="231"/>
      <c r="T26" s="199"/>
      <c r="U26" s="211"/>
      <c r="V26" s="211"/>
      <c r="W26" s="211"/>
      <c r="X26" s="211"/>
      <c r="Y26" s="211"/>
      <c r="Z26" s="211"/>
    </row>
    <row r="27" spans="1:26" ht="15" thickBot="1" x14ac:dyDescent="0.35">
      <c r="A27" s="39">
        <v>562.54</v>
      </c>
      <c r="B27" s="82" t="s">
        <v>100</v>
      </c>
      <c r="C27" s="15">
        <v>271360</v>
      </c>
      <c r="D27" s="14">
        <f t="shared" si="2"/>
        <v>194144</v>
      </c>
      <c r="E27" s="231"/>
      <c r="F27" s="257"/>
      <c r="G27" s="228"/>
      <c r="H27" s="231">
        <v>7159</v>
      </c>
      <c r="I27" s="219"/>
      <c r="J27" s="217"/>
      <c r="K27" s="217"/>
      <c r="L27" s="217">
        <v>3590</v>
      </c>
      <c r="M27" s="9">
        <f t="shared" si="0"/>
        <v>3590</v>
      </c>
      <c r="N27" s="217">
        <f>15390+158895</f>
        <v>174285</v>
      </c>
      <c r="O27" s="217">
        <v>9065</v>
      </c>
      <c r="P27" s="217"/>
      <c r="Q27" s="214">
        <f t="shared" si="1"/>
        <v>183350</v>
      </c>
      <c r="R27" s="231">
        <v>45</v>
      </c>
      <c r="S27" s="199">
        <v>369.9</v>
      </c>
      <c r="T27" s="199">
        <v>45</v>
      </c>
      <c r="U27" s="211"/>
      <c r="V27" s="211"/>
      <c r="W27" s="211"/>
      <c r="X27" s="211"/>
      <c r="Y27" s="211"/>
      <c r="Z27" s="211"/>
    </row>
    <row r="28" spans="1:26" ht="15" thickBot="1" x14ac:dyDescent="0.35">
      <c r="A28" s="39">
        <v>562.54999999999995</v>
      </c>
      <c r="B28" s="40" t="s">
        <v>57</v>
      </c>
      <c r="C28" s="15">
        <v>32437</v>
      </c>
      <c r="D28" s="14">
        <f t="shared" si="2"/>
        <v>32437</v>
      </c>
      <c r="E28" s="231"/>
      <c r="F28" s="257">
        <v>32437</v>
      </c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  <c r="T28" s="199"/>
      <c r="U28" s="211"/>
      <c r="V28" s="211"/>
      <c r="W28" s="211"/>
      <c r="X28" s="211"/>
      <c r="Y28" s="211"/>
      <c r="Z28" s="211"/>
    </row>
    <row r="29" spans="1:26" ht="15" thickBot="1" x14ac:dyDescent="0.35">
      <c r="A29" s="39">
        <v>562.55999999999995</v>
      </c>
      <c r="B29" s="40" t="s">
        <v>58</v>
      </c>
      <c r="C29" s="15">
        <v>348085</v>
      </c>
      <c r="D29" s="14">
        <f>E29+F29+G29+H29+I29+M29+Q29+R29</f>
        <v>348086</v>
      </c>
      <c r="E29" s="231"/>
      <c r="F29" s="257"/>
      <c r="G29" s="228"/>
      <c r="H29" s="231"/>
      <c r="I29" s="219"/>
      <c r="J29" s="217"/>
      <c r="K29" s="217"/>
      <c r="L29" s="217">
        <f>30000+7987</f>
        <v>37987</v>
      </c>
      <c r="M29" s="9">
        <f>SUM(J29:L29)</f>
        <v>37987</v>
      </c>
      <c r="N29" s="217">
        <v>272392</v>
      </c>
      <c r="O29" s="217">
        <v>37336</v>
      </c>
      <c r="P29" s="217"/>
      <c r="Q29" s="214">
        <f>SUM(N29:P29)</f>
        <v>309728</v>
      </c>
      <c r="R29" s="231">
        <v>371</v>
      </c>
      <c r="S29" s="199">
        <v>369.9</v>
      </c>
      <c r="T29" s="199">
        <v>371</v>
      </c>
      <c r="U29" s="211"/>
      <c r="V29" s="211"/>
      <c r="W29" s="211"/>
      <c r="X29" s="211"/>
      <c r="Y29" s="211"/>
      <c r="Z29" s="211"/>
    </row>
    <row r="30" spans="1:26" ht="15" thickBot="1" x14ac:dyDescent="0.35">
      <c r="A30" s="39">
        <v>562.57000000000005</v>
      </c>
      <c r="B30" s="82" t="s">
        <v>101</v>
      </c>
      <c r="C30" s="15"/>
      <c r="D30" s="14">
        <f>E30+F30+G30+H30+I30+M30+Q30+R30</f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>SUM(J30:L30)</f>
        <v>0</v>
      </c>
      <c r="N30" s="217"/>
      <c r="O30" s="217"/>
      <c r="P30" s="217"/>
      <c r="Q30" s="214">
        <f t="shared" si="1"/>
        <v>0</v>
      </c>
      <c r="R30" s="231"/>
      <c r="T30" s="199"/>
      <c r="U30" s="211"/>
      <c r="V30" s="211"/>
      <c r="W30" s="211"/>
      <c r="X30" s="211"/>
      <c r="Y30" s="211"/>
      <c r="Z30" s="211"/>
    </row>
    <row r="31" spans="1:26" ht="15" thickBot="1" x14ac:dyDescent="0.35">
      <c r="A31" s="39">
        <v>562.58000000000004</v>
      </c>
      <c r="B31" s="82" t="s">
        <v>88</v>
      </c>
      <c r="C31" s="15">
        <v>32742</v>
      </c>
      <c r="D31" s="14">
        <f t="shared" si="2"/>
        <v>32742</v>
      </c>
      <c r="E31" s="231"/>
      <c r="F31" s="257">
        <v>4766</v>
      </c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v>24027</v>
      </c>
      <c r="O31" s="217">
        <v>3949</v>
      </c>
      <c r="P31" s="217"/>
      <c r="Q31" s="214">
        <f t="shared" si="1"/>
        <v>27976</v>
      </c>
      <c r="R31" s="231"/>
      <c r="T31" s="199"/>
      <c r="U31" s="211"/>
      <c r="V31" s="211"/>
      <c r="W31" s="211"/>
      <c r="X31" s="211"/>
      <c r="Y31" s="211"/>
      <c r="Z31" s="211"/>
    </row>
    <row r="32" spans="1:26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  <c r="T32" s="199"/>
      <c r="U32" s="211"/>
      <c r="V32" s="211"/>
      <c r="W32" s="211"/>
      <c r="X32" s="211"/>
      <c r="Y32" s="211"/>
      <c r="Z32" s="211"/>
    </row>
    <row r="33" spans="1:26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  <c r="T33" s="199"/>
      <c r="U33" s="211"/>
      <c r="V33" s="211"/>
      <c r="W33" s="211"/>
      <c r="X33" s="211"/>
      <c r="Y33" s="211"/>
      <c r="Z33" s="211"/>
    </row>
    <row r="34" spans="1:26" ht="15" thickBot="1" x14ac:dyDescent="0.35">
      <c r="A34" s="39">
        <v>562.71</v>
      </c>
      <c r="B34" s="40" t="s">
        <v>60</v>
      </c>
      <c r="C34" s="15">
        <v>57876</v>
      </c>
      <c r="D34" s="14">
        <f t="shared" si="2"/>
        <v>48154</v>
      </c>
      <c r="E34" s="231"/>
      <c r="F34" s="257">
        <v>7182</v>
      </c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40972</v>
      </c>
      <c r="P34" s="217"/>
      <c r="Q34" s="214">
        <f t="shared" si="1"/>
        <v>40972</v>
      </c>
      <c r="R34" s="231"/>
      <c r="T34" s="199"/>
      <c r="U34" s="211"/>
      <c r="V34" s="211"/>
      <c r="W34" s="211"/>
      <c r="X34" s="211"/>
      <c r="Y34" s="211"/>
      <c r="Z34" s="211"/>
    </row>
    <row r="35" spans="1:26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T35" s="199"/>
      <c r="U35" s="211"/>
      <c r="V35" s="211"/>
      <c r="W35" s="211"/>
      <c r="X35" s="211"/>
      <c r="Y35" s="211"/>
      <c r="Z35" s="211"/>
    </row>
    <row r="36" spans="1:26" ht="15" thickBot="1" x14ac:dyDescent="0.35">
      <c r="A36" s="39">
        <v>562.73</v>
      </c>
      <c r="B36" s="40" t="s">
        <v>62</v>
      </c>
      <c r="C36" s="15">
        <v>181216</v>
      </c>
      <c r="D36" s="14">
        <f t="shared" si="2"/>
        <v>181216</v>
      </c>
      <c r="E36" s="231"/>
      <c r="F36" s="257">
        <v>16891</v>
      </c>
      <c r="G36" s="228"/>
      <c r="H36" s="231"/>
      <c r="I36" s="219">
        <f>117917+11710</f>
        <v>129627</v>
      </c>
      <c r="J36" s="217"/>
      <c r="K36" s="217"/>
      <c r="L36" s="217">
        <v>34000</v>
      </c>
      <c r="M36" s="9">
        <f t="shared" si="0"/>
        <v>34000</v>
      </c>
      <c r="N36" s="217"/>
      <c r="O36" s="217"/>
      <c r="P36" s="217"/>
      <c r="Q36" s="214">
        <f t="shared" si="1"/>
        <v>0</v>
      </c>
      <c r="R36" s="231">
        <v>698</v>
      </c>
      <c r="S36" s="199">
        <v>369.9</v>
      </c>
      <c r="T36" s="199">
        <v>398</v>
      </c>
      <c r="U36" s="211"/>
      <c r="V36" s="211"/>
      <c r="W36" s="211"/>
      <c r="X36" s="211"/>
      <c r="Y36" s="211"/>
      <c r="Z36" s="211"/>
    </row>
    <row r="37" spans="1:26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  <c r="U37" s="211"/>
      <c r="V37" s="211"/>
      <c r="W37" s="211"/>
      <c r="X37" s="211"/>
      <c r="Y37" s="211"/>
      <c r="Z37" s="211"/>
    </row>
    <row r="38" spans="1:26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  <c r="W38" s="211"/>
      <c r="X38" s="211"/>
      <c r="Y38" s="211"/>
      <c r="Z38" s="211"/>
    </row>
    <row r="39" spans="1:26" ht="15" thickBot="1" x14ac:dyDescent="0.35">
      <c r="A39" s="39">
        <v>562.79</v>
      </c>
      <c r="B39" s="40" t="s">
        <v>64</v>
      </c>
      <c r="C39" s="15">
        <v>38318</v>
      </c>
      <c r="D39" s="14">
        <f t="shared" si="2"/>
        <v>38318</v>
      </c>
      <c r="E39" s="231"/>
      <c r="F39" s="257">
        <v>15698</v>
      </c>
      <c r="G39" s="228"/>
      <c r="H39" s="231"/>
      <c r="I39" s="219"/>
      <c r="J39" s="217"/>
      <c r="K39" s="217"/>
      <c r="L39" s="217">
        <f>17620+5000</f>
        <v>22620</v>
      </c>
      <c r="M39" s="9">
        <f t="shared" si="0"/>
        <v>22620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  <c r="W39" s="211"/>
      <c r="X39" s="211"/>
      <c r="Y39" s="211"/>
      <c r="Z39" s="211"/>
    </row>
    <row r="40" spans="1:26" ht="15" thickBot="1" x14ac:dyDescent="0.35">
      <c r="A40" s="39">
        <v>562.79999999999995</v>
      </c>
      <c r="B40" s="40" t="s">
        <v>65</v>
      </c>
      <c r="C40" s="15">
        <v>54332</v>
      </c>
      <c r="D40" s="14">
        <f t="shared" si="2"/>
        <v>4900</v>
      </c>
      <c r="E40" s="231"/>
      <c r="F40" s="257"/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>
        <v>4900</v>
      </c>
      <c r="P40" s="217"/>
      <c r="Q40" s="214">
        <f t="shared" si="1"/>
        <v>4900</v>
      </c>
      <c r="R40" s="231"/>
      <c r="T40" s="199"/>
      <c r="U40" s="211"/>
      <c r="V40" s="211"/>
      <c r="W40" s="211"/>
      <c r="X40" s="211"/>
      <c r="Y40" s="211"/>
      <c r="Z40" s="211"/>
    </row>
    <row r="41" spans="1:26" ht="15" thickBot="1" x14ac:dyDescent="0.35">
      <c r="A41" s="39">
        <v>562.88</v>
      </c>
      <c r="B41" s="82" t="s">
        <v>91</v>
      </c>
      <c r="C41" s="15">
        <v>127834</v>
      </c>
      <c r="D41" s="14">
        <f t="shared" si="2"/>
        <v>84150</v>
      </c>
      <c r="E41" s="231"/>
      <c r="F41" s="257">
        <v>3989</v>
      </c>
      <c r="G41" s="228"/>
      <c r="H41" s="231">
        <v>80161</v>
      </c>
      <c r="I41" s="219"/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/>
      <c r="T41" s="199"/>
      <c r="U41" s="211"/>
      <c r="V41" s="211"/>
      <c r="W41" s="211"/>
      <c r="X41" s="211"/>
      <c r="Y41" s="211"/>
      <c r="Z41" s="211"/>
    </row>
    <row r="42" spans="1:26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T42" s="199"/>
      <c r="U42" s="211"/>
      <c r="V42" s="211"/>
      <c r="W42" s="211"/>
      <c r="X42" s="211"/>
      <c r="Y42" s="211"/>
      <c r="Z42" s="211"/>
    </row>
    <row r="43" spans="1:26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  <c r="U43" s="211"/>
      <c r="V43" s="211"/>
      <c r="W43" s="211"/>
      <c r="X43" s="211"/>
      <c r="Y43" s="211"/>
      <c r="Z43" s="211"/>
    </row>
    <row r="44" spans="1:26" x14ac:dyDescent="0.3">
      <c r="A44" s="206" t="s">
        <v>110</v>
      </c>
      <c r="B44" s="207" t="s">
        <v>68</v>
      </c>
      <c r="C44" s="208">
        <f>SUM(C5:C43)</f>
        <v>2383534</v>
      </c>
      <c r="D44" s="205">
        <f>E44+F44+G44+H44+I44+M44+Q44+R44</f>
        <v>2247163</v>
      </c>
      <c r="E44" s="233">
        <f t="shared" ref="E44:R44" si="3">SUM(E5:E43)</f>
        <v>4077</v>
      </c>
      <c r="F44" s="259">
        <f t="shared" si="3"/>
        <v>297763</v>
      </c>
      <c r="G44" s="223">
        <f t="shared" si="3"/>
        <v>83609</v>
      </c>
      <c r="H44" s="233">
        <f t="shared" si="3"/>
        <v>760949</v>
      </c>
      <c r="I44" s="239">
        <f t="shared" si="3"/>
        <v>129627</v>
      </c>
      <c r="J44" s="245">
        <f>SUM(J5:J43)</f>
        <v>0</v>
      </c>
      <c r="K44" s="245">
        <f>SUM(K5:K43)</f>
        <v>0</v>
      </c>
      <c r="L44" s="245">
        <f>SUM(L5:L43)</f>
        <v>267734</v>
      </c>
      <c r="M44" s="208">
        <f t="shared" si="3"/>
        <v>267734</v>
      </c>
      <c r="N44" s="245">
        <f>SUM(N5:N43)</f>
        <v>475204</v>
      </c>
      <c r="O44" s="245">
        <f>SUM(O5:O43)</f>
        <v>190945</v>
      </c>
      <c r="P44" s="245">
        <f>SUM(P5:P43)</f>
        <v>0</v>
      </c>
      <c r="Q44" s="216">
        <f t="shared" si="3"/>
        <v>666149</v>
      </c>
      <c r="R44" s="233">
        <f t="shared" si="3"/>
        <v>37255</v>
      </c>
      <c r="T44" s="199"/>
      <c r="U44" s="211"/>
      <c r="V44" s="211"/>
      <c r="W44" s="211"/>
      <c r="X44" s="211"/>
      <c r="Y44" s="211"/>
      <c r="Z44" s="211"/>
    </row>
    <row r="45" spans="1:26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  <c r="W45" s="211"/>
      <c r="X45" s="211"/>
      <c r="Y45" s="211"/>
      <c r="Z45" s="211"/>
    </row>
    <row r="46" spans="1:26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  <c r="W46" s="211"/>
      <c r="X46" s="211"/>
      <c r="Y46" s="211"/>
      <c r="Z46" s="211"/>
    </row>
    <row r="47" spans="1:26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T47" s="199"/>
      <c r="U47" s="211"/>
      <c r="V47" s="211"/>
      <c r="W47" s="211"/>
      <c r="X47" s="211"/>
      <c r="Y47" s="211"/>
      <c r="Z47" s="211"/>
    </row>
    <row r="48" spans="1:26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  <c r="W48" s="211"/>
      <c r="X48" s="211"/>
      <c r="Y48" s="211"/>
      <c r="Z48" s="211"/>
    </row>
    <row r="49" spans="1:26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T49" s="199"/>
      <c r="U49" s="211"/>
      <c r="V49" s="211"/>
      <c r="W49" s="211"/>
      <c r="X49" s="211"/>
      <c r="Y49" s="211"/>
      <c r="Z49" s="211"/>
    </row>
    <row r="50" spans="1:26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  <c r="W50" s="211"/>
      <c r="X50" s="211"/>
      <c r="Y50" s="211"/>
      <c r="Z50" s="211"/>
    </row>
    <row r="51" spans="1:26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  <c r="W51" s="211"/>
      <c r="X51" s="211"/>
      <c r="Y51" s="211"/>
      <c r="Z51" s="211"/>
    </row>
    <row r="52" spans="1:26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  <c r="W52" s="211"/>
      <c r="X52" s="211"/>
      <c r="Y52" s="211"/>
      <c r="Z52" s="211"/>
    </row>
    <row r="53" spans="1:26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  <c r="T53" s="199"/>
      <c r="U53" s="211"/>
      <c r="V53" s="211"/>
      <c r="W53" s="211"/>
      <c r="X53" s="211"/>
      <c r="Y53" s="211"/>
      <c r="Z53" s="211"/>
    </row>
    <row r="54" spans="1:26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  <c r="U54" s="211"/>
      <c r="V54" s="211"/>
      <c r="W54" s="211"/>
      <c r="X54" s="211"/>
      <c r="Y54" s="211"/>
      <c r="Z54" s="211"/>
    </row>
    <row r="55" spans="1:26" x14ac:dyDescent="0.3">
      <c r="A55" s="41">
        <v>500</v>
      </c>
      <c r="B55" s="32" t="s">
        <v>118</v>
      </c>
      <c r="C55" s="18">
        <v>14477</v>
      </c>
      <c r="D55" s="20">
        <f t="shared" si="2"/>
        <v>6007</v>
      </c>
      <c r="E55" s="232">
        <v>1802</v>
      </c>
      <c r="F55" s="258"/>
      <c r="G55" s="229"/>
      <c r="H55" s="232">
        <v>4205</v>
      </c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T55" s="199"/>
      <c r="U55" s="211"/>
      <c r="V55" s="211"/>
      <c r="W55" s="211"/>
      <c r="X55" s="211"/>
      <c r="Y55" s="211"/>
      <c r="Z55" s="211"/>
    </row>
    <row r="56" spans="1:26" ht="15" thickBot="1" x14ac:dyDescent="0.35">
      <c r="A56" s="107"/>
      <c r="B56" s="108" t="s">
        <v>80</v>
      </c>
      <c r="C56" s="111">
        <f>SUM(C44:C55)</f>
        <v>2398011</v>
      </c>
      <c r="D56" s="110">
        <f>E56+F56+G56+H56+I56+M56+Q56+R56</f>
        <v>2253170</v>
      </c>
      <c r="E56" s="235">
        <f t="shared" ref="E56:R56" si="4">SUM(E44:E55)</f>
        <v>5879</v>
      </c>
      <c r="F56" s="260">
        <f t="shared" si="4"/>
        <v>297763</v>
      </c>
      <c r="G56" s="225">
        <f t="shared" si="4"/>
        <v>83609</v>
      </c>
      <c r="H56" s="235">
        <f t="shared" si="4"/>
        <v>765154</v>
      </c>
      <c r="I56" s="240">
        <f t="shared" si="4"/>
        <v>129627</v>
      </c>
      <c r="J56" s="218">
        <f>SUM(J44:J55)</f>
        <v>0</v>
      </c>
      <c r="K56" s="218">
        <f>SUM(K44:K55)</f>
        <v>0</v>
      </c>
      <c r="L56" s="218">
        <f>SUM(L44:L55)</f>
        <v>267734</v>
      </c>
      <c r="M56" s="209">
        <f t="shared" si="4"/>
        <v>267734</v>
      </c>
      <c r="N56" s="218">
        <f>SUM(N44:N55)</f>
        <v>475204</v>
      </c>
      <c r="O56" s="218">
        <f>SUM(O44:O55)</f>
        <v>190945</v>
      </c>
      <c r="P56" s="218">
        <f>SUM(P44:P55)</f>
        <v>0</v>
      </c>
      <c r="Q56" s="218">
        <f t="shared" si="4"/>
        <v>666149</v>
      </c>
      <c r="R56" s="235">
        <f t="shared" si="4"/>
        <v>37255</v>
      </c>
    </row>
    <row r="57" spans="1:26" ht="15" thickTop="1" x14ac:dyDescent="0.3"/>
    <row r="58" spans="1:26" ht="15" thickBot="1" x14ac:dyDescent="0.35"/>
    <row r="59" spans="1:26" ht="15" thickBot="1" x14ac:dyDescent="0.35">
      <c r="B59" s="42" t="s">
        <v>109</v>
      </c>
      <c r="C59" s="43"/>
      <c r="D59" s="44"/>
    </row>
    <row r="60" spans="1:26" ht="15" thickTop="1" x14ac:dyDescent="0.3">
      <c r="B60" s="115"/>
      <c r="C60" s="116" t="s">
        <v>82</v>
      </c>
      <c r="D60" s="117" t="s">
        <v>78</v>
      </c>
    </row>
    <row r="61" spans="1:26" x14ac:dyDescent="0.3">
      <c r="B61" s="153" t="s">
        <v>108</v>
      </c>
      <c r="C61" s="45"/>
      <c r="D61" s="46"/>
    </row>
    <row r="62" spans="1:26" x14ac:dyDescent="0.3">
      <c r="B62" s="26" t="s">
        <v>3</v>
      </c>
      <c r="C62" s="47">
        <f>E56</f>
        <v>5879</v>
      </c>
      <c r="D62" s="48">
        <f>E56/D56</f>
        <v>2.6092127979690837E-3</v>
      </c>
    </row>
    <row r="63" spans="1:26" x14ac:dyDescent="0.3">
      <c r="B63" s="26" t="s">
        <v>4</v>
      </c>
      <c r="C63" s="49">
        <f>F56</f>
        <v>297763</v>
      </c>
      <c r="D63" s="48">
        <f>F56/D56</f>
        <v>0.1321529223272101</v>
      </c>
    </row>
    <row r="64" spans="1:26" x14ac:dyDescent="0.3">
      <c r="B64" s="56" t="s">
        <v>79</v>
      </c>
      <c r="C64" s="50">
        <f>G56</f>
        <v>83609</v>
      </c>
      <c r="D64" s="51">
        <f>G56/D56</f>
        <v>3.710727552736811E-2</v>
      </c>
    </row>
    <row r="65" spans="2:4" ht="15" thickBot="1" x14ac:dyDescent="0.35">
      <c r="B65" s="146" t="s">
        <v>115</v>
      </c>
      <c r="C65" s="52">
        <f>SUM(C62:C64)</f>
        <v>387251</v>
      </c>
      <c r="D65" s="53">
        <f>SUM(D62:D64)</f>
        <v>0.17186941065254729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765154</v>
      </c>
      <c r="D67" s="25">
        <f>H56/D56</f>
        <v>0.33958999986685423</v>
      </c>
    </row>
    <row r="68" spans="2:4" x14ac:dyDescent="0.3">
      <c r="B68" s="57" t="s">
        <v>7</v>
      </c>
      <c r="C68" s="27">
        <f>I56</f>
        <v>129627</v>
      </c>
      <c r="D68" s="28">
        <f>I56/D56</f>
        <v>5.7530945290413062E-2</v>
      </c>
    </row>
    <row r="69" spans="2:4" ht="15" thickBot="1" x14ac:dyDescent="0.35">
      <c r="B69" s="146" t="s">
        <v>116</v>
      </c>
      <c r="C69" s="52">
        <f>SUM(C67:C68)</f>
        <v>894781</v>
      </c>
      <c r="D69" s="53">
        <f>SUM(D67:D68)</f>
        <v>0.39712094515726731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267734</v>
      </c>
      <c r="D71" s="25">
        <f>M56/D56</f>
        <v>0.11882547699463422</v>
      </c>
    </row>
    <row r="72" spans="2:4" x14ac:dyDescent="0.3">
      <c r="B72" s="24" t="s">
        <v>8</v>
      </c>
      <c r="C72" s="23">
        <f>Q56</f>
        <v>666149</v>
      </c>
      <c r="D72" s="25">
        <f>Q56/D56</f>
        <v>0.29564968466649211</v>
      </c>
    </row>
    <row r="73" spans="2:4" x14ac:dyDescent="0.3">
      <c r="B73" s="163" t="s">
        <v>83</v>
      </c>
      <c r="C73" s="27">
        <f>R56</f>
        <v>37255</v>
      </c>
      <c r="D73" s="28">
        <f>R56/D56</f>
        <v>1.653448252905906E-2</v>
      </c>
    </row>
    <row r="74" spans="2:4" ht="15" thickBot="1" x14ac:dyDescent="0.35">
      <c r="B74" s="146" t="s">
        <v>117</v>
      </c>
      <c r="C74" s="52">
        <f>SUM(C71:C73)</f>
        <v>971138</v>
      </c>
      <c r="D74" s="53">
        <f>SUM(D71:D73)</f>
        <v>0.43100964419018534</v>
      </c>
    </row>
    <row r="75" spans="2:4" ht="15" thickBot="1" x14ac:dyDescent="0.35">
      <c r="B75" s="157" t="s">
        <v>80</v>
      </c>
      <c r="C75" s="158">
        <f>C65+C69+C74</f>
        <v>2253170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155" priority="7">
      <formula>ROW()=EVEN(ROW())</formula>
    </cfRule>
  </conditionalFormatting>
  <conditionalFormatting sqref="A55:B55">
    <cfRule type="expression" dxfId="154" priority="5">
      <formula>ROW()=EVEN(ROW())</formula>
    </cfRule>
  </conditionalFormatting>
  <conditionalFormatting sqref="A54:B54">
    <cfRule type="expression" dxfId="153" priority="4">
      <formula>ROW()=EVEN(ROW())</formula>
    </cfRule>
  </conditionalFormatting>
  <conditionalFormatting sqref="M45:M55">
    <cfRule type="expression" dxfId="152" priority="3">
      <formula>ROW()=EVEN(ROW())</formula>
    </cfRule>
  </conditionalFormatting>
  <conditionalFormatting sqref="D45:D55">
    <cfRule type="expression" dxfId="151" priority="2">
      <formula>ROW()=EVEN(ROW())</formula>
    </cfRule>
  </conditionalFormatting>
  <conditionalFormatting sqref="N44:P55">
    <cfRule type="expression" dxfId="150" priority="1">
      <formula>ROW()=EVEN(ROW())</formula>
    </cfRule>
  </conditionalFormatting>
  <printOptions horizontalCentered="1"/>
  <pageMargins left="0" right="0" top="1.1000000000000001" bottom="0.5" header="0.3" footer="0.3"/>
  <pageSetup scale="85" fitToHeight="0" orientation="landscape" r:id="rId1"/>
  <headerFooter>
    <oddHeader>&amp;C&amp;"-,Bold"&amp;20Funding by Expenditure Code and Revenue Source&amp;"-,Regular"&amp;11
&amp;"-,Bold"&amp;20 2014&amp;"-,Regular"&amp;11
&amp;"-,Bold"&amp;20GRANT</oddHeader>
    <oddFooter>&amp;LRevised 11-4-16&amp;CPage &amp;P</oddFooter>
  </headerFooter>
  <rowBreaks count="1" manualBreakCount="1">
    <brk id="44" max="16383" man="1"/>
  </row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8"/>
  <sheetViews>
    <sheetView showZeros="0" topLeftCell="A27" zoomScaleNormal="100" workbookViewId="0">
      <selection activeCell="G27" sqref="G27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0" x14ac:dyDescent="0.3">
      <c r="A1" s="22" t="s">
        <v>150</v>
      </c>
      <c r="B1" s="6"/>
      <c r="C1" s="31">
        <v>73300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0" x14ac:dyDescent="0.3">
      <c r="A2" s="80" t="s">
        <v>44</v>
      </c>
      <c r="B2" s="5"/>
      <c r="C2" s="83">
        <v>40.299999999999997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0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0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</row>
    <row r="5" spans="1:20" ht="15" thickBot="1" x14ac:dyDescent="0.35">
      <c r="A5" s="36">
        <v>562.1</v>
      </c>
      <c r="B5" s="37" t="s">
        <v>47</v>
      </c>
      <c r="C5" s="16"/>
      <c r="D5" s="14">
        <f>E5+F5+G5+H5+I5+M5+Q5+R5</f>
        <v>0</v>
      </c>
      <c r="E5" s="236">
        <v>0</v>
      </c>
      <c r="F5" s="256">
        <v>0</v>
      </c>
      <c r="G5" s="227">
        <v>0</v>
      </c>
      <c r="H5" s="236">
        <v>0</v>
      </c>
      <c r="I5" s="241">
        <v>0</v>
      </c>
      <c r="J5" s="214"/>
      <c r="K5" s="214"/>
      <c r="L5" s="214"/>
      <c r="M5" s="9">
        <f>SUM(J5:L5)</f>
        <v>0</v>
      </c>
      <c r="N5" s="214"/>
      <c r="O5" s="214"/>
      <c r="P5" s="214"/>
      <c r="Q5" s="214">
        <f>SUM(N5:P5)</f>
        <v>0</v>
      </c>
      <c r="R5" s="236">
        <v>0</v>
      </c>
    </row>
    <row r="6" spans="1:20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</row>
    <row r="7" spans="1:20" ht="15" thickBot="1" x14ac:dyDescent="0.35">
      <c r="A7" s="39">
        <v>562.22</v>
      </c>
      <c r="B7" s="82" t="s">
        <v>92</v>
      </c>
      <c r="C7" s="281">
        <v>95280</v>
      </c>
      <c r="D7" s="14">
        <f t="shared" ref="D7:D55" si="2">E7+F7+G7+H7+I7+M7+Q7+R7</f>
        <v>95280</v>
      </c>
      <c r="E7" s="231"/>
      <c r="F7" s="257"/>
      <c r="G7" s="228"/>
      <c r="H7" s="231"/>
      <c r="I7" s="219"/>
      <c r="J7" s="217"/>
      <c r="K7" s="217"/>
      <c r="L7" s="280">
        <v>74130</v>
      </c>
      <c r="M7" s="9">
        <f t="shared" si="0"/>
        <v>74130</v>
      </c>
      <c r="N7" s="217"/>
      <c r="O7" s="280">
        <v>21150</v>
      </c>
      <c r="P7" s="217"/>
      <c r="Q7" s="214">
        <f t="shared" si="1"/>
        <v>21150</v>
      </c>
      <c r="R7" s="231"/>
    </row>
    <row r="8" spans="1:20" ht="15" thickBot="1" x14ac:dyDescent="0.35">
      <c r="A8" s="39">
        <v>562.24</v>
      </c>
      <c r="B8" s="40" t="s">
        <v>49</v>
      </c>
      <c r="C8" s="15">
        <v>23210</v>
      </c>
      <c r="D8" s="14">
        <f t="shared" si="2"/>
        <v>23210</v>
      </c>
      <c r="E8" s="231"/>
      <c r="F8" s="276">
        <v>9814</v>
      </c>
      <c r="G8" s="228"/>
      <c r="H8" s="231">
        <v>9814</v>
      </c>
      <c r="I8" s="219"/>
      <c r="J8" s="217"/>
      <c r="K8" s="217"/>
      <c r="L8" s="217">
        <v>3582</v>
      </c>
      <c r="M8" s="9">
        <f t="shared" si="0"/>
        <v>3582</v>
      </c>
      <c r="N8" s="217"/>
      <c r="O8" s="217"/>
      <c r="P8" s="217"/>
      <c r="Q8" s="214">
        <f t="shared" si="1"/>
        <v>0</v>
      </c>
      <c r="R8" s="231"/>
    </row>
    <row r="9" spans="1:20" ht="15" thickBot="1" x14ac:dyDescent="0.35">
      <c r="A9" s="39">
        <v>562.25</v>
      </c>
      <c r="B9" s="82" t="s">
        <v>93</v>
      </c>
      <c r="C9" s="15">
        <v>54903</v>
      </c>
      <c r="D9" s="14">
        <f t="shared" si="2"/>
        <v>54903</v>
      </c>
      <c r="E9" s="231"/>
      <c r="F9" s="257">
        <v>12325</v>
      </c>
      <c r="G9" s="228"/>
      <c r="H9" s="231">
        <v>42578</v>
      </c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</row>
    <row r="10" spans="1:20" ht="15" thickBot="1" x14ac:dyDescent="0.35">
      <c r="A10" s="39">
        <v>562.26</v>
      </c>
      <c r="B10" s="82" t="s">
        <v>84</v>
      </c>
      <c r="C10" s="15">
        <v>469347</v>
      </c>
      <c r="D10" s="14">
        <f t="shared" si="2"/>
        <v>469348</v>
      </c>
      <c r="E10" s="231">
        <v>103926</v>
      </c>
      <c r="F10" s="257">
        <v>96395</v>
      </c>
      <c r="G10" s="228"/>
      <c r="H10" s="231"/>
      <c r="I10" s="219"/>
      <c r="J10" s="217"/>
      <c r="K10" s="217"/>
      <c r="L10" s="217">
        <v>8815</v>
      </c>
      <c r="M10" s="9">
        <f t="shared" si="0"/>
        <v>8815</v>
      </c>
      <c r="N10" s="217"/>
      <c r="O10" s="217">
        <f>29093+231119</f>
        <v>260212</v>
      </c>
      <c r="P10" s="217"/>
      <c r="Q10" s="214">
        <f t="shared" si="1"/>
        <v>260212</v>
      </c>
      <c r="R10" s="231"/>
    </row>
    <row r="11" spans="1:20" ht="15" thickBot="1" x14ac:dyDescent="0.35">
      <c r="A11" s="39">
        <v>562.27</v>
      </c>
      <c r="B11" s="82" t="s">
        <v>85</v>
      </c>
      <c r="C11" s="15">
        <v>44974</v>
      </c>
      <c r="D11" s="14">
        <f t="shared" si="2"/>
        <v>44974</v>
      </c>
      <c r="E11" s="231"/>
      <c r="F11" s="257"/>
      <c r="G11" s="228"/>
      <c r="H11" s="231">
        <v>44974</v>
      </c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</row>
    <row r="12" spans="1:20" ht="15" thickBot="1" x14ac:dyDescent="0.35">
      <c r="A12" s="39">
        <v>562.28</v>
      </c>
      <c r="B12" s="82" t="s">
        <v>94</v>
      </c>
      <c r="C12" s="15">
        <v>490983</v>
      </c>
      <c r="D12" s="14">
        <f t="shared" si="2"/>
        <v>490983</v>
      </c>
      <c r="E12" s="231"/>
      <c r="F12" s="257">
        <v>119601</v>
      </c>
      <c r="G12" s="228"/>
      <c r="H12" s="231">
        <f>371107+275</f>
        <v>371382</v>
      </c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</row>
    <row r="13" spans="1:20" ht="15" thickBot="1" x14ac:dyDescent="0.35">
      <c r="A13" s="39">
        <v>562.29</v>
      </c>
      <c r="B13" s="82" t="s">
        <v>86</v>
      </c>
      <c r="C13" s="15">
        <v>32346</v>
      </c>
      <c r="D13" s="14">
        <f t="shared" si="2"/>
        <v>32346</v>
      </c>
      <c r="E13" s="231"/>
      <c r="F13" s="257"/>
      <c r="G13" s="228"/>
      <c r="H13" s="231">
        <v>26791</v>
      </c>
      <c r="I13" s="219"/>
      <c r="J13" s="217"/>
      <c r="K13" s="217"/>
      <c r="L13" s="217">
        <v>5555</v>
      </c>
      <c r="M13" s="9">
        <f t="shared" si="0"/>
        <v>5555</v>
      </c>
      <c r="N13" s="217"/>
      <c r="O13" s="217"/>
      <c r="P13" s="217"/>
      <c r="Q13" s="214">
        <f t="shared" si="1"/>
        <v>0</v>
      </c>
      <c r="R13" s="231"/>
    </row>
    <row r="14" spans="1:20" ht="15" thickBot="1" x14ac:dyDescent="0.35">
      <c r="A14" s="39">
        <v>562.32000000000005</v>
      </c>
      <c r="B14" s="40" t="s">
        <v>50</v>
      </c>
      <c r="C14" s="15">
        <v>113130</v>
      </c>
      <c r="D14" s="14">
        <f t="shared" si="2"/>
        <v>113130</v>
      </c>
      <c r="E14" s="231"/>
      <c r="F14" s="276">
        <v>30277</v>
      </c>
      <c r="G14" s="228"/>
      <c r="H14" s="231">
        <f>27493+3000+1842+18930</f>
        <v>51265</v>
      </c>
      <c r="I14" s="219"/>
      <c r="J14" s="217"/>
      <c r="K14" s="217"/>
      <c r="L14" s="217">
        <v>13027</v>
      </c>
      <c r="M14" s="9">
        <f t="shared" si="0"/>
        <v>13027</v>
      </c>
      <c r="N14" s="217"/>
      <c r="O14" s="217">
        <v>18561</v>
      </c>
      <c r="P14" s="217"/>
      <c r="Q14" s="214">
        <f t="shared" si="1"/>
        <v>18561</v>
      </c>
      <c r="R14" s="231"/>
    </row>
    <row r="15" spans="1:20" ht="15" thickBot="1" x14ac:dyDescent="0.35">
      <c r="A15" s="39">
        <v>562.33000000000004</v>
      </c>
      <c r="B15" s="82" t="s">
        <v>95</v>
      </c>
      <c r="C15" s="15"/>
      <c r="D15" s="14">
        <f t="shared" si="2"/>
        <v>0</v>
      </c>
      <c r="E15" s="231"/>
      <c r="F15" s="257"/>
      <c r="G15" s="228"/>
      <c r="H15" s="231"/>
      <c r="I15" s="219"/>
      <c r="J15" s="217"/>
      <c r="K15" s="217"/>
      <c r="L15" s="217"/>
      <c r="M15" s="9">
        <f t="shared" si="0"/>
        <v>0</v>
      </c>
      <c r="N15" s="217"/>
      <c r="O15" s="217"/>
      <c r="P15" s="217"/>
      <c r="Q15" s="214">
        <f t="shared" si="1"/>
        <v>0</v>
      </c>
      <c r="R15" s="231"/>
    </row>
    <row r="16" spans="1:20" ht="15" thickBot="1" x14ac:dyDescent="0.35">
      <c r="A16" s="39">
        <v>562.34</v>
      </c>
      <c r="B16" s="40" t="s">
        <v>51</v>
      </c>
      <c r="C16" s="15">
        <v>15</v>
      </c>
      <c r="D16" s="14">
        <f t="shared" si="2"/>
        <v>15</v>
      </c>
      <c r="E16" s="231"/>
      <c r="F16" s="257"/>
      <c r="G16" s="228"/>
      <c r="H16" s="231"/>
      <c r="I16" s="219"/>
      <c r="J16" s="217"/>
      <c r="K16" s="217"/>
      <c r="L16" s="217">
        <v>15</v>
      </c>
      <c r="M16" s="9">
        <f t="shared" si="0"/>
        <v>15</v>
      </c>
      <c r="N16" s="217"/>
      <c r="O16" s="217"/>
      <c r="P16" s="217"/>
      <c r="Q16" s="214">
        <f t="shared" si="1"/>
        <v>0</v>
      </c>
      <c r="R16" s="231"/>
      <c r="T16" s="204"/>
    </row>
    <row r="17" spans="1:20" ht="15" thickBot="1" x14ac:dyDescent="0.35">
      <c r="A17" s="39">
        <v>562.35</v>
      </c>
      <c r="B17" s="40" t="s">
        <v>52</v>
      </c>
      <c r="C17" s="15">
        <v>70019</v>
      </c>
      <c r="D17" s="14">
        <f t="shared" si="2"/>
        <v>70019</v>
      </c>
      <c r="E17" s="231"/>
      <c r="F17" s="257"/>
      <c r="G17" s="228"/>
      <c r="H17" s="231"/>
      <c r="I17" s="219"/>
      <c r="J17" s="217"/>
      <c r="K17" s="217"/>
      <c r="L17" s="217">
        <v>70019</v>
      </c>
      <c r="M17" s="9">
        <f t="shared" si="0"/>
        <v>70019</v>
      </c>
      <c r="N17" s="217"/>
      <c r="O17" s="217"/>
      <c r="P17" s="217"/>
      <c r="Q17" s="214">
        <f t="shared" si="1"/>
        <v>0</v>
      </c>
      <c r="R17" s="231"/>
    </row>
    <row r="18" spans="1:20" ht="15" thickBot="1" x14ac:dyDescent="0.35">
      <c r="A18" s="39">
        <v>562.39</v>
      </c>
      <c r="B18" s="40" t="s">
        <v>53</v>
      </c>
      <c r="C18" s="15">
        <v>124693</v>
      </c>
      <c r="D18" s="14">
        <f t="shared" si="2"/>
        <v>124693</v>
      </c>
      <c r="E18" s="231"/>
      <c r="F18" s="257"/>
      <c r="G18" s="228"/>
      <c r="H18" s="231"/>
      <c r="I18" s="219"/>
      <c r="J18" s="217"/>
      <c r="K18" s="217"/>
      <c r="L18" s="217">
        <v>124693</v>
      </c>
      <c r="M18" s="9">
        <f t="shared" si="0"/>
        <v>124693</v>
      </c>
      <c r="N18" s="217"/>
      <c r="O18" s="217"/>
      <c r="P18" s="217"/>
      <c r="Q18" s="214">
        <f t="shared" si="1"/>
        <v>0</v>
      </c>
      <c r="R18" s="231"/>
    </row>
    <row r="19" spans="1:20" ht="15" thickBot="1" x14ac:dyDescent="0.35">
      <c r="A19" s="39">
        <v>562.41</v>
      </c>
      <c r="B19" s="40" t="s">
        <v>54</v>
      </c>
      <c r="C19" s="15">
        <v>355985</v>
      </c>
      <c r="D19" s="14">
        <f t="shared" si="2"/>
        <v>355985</v>
      </c>
      <c r="E19" s="231"/>
      <c r="F19" s="257"/>
      <c r="G19" s="228"/>
      <c r="H19" s="231">
        <f>18934+20459+250220</f>
        <v>289613</v>
      </c>
      <c r="I19" s="219"/>
      <c r="J19" s="217"/>
      <c r="K19" s="217"/>
      <c r="L19" s="217">
        <v>65906</v>
      </c>
      <c r="M19" s="9">
        <f t="shared" si="0"/>
        <v>65906</v>
      </c>
      <c r="N19" s="217"/>
      <c r="O19" s="217"/>
      <c r="P19" s="217"/>
      <c r="Q19" s="214">
        <f t="shared" si="1"/>
        <v>0</v>
      </c>
      <c r="R19" s="231">
        <v>466</v>
      </c>
      <c r="S19" s="199">
        <v>369</v>
      </c>
      <c r="T19" s="200">
        <v>466</v>
      </c>
    </row>
    <row r="20" spans="1:20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</row>
    <row r="21" spans="1:20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</row>
    <row r="22" spans="1:20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</row>
    <row r="23" spans="1:20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</row>
    <row r="24" spans="1:20" ht="15" thickBot="1" x14ac:dyDescent="0.35">
      <c r="A24" s="39">
        <v>562.49</v>
      </c>
      <c r="B24" s="82" t="s">
        <v>87</v>
      </c>
      <c r="C24" s="15"/>
      <c r="D24" s="14">
        <f t="shared" si="2"/>
        <v>0</v>
      </c>
      <c r="E24" s="231"/>
      <c r="F24" s="257"/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</row>
    <row r="25" spans="1:20" ht="15" thickBot="1" x14ac:dyDescent="0.35">
      <c r="A25" s="39">
        <v>562.52</v>
      </c>
      <c r="B25" s="40" t="s">
        <v>56</v>
      </c>
      <c r="C25" s="15"/>
      <c r="D25" s="14">
        <f t="shared" si="2"/>
        <v>0</v>
      </c>
      <c r="E25" s="231"/>
      <c r="F25" s="257"/>
      <c r="G25" s="228"/>
      <c r="H25" s="231"/>
      <c r="I25" s="219"/>
      <c r="J25" s="217"/>
      <c r="K25" s="217"/>
      <c r="L25" s="217"/>
      <c r="M25" s="9">
        <f t="shared" si="0"/>
        <v>0</v>
      </c>
      <c r="N25" s="217"/>
      <c r="O25" s="217"/>
      <c r="P25" s="217"/>
      <c r="Q25" s="214">
        <f t="shared" si="1"/>
        <v>0</v>
      </c>
      <c r="R25" s="231"/>
    </row>
    <row r="26" spans="1:20" ht="15" thickBot="1" x14ac:dyDescent="0.35">
      <c r="A26" s="39">
        <v>562.53</v>
      </c>
      <c r="B26" s="82" t="s">
        <v>99</v>
      </c>
      <c r="C26" s="15"/>
      <c r="D26" s="14">
        <f t="shared" si="2"/>
        <v>0</v>
      </c>
      <c r="E26" s="231"/>
      <c r="F26" s="257"/>
      <c r="G26" s="228"/>
      <c r="H26" s="231"/>
      <c r="I26" s="219"/>
      <c r="J26" s="217"/>
      <c r="K26" s="217"/>
      <c r="L26" s="217"/>
      <c r="M26" s="9">
        <f t="shared" si="0"/>
        <v>0</v>
      </c>
      <c r="N26" s="217"/>
      <c r="O26" s="217"/>
      <c r="P26" s="217"/>
      <c r="Q26" s="214">
        <f t="shared" si="1"/>
        <v>0</v>
      </c>
      <c r="R26" s="231"/>
    </row>
    <row r="27" spans="1:20" ht="15" thickBot="1" x14ac:dyDescent="0.35">
      <c r="A27" s="39">
        <v>562.54</v>
      </c>
      <c r="B27" s="82" t="s">
        <v>100</v>
      </c>
      <c r="C27" s="15"/>
      <c r="D27" s="14">
        <f t="shared" si="2"/>
        <v>0</v>
      </c>
      <c r="E27" s="231"/>
      <c r="F27" s="257"/>
      <c r="G27" s="228"/>
      <c r="H27" s="231"/>
      <c r="I27" s="219"/>
      <c r="J27" s="217"/>
      <c r="K27" s="217"/>
      <c r="L27" s="217"/>
      <c r="M27" s="9">
        <f t="shared" si="0"/>
        <v>0</v>
      </c>
      <c r="N27" s="217"/>
      <c r="O27" s="217"/>
      <c r="P27" s="217"/>
      <c r="Q27" s="214">
        <f t="shared" si="1"/>
        <v>0</v>
      </c>
      <c r="R27" s="231"/>
    </row>
    <row r="28" spans="1:20" ht="15" thickBot="1" x14ac:dyDescent="0.35">
      <c r="A28" s="39">
        <v>562.54999999999995</v>
      </c>
      <c r="B28" s="40" t="s">
        <v>57</v>
      </c>
      <c r="C28" s="15"/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</row>
    <row r="29" spans="1:20" ht="15" thickBot="1" x14ac:dyDescent="0.35">
      <c r="A29" s="39">
        <v>562.55999999999995</v>
      </c>
      <c r="B29" s="40" t="s">
        <v>58</v>
      </c>
      <c r="C29" s="15"/>
      <c r="D29" s="14">
        <f t="shared" si="2"/>
        <v>0</v>
      </c>
      <c r="E29" s="231"/>
      <c r="F29" s="257"/>
      <c r="G29" s="228"/>
      <c r="H29" s="231"/>
      <c r="I29" s="219"/>
      <c r="J29" s="217"/>
      <c r="K29" s="217"/>
      <c r="L29" s="217"/>
      <c r="M29" s="9">
        <f t="shared" si="0"/>
        <v>0</v>
      </c>
      <c r="N29" s="217"/>
      <c r="O29" s="217"/>
      <c r="P29" s="217"/>
      <c r="Q29" s="214">
        <f t="shared" si="1"/>
        <v>0</v>
      </c>
      <c r="R29" s="231"/>
    </row>
    <row r="30" spans="1:20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</row>
    <row r="31" spans="1:20" ht="15" thickBot="1" x14ac:dyDescent="0.35">
      <c r="A31" s="39">
        <v>562.58000000000004</v>
      </c>
      <c r="B31" s="82" t="s">
        <v>88</v>
      </c>
      <c r="C31" s="15"/>
      <c r="D31" s="14">
        <f t="shared" si="2"/>
        <v>0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/>
      <c r="O31" s="217"/>
      <c r="P31" s="217"/>
      <c r="Q31" s="214">
        <f t="shared" si="1"/>
        <v>0</v>
      </c>
      <c r="R31" s="231"/>
    </row>
    <row r="32" spans="1:20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</row>
    <row r="33" spans="1:20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</row>
    <row r="34" spans="1:20" ht="15" thickBot="1" x14ac:dyDescent="0.35">
      <c r="A34" s="39">
        <v>562.71</v>
      </c>
      <c r="B34" s="40" t="s">
        <v>60</v>
      </c>
      <c r="C34" s="15">
        <v>43456</v>
      </c>
      <c r="D34" s="14">
        <f t="shared" si="2"/>
        <v>43456</v>
      </c>
      <c r="E34" s="231"/>
      <c r="F34" s="257"/>
      <c r="G34" s="228"/>
      <c r="H34" s="231"/>
      <c r="I34" s="219"/>
      <c r="J34" s="217"/>
      <c r="K34" s="217"/>
      <c r="L34" s="217">
        <v>13111</v>
      </c>
      <c r="M34" s="9">
        <f t="shared" si="0"/>
        <v>13111</v>
      </c>
      <c r="N34" s="217"/>
      <c r="O34" s="217">
        <v>30345</v>
      </c>
      <c r="P34" s="217"/>
      <c r="Q34" s="214">
        <f t="shared" si="1"/>
        <v>30345</v>
      </c>
      <c r="R34" s="231"/>
    </row>
    <row r="35" spans="1:20" ht="15" thickBot="1" x14ac:dyDescent="0.35">
      <c r="A35" s="39">
        <v>562.72</v>
      </c>
      <c r="B35" s="40" t="s">
        <v>61</v>
      </c>
      <c r="C35" s="15">
        <v>220252</v>
      </c>
      <c r="D35" s="14">
        <f t="shared" si="2"/>
        <v>220252</v>
      </c>
      <c r="E35" s="231"/>
      <c r="F35" s="257"/>
      <c r="G35" s="228"/>
      <c r="H35" s="231"/>
      <c r="I35" s="219">
        <v>164617</v>
      </c>
      <c r="J35" s="217"/>
      <c r="K35" s="217"/>
      <c r="L35" s="217">
        <v>55635</v>
      </c>
      <c r="M35" s="9">
        <f t="shared" si="0"/>
        <v>55635</v>
      </c>
      <c r="N35" s="217"/>
      <c r="O35" s="217"/>
      <c r="P35" s="217"/>
      <c r="Q35" s="214">
        <f t="shared" si="1"/>
        <v>0</v>
      </c>
      <c r="R35" s="231"/>
    </row>
    <row r="36" spans="1:20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</row>
    <row r="37" spans="1:20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</row>
    <row r="38" spans="1:20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</row>
    <row r="39" spans="1:20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</row>
    <row r="40" spans="1:20" ht="15" thickBot="1" x14ac:dyDescent="0.35">
      <c r="A40" s="39">
        <v>562.79999999999995</v>
      </c>
      <c r="B40" s="40" t="s">
        <v>65</v>
      </c>
      <c r="C40" s="15">
        <v>119744</v>
      </c>
      <c r="D40" s="14">
        <f t="shared" si="2"/>
        <v>119744</v>
      </c>
      <c r="E40" s="231"/>
      <c r="F40" s="257"/>
      <c r="G40" s="228"/>
      <c r="H40" s="231"/>
      <c r="I40" s="219"/>
      <c r="J40" s="217"/>
      <c r="K40" s="217"/>
      <c r="L40" s="217">
        <v>119744</v>
      </c>
      <c r="M40" s="9">
        <f t="shared" si="0"/>
        <v>119744</v>
      </c>
      <c r="N40" s="217"/>
      <c r="O40" s="217"/>
      <c r="P40" s="217"/>
      <c r="Q40" s="214">
        <f t="shared" si="1"/>
        <v>0</v>
      </c>
      <c r="R40" s="231"/>
    </row>
    <row r="41" spans="1:20" ht="15" thickBot="1" x14ac:dyDescent="0.35">
      <c r="A41" s="39">
        <v>562.88</v>
      </c>
      <c r="B41" s="82" t="s">
        <v>91</v>
      </c>
      <c r="C41" s="15">
        <f>85670+5809</f>
        <v>91479</v>
      </c>
      <c r="D41" s="14">
        <f t="shared" si="2"/>
        <v>91479</v>
      </c>
      <c r="E41" s="231"/>
      <c r="F41" s="257"/>
      <c r="G41" s="228"/>
      <c r="H41" s="231">
        <f>2000+71937+4366</f>
        <v>78303</v>
      </c>
      <c r="I41" s="219"/>
      <c r="J41" s="217"/>
      <c r="K41" s="217"/>
      <c r="L41" s="217">
        <v>9676</v>
      </c>
      <c r="M41" s="9">
        <f t="shared" si="0"/>
        <v>9676</v>
      </c>
      <c r="N41" s="217"/>
      <c r="O41" s="217"/>
      <c r="P41" s="217"/>
      <c r="Q41" s="214">
        <f t="shared" si="1"/>
        <v>0</v>
      </c>
      <c r="R41" s="231">
        <v>3500</v>
      </c>
      <c r="S41" s="199">
        <v>369.9</v>
      </c>
      <c r="T41" s="200">
        <v>3500</v>
      </c>
    </row>
    <row r="42" spans="1:20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</row>
    <row r="43" spans="1:20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</row>
    <row r="44" spans="1:20" x14ac:dyDescent="0.3">
      <c r="A44" s="206" t="s">
        <v>110</v>
      </c>
      <c r="B44" s="207" t="s">
        <v>68</v>
      </c>
      <c r="C44" s="208">
        <f>SUM(C5:C43)</f>
        <v>2349816</v>
      </c>
      <c r="D44" s="205">
        <f>E44+F44+G44+H44+I44+M44+Q44+R44</f>
        <v>2349817</v>
      </c>
      <c r="E44" s="233">
        <f t="shared" ref="E44:R44" si="3">SUM(E5:E43)</f>
        <v>103926</v>
      </c>
      <c r="F44" s="259">
        <f t="shared" si="3"/>
        <v>268412</v>
      </c>
      <c r="G44" s="223">
        <f t="shared" si="3"/>
        <v>0</v>
      </c>
      <c r="H44" s="233">
        <f t="shared" si="3"/>
        <v>914720</v>
      </c>
      <c r="I44" s="239">
        <f t="shared" si="3"/>
        <v>164617</v>
      </c>
      <c r="J44" s="245">
        <f>SUM(J5:J43)</f>
        <v>0</v>
      </c>
      <c r="K44" s="245">
        <f>SUM(K5:K43)</f>
        <v>0</v>
      </c>
      <c r="L44" s="245">
        <f>SUM(L5:L43)</f>
        <v>563908</v>
      </c>
      <c r="M44" s="208">
        <f t="shared" si="3"/>
        <v>563908</v>
      </c>
      <c r="N44" s="245">
        <f>SUM(N5:N43)</f>
        <v>0</v>
      </c>
      <c r="O44" s="245">
        <f>SUM(O5:O43)</f>
        <v>330268</v>
      </c>
      <c r="P44" s="245">
        <f>SUM(P5:P43)</f>
        <v>0</v>
      </c>
      <c r="Q44" s="216">
        <f t="shared" si="3"/>
        <v>330268</v>
      </c>
      <c r="R44" s="233">
        <f t="shared" si="3"/>
        <v>3966</v>
      </c>
    </row>
    <row r="45" spans="1:20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</row>
    <row r="46" spans="1:20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</row>
    <row r="47" spans="1:20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</row>
    <row r="48" spans="1:20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</row>
    <row r="49" spans="1:18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</row>
    <row r="50" spans="1:18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</row>
    <row r="51" spans="1:18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</row>
    <row r="52" spans="1:18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</row>
    <row r="53" spans="1:18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</row>
    <row r="54" spans="1:18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</row>
    <row r="55" spans="1:18" x14ac:dyDescent="0.3">
      <c r="A55" s="41">
        <v>500</v>
      </c>
      <c r="B55" s="32" t="s">
        <v>118</v>
      </c>
      <c r="C55" s="18"/>
      <c r="D55" s="20">
        <f t="shared" si="2"/>
        <v>0</v>
      </c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</row>
    <row r="56" spans="1:18" ht="15" thickBot="1" x14ac:dyDescent="0.35">
      <c r="A56" s="107"/>
      <c r="B56" s="108" t="s">
        <v>80</v>
      </c>
      <c r="C56" s="111">
        <f>SUM(C44:C55)</f>
        <v>2349816</v>
      </c>
      <c r="D56" s="110">
        <f>E56+F56+G56+H56+I56+M56+Q56+R56</f>
        <v>2349817</v>
      </c>
      <c r="E56" s="235">
        <f t="shared" ref="E56:R56" si="4">SUM(E44:E55)</f>
        <v>103926</v>
      </c>
      <c r="F56" s="260">
        <f t="shared" si="4"/>
        <v>268412</v>
      </c>
      <c r="G56" s="225">
        <f t="shared" si="4"/>
        <v>0</v>
      </c>
      <c r="H56" s="235">
        <f t="shared" si="4"/>
        <v>914720</v>
      </c>
      <c r="I56" s="240">
        <f t="shared" si="4"/>
        <v>164617</v>
      </c>
      <c r="J56" s="218">
        <f>SUM(J44:J55)</f>
        <v>0</v>
      </c>
      <c r="K56" s="218">
        <f>SUM(K44:K55)</f>
        <v>0</v>
      </c>
      <c r="L56" s="218">
        <f>SUM(L44:L55)</f>
        <v>563908</v>
      </c>
      <c r="M56" s="209">
        <f t="shared" si="4"/>
        <v>563908</v>
      </c>
      <c r="N56" s="218">
        <f>SUM(N44:N55)</f>
        <v>0</v>
      </c>
      <c r="O56" s="218">
        <f>SUM(O44:O55)</f>
        <v>330268</v>
      </c>
      <c r="P56" s="218">
        <f>SUM(P44:P55)</f>
        <v>0</v>
      </c>
      <c r="Q56" s="218">
        <f t="shared" si="4"/>
        <v>330268</v>
      </c>
      <c r="R56" s="235">
        <f t="shared" si="4"/>
        <v>3966</v>
      </c>
    </row>
    <row r="57" spans="1:18" ht="15" thickTop="1" x14ac:dyDescent="0.3"/>
    <row r="58" spans="1:18" ht="15" thickBot="1" x14ac:dyDescent="0.35"/>
    <row r="59" spans="1:18" ht="15" thickBot="1" x14ac:dyDescent="0.35">
      <c r="B59" s="42" t="s">
        <v>109</v>
      </c>
      <c r="C59" s="43"/>
      <c r="D59" s="44"/>
    </row>
    <row r="60" spans="1:18" ht="15" thickTop="1" x14ac:dyDescent="0.3">
      <c r="B60" s="115"/>
      <c r="C60" s="116" t="s">
        <v>82</v>
      </c>
      <c r="D60" s="117" t="s">
        <v>78</v>
      </c>
    </row>
    <row r="61" spans="1:18" x14ac:dyDescent="0.3">
      <c r="B61" s="153" t="s">
        <v>108</v>
      </c>
      <c r="C61" s="45"/>
      <c r="D61" s="46"/>
    </row>
    <row r="62" spans="1:18" x14ac:dyDescent="0.3">
      <c r="B62" s="26" t="s">
        <v>3</v>
      </c>
      <c r="C62" s="47">
        <f>E56</f>
        <v>103926</v>
      </c>
      <c r="D62" s="48">
        <f>E56/D56</f>
        <v>4.4227273868560825E-2</v>
      </c>
    </row>
    <row r="63" spans="1:18" x14ac:dyDescent="0.3">
      <c r="B63" s="26" t="s">
        <v>4</v>
      </c>
      <c r="C63" s="49">
        <f>F56</f>
        <v>268412</v>
      </c>
      <c r="D63" s="48">
        <f>F56/D56</f>
        <v>0.11422676744614581</v>
      </c>
    </row>
    <row r="64" spans="1:18" x14ac:dyDescent="0.3">
      <c r="B64" s="56" t="s">
        <v>79</v>
      </c>
      <c r="C64" s="50">
        <f>G56</f>
        <v>0</v>
      </c>
      <c r="D64" s="51">
        <f>G56/D56</f>
        <v>0</v>
      </c>
    </row>
    <row r="65" spans="2:4" ht="15" thickBot="1" x14ac:dyDescent="0.35">
      <c r="B65" s="146" t="s">
        <v>115</v>
      </c>
      <c r="C65" s="52">
        <f>SUM(C62:C64)</f>
        <v>372338</v>
      </c>
      <c r="D65" s="53">
        <f>SUM(D62:D64)</f>
        <v>0.15845404131470664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914720</v>
      </c>
      <c r="D67" s="25">
        <f>H56/D56</f>
        <v>0.38927286678068973</v>
      </c>
    </row>
    <row r="68" spans="2:4" x14ac:dyDescent="0.3">
      <c r="B68" s="57" t="s">
        <v>7</v>
      </c>
      <c r="C68" s="27">
        <f>I56</f>
        <v>164617</v>
      </c>
      <c r="D68" s="28">
        <f>I56/D56</f>
        <v>7.005524259974287E-2</v>
      </c>
    </row>
    <row r="69" spans="2:4" ht="15" thickBot="1" x14ac:dyDescent="0.35">
      <c r="B69" s="146" t="s">
        <v>116</v>
      </c>
      <c r="C69" s="52">
        <f>SUM(C67:C68)</f>
        <v>1079337</v>
      </c>
      <c r="D69" s="53">
        <f>SUM(D67:D68)</f>
        <v>0.45932810938043261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563908</v>
      </c>
      <c r="D71" s="25">
        <f>M56/D56</f>
        <v>0.23997953883217288</v>
      </c>
    </row>
    <row r="72" spans="2:4" x14ac:dyDescent="0.3">
      <c r="B72" s="24" t="s">
        <v>8</v>
      </c>
      <c r="C72" s="23">
        <f>Q56</f>
        <v>330268</v>
      </c>
      <c r="D72" s="25">
        <f>Q56/D56</f>
        <v>0.14055051946598396</v>
      </c>
    </row>
    <row r="73" spans="2:4" x14ac:dyDescent="0.3">
      <c r="B73" s="163" t="s">
        <v>83</v>
      </c>
      <c r="C73" s="27">
        <f>R56</f>
        <v>3966</v>
      </c>
      <c r="D73" s="28">
        <f>R56/D56</f>
        <v>1.6877910067039264E-3</v>
      </c>
    </row>
    <row r="74" spans="2:4" ht="15" thickBot="1" x14ac:dyDescent="0.35">
      <c r="B74" s="146" t="s">
        <v>117</v>
      </c>
      <c r="C74" s="52">
        <f>SUM(C71:C73)</f>
        <v>898142</v>
      </c>
      <c r="D74" s="53">
        <f>SUM(D71:D73)</f>
        <v>0.38221784930486075</v>
      </c>
    </row>
    <row r="75" spans="2:4" ht="15" thickBot="1" x14ac:dyDescent="0.35">
      <c r="B75" s="157" t="s">
        <v>80</v>
      </c>
      <c r="C75" s="158">
        <f>C65+C69+C74</f>
        <v>2349817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149" priority="7">
      <formula>ROW()=EVEN(ROW())</formula>
    </cfRule>
  </conditionalFormatting>
  <conditionalFormatting sqref="A55:B55">
    <cfRule type="expression" dxfId="148" priority="5">
      <formula>ROW()=EVEN(ROW())</formula>
    </cfRule>
  </conditionalFormatting>
  <conditionalFormatting sqref="A54:B54">
    <cfRule type="expression" dxfId="147" priority="4">
      <formula>ROW()=EVEN(ROW())</formula>
    </cfRule>
  </conditionalFormatting>
  <conditionalFormatting sqref="M45:M55">
    <cfRule type="expression" dxfId="146" priority="3">
      <formula>ROW()=EVEN(ROW())</formula>
    </cfRule>
  </conditionalFormatting>
  <conditionalFormatting sqref="D45:D55">
    <cfRule type="expression" dxfId="145" priority="2">
      <formula>ROW()=EVEN(ROW())</formula>
    </cfRule>
  </conditionalFormatting>
  <conditionalFormatting sqref="N44:P55">
    <cfRule type="expression" dxfId="144" priority="1">
      <formula>ROW()=EVEN(ROW())</formula>
    </cfRule>
  </conditionalFormatting>
  <printOptions horizontalCentered="1"/>
  <pageMargins left="0" right="0" top="1.1000000000000001" bottom="0.5" header="0.3" footer="0.3"/>
  <pageSetup scale="85" fitToHeight="0" orientation="landscape" r:id="rId1"/>
  <headerFooter>
    <oddHeader>&amp;C&amp;"-,Bold"&amp;20Funding by Expenditure Code and Revenue Source&amp;"-,Regular"&amp;11
&amp;"-,Bold"&amp;20 2014&amp;"-,Regular"&amp;11
&amp;"-,Bold"&amp;20GRAYS HARBOR</oddHeader>
    <oddFooter>&amp;LRevised 11-14-16&amp;CPage &amp;P</oddFooter>
  </headerFooter>
  <rowBreaks count="1" manualBreakCount="1">
    <brk id="44" max="16383" man="1"/>
  </rowBreak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8"/>
  <sheetViews>
    <sheetView showZeros="0" topLeftCell="A4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90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0" x14ac:dyDescent="0.3">
      <c r="A1" s="22" t="s">
        <v>150</v>
      </c>
      <c r="B1" s="6"/>
      <c r="C1" s="31">
        <v>80000</v>
      </c>
      <c r="D1" s="4"/>
      <c r="E1" s="221"/>
      <c r="F1" s="221"/>
      <c r="G1" s="221"/>
      <c r="H1" s="221"/>
      <c r="I1" s="221"/>
      <c r="J1" s="283"/>
      <c r="K1" s="283"/>
      <c r="L1" s="283"/>
      <c r="M1" s="3"/>
      <c r="N1" s="221"/>
      <c r="O1" s="221"/>
      <c r="P1" s="221"/>
      <c r="Q1" s="3"/>
      <c r="R1" s="221"/>
    </row>
    <row r="2" spans="1:20" x14ac:dyDescent="0.3">
      <c r="A2" s="80" t="s">
        <v>44</v>
      </c>
      <c r="B2" s="5"/>
      <c r="C2" s="83">
        <v>39</v>
      </c>
      <c r="D2" s="4"/>
      <c r="E2" s="221"/>
      <c r="F2" s="221"/>
      <c r="G2" s="221"/>
      <c r="H2" s="221"/>
      <c r="I2" s="237"/>
      <c r="J2" s="284"/>
      <c r="K2" s="284"/>
      <c r="L2" s="284"/>
      <c r="M2" s="106"/>
      <c r="N2" s="248"/>
      <c r="O2" s="248"/>
      <c r="P2" s="248"/>
      <c r="Q2" s="5"/>
      <c r="R2" s="251" t="s">
        <v>146</v>
      </c>
    </row>
    <row r="3" spans="1:20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85"/>
      <c r="K3" s="285"/>
      <c r="L3" s="285"/>
      <c r="M3" s="299" t="s">
        <v>106</v>
      </c>
      <c r="N3" s="300"/>
      <c r="O3" s="300"/>
      <c r="P3" s="300"/>
      <c r="Q3" s="301"/>
      <c r="R3" s="252"/>
    </row>
    <row r="4" spans="1:20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</row>
    <row r="5" spans="1:20" ht="15" thickBot="1" x14ac:dyDescent="0.35">
      <c r="A5" s="36">
        <v>562.1</v>
      </c>
      <c r="B5" s="37" t="s">
        <v>47</v>
      </c>
      <c r="C5" s="16">
        <f>490233+200521+34557+23725</f>
        <v>749036</v>
      </c>
      <c r="D5" s="14">
        <f>E5+F5+G5+H5+I5+M5+Q5+R5</f>
        <v>502551</v>
      </c>
      <c r="E5" s="236">
        <v>0</v>
      </c>
      <c r="F5" s="256"/>
      <c r="G5" s="227">
        <v>0</v>
      </c>
      <c r="H5" s="236">
        <v>63260</v>
      </c>
      <c r="I5" s="241"/>
      <c r="J5" s="286"/>
      <c r="K5" s="286"/>
      <c r="L5" s="286">
        <v>359623</v>
      </c>
      <c r="M5" s="9">
        <f>SUM(J5:L5)</f>
        <v>359623</v>
      </c>
      <c r="N5" s="214"/>
      <c r="O5" s="214">
        <f>19295+60356</f>
        <v>79651</v>
      </c>
      <c r="P5" s="214"/>
      <c r="Q5" s="214">
        <f>SUM(N5:P5)</f>
        <v>79651</v>
      </c>
      <c r="R5" s="236">
        <v>17</v>
      </c>
      <c r="S5" s="199">
        <v>369.9</v>
      </c>
      <c r="T5" s="200">
        <v>17</v>
      </c>
    </row>
    <row r="6" spans="1:20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87"/>
      <c r="K6" s="287"/>
      <c r="L6" s="28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</row>
    <row r="7" spans="1:20" ht="15" thickBot="1" x14ac:dyDescent="0.35">
      <c r="A7" s="39">
        <v>562.22</v>
      </c>
      <c r="B7" s="82" t="s">
        <v>92</v>
      </c>
      <c r="C7" s="15">
        <v>105699</v>
      </c>
      <c r="D7" s="14">
        <f t="shared" ref="D7:D55" si="2">E7+F7+G7+H7+I7+M7+Q7+R7</f>
        <v>108705</v>
      </c>
      <c r="E7" s="231"/>
      <c r="F7" s="257"/>
      <c r="G7" s="228"/>
      <c r="H7" s="231">
        <f>38755+21950</f>
        <v>60705</v>
      </c>
      <c r="I7" s="219"/>
      <c r="J7" s="287"/>
      <c r="K7" s="287"/>
      <c r="L7" s="287">
        <v>48000</v>
      </c>
      <c r="M7" s="9">
        <f t="shared" si="0"/>
        <v>48000</v>
      </c>
      <c r="N7" s="217"/>
      <c r="O7" s="217"/>
      <c r="P7" s="217"/>
      <c r="Q7" s="214">
        <f t="shared" si="1"/>
        <v>0</v>
      </c>
      <c r="R7" s="231"/>
    </row>
    <row r="8" spans="1:20" ht="15" thickBot="1" x14ac:dyDescent="0.35">
      <c r="A8" s="39">
        <v>562.24</v>
      </c>
      <c r="B8" s="40" t="s">
        <v>49</v>
      </c>
      <c r="C8" s="15">
        <v>8441</v>
      </c>
      <c r="D8" s="14">
        <f t="shared" si="2"/>
        <v>19600</v>
      </c>
      <c r="E8" s="231"/>
      <c r="F8" s="257"/>
      <c r="G8" s="228">
        <v>9800</v>
      </c>
      <c r="H8" s="231">
        <v>9800</v>
      </c>
      <c r="I8" s="219"/>
      <c r="J8" s="287"/>
      <c r="K8" s="287"/>
      <c r="L8" s="287"/>
      <c r="M8" s="9">
        <f t="shared" si="0"/>
        <v>0</v>
      </c>
      <c r="N8" s="217"/>
      <c r="O8" s="217"/>
      <c r="P8" s="217"/>
      <c r="Q8" s="214">
        <f t="shared" si="1"/>
        <v>0</v>
      </c>
      <c r="R8" s="231"/>
    </row>
    <row r="9" spans="1:20" ht="15" thickBot="1" x14ac:dyDescent="0.35">
      <c r="A9" s="39">
        <v>562.25</v>
      </c>
      <c r="B9" s="82" t="s">
        <v>93</v>
      </c>
      <c r="C9" s="15"/>
      <c r="D9" s="14">
        <f t="shared" si="2"/>
        <v>0</v>
      </c>
      <c r="E9" s="231"/>
      <c r="F9" s="257"/>
      <c r="G9" s="228"/>
      <c r="H9" s="231"/>
      <c r="I9" s="219"/>
      <c r="J9" s="287"/>
      <c r="K9" s="287"/>
      <c r="L9" s="287"/>
      <c r="M9" s="9">
        <f t="shared" si="0"/>
        <v>0</v>
      </c>
      <c r="N9" s="217"/>
      <c r="O9" s="217"/>
      <c r="P9" s="217"/>
      <c r="Q9" s="214">
        <f t="shared" si="1"/>
        <v>0</v>
      </c>
      <c r="R9" s="231"/>
    </row>
    <row r="10" spans="1:20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87"/>
      <c r="K10" s="287"/>
      <c r="L10" s="28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</row>
    <row r="11" spans="1:20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87"/>
      <c r="K11" s="287"/>
      <c r="L11" s="28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</row>
    <row r="12" spans="1:20" ht="15" thickBot="1" x14ac:dyDescent="0.35">
      <c r="A12" s="39">
        <v>562.28</v>
      </c>
      <c r="B12" s="82" t="s">
        <v>94</v>
      </c>
      <c r="C12" s="15">
        <v>191404</v>
      </c>
      <c r="D12" s="14">
        <f t="shared" si="2"/>
        <v>207814</v>
      </c>
      <c r="E12" s="231"/>
      <c r="F12" s="276">
        <v>37065</v>
      </c>
      <c r="G12" s="274"/>
      <c r="H12" s="231">
        <f>157759+12792+198</f>
        <v>170749</v>
      </c>
      <c r="I12" s="219"/>
      <c r="J12" s="287"/>
      <c r="K12" s="287"/>
      <c r="L12" s="28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</row>
    <row r="13" spans="1:20" ht="15" thickBot="1" x14ac:dyDescent="0.35">
      <c r="A13" s="39">
        <v>562.29</v>
      </c>
      <c r="B13" s="82" t="s">
        <v>86</v>
      </c>
      <c r="C13" s="15">
        <v>48956</v>
      </c>
      <c r="D13" s="14">
        <f t="shared" si="2"/>
        <v>56500</v>
      </c>
      <c r="E13" s="231"/>
      <c r="F13" s="257"/>
      <c r="G13" s="228"/>
      <c r="H13" s="231"/>
      <c r="I13" s="219"/>
      <c r="J13" s="287"/>
      <c r="K13" s="287"/>
      <c r="L13" s="287"/>
      <c r="M13" s="9">
        <f t="shared" si="0"/>
        <v>0</v>
      </c>
      <c r="N13" s="217"/>
      <c r="O13" s="217">
        <f>1500+55000</f>
        <v>56500</v>
      </c>
      <c r="P13" s="217"/>
      <c r="Q13" s="214">
        <f t="shared" si="1"/>
        <v>56500</v>
      </c>
      <c r="R13" s="231"/>
    </row>
    <row r="14" spans="1:20" ht="15" thickBot="1" x14ac:dyDescent="0.35">
      <c r="A14" s="39">
        <v>562.32000000000005</v>
      </c>
      <c r="B14" s="40" t="s">
        <v>50</v>
      </c>
      <c r="C14" s="15">
        <v>100445</v>
      </c>
      <c r="D14" s="14">
        <f t="shared" si="2"/>
        <v>95309</v>
      </c>
      <c r="E14" s="231"/>
      <c r="F14" s="257"/>
      <c r="G14" s="228"/>
      <c r="H14" s="231">
        <f>4920+2077+2270+3680+5687+1566</f>
        <v>20200</v>
      </c>
      <c r="I14" s="219"/>
      <c r="J14" s="287"/>
      <c r="K14" s="287"/>
      <c r="L14" s="287">
        <v>48000</v>
      </c>
      <c r="M14" s="9">
        <f t="shared" si="0"/>
        <v>48000</v>
      </c>
      <c r="N14" s="217"/>
      <c r="O14" s="217">
        <v>27109</v>
      </c>
      <c r="P14" s="217"/>
      <c r="Q14" s="214">
        <f t="shared" si="1"/>
        <v>27109</v>
      </c>
      <c r="R14" s="231"/>
    </row>
    <row r="15" spans="1:20" ht="15" thickBot="1" x14ac:dyDescent="0.35">
      <c r="A15" s="39">
        <v>562.33000000000004</v>
      </c>
      <c r="B15" s="82" t="s">
        <v>95</v>
      </c>
      <c r="C15" s="15">
        <v>17399</v>
      </c>
      <c r="D15" s="14">
        <f t="shared" si="2"/>
        <v>15183</v>
      </c>
      <c r="E15" s="231"/>
      <c r="F15" s="257">
        <v>15183</v>
      </c>
      <c r="G15" s="228"/>
      <c r="H15" s="231"/>
      <c r="I15" s="219"/>
      <c r="J15" s="287"/>
      <c r="K15" s="287"/>
      <c r="L15" s="287"/>
      <c r="M15" s="9">
        <f t="shared" si="0"/>
        <v>0</v>
      </c>
      <c r="N15" s="217"/>
      <c r="O15" s="217"/>
      <c r="P15" s="217"/>
      <c r="Q15" s="214">
        <f t="shared" si="1"/>
        <v>0</v>
      </c>
      <c r="R15" s="231"/>
    </row>
    <row r="16" spans="1:20" ht="15" thickBot="1" x14ac:dyDescent="0.35">
      <c r="A16" s="39">
        <v>562.34</v>
      </c>
      <c r="B16" s="40" t="s">
        <v>51</v>
      </c>
      <c r="C16" s="15">
        <v>47478</v>
      </c>
      <c r="D16" s="14">
        <f t="shared" si="2"/>
        <v>18820</v>
      </c>
      <c r="E16" s="231"/>
      <c r="F16" s="276">
        <v>15000</v>
      </c>
      <c r="G16" s="271"/>
      <c r="H16" s="231"/>
      <c r="I16" s="219"/>
      <c r="J16" s="287"/>
      <c r="K16" s="287"/>
      <c r="L16" s="287">
        <v>3525</v>
      </c>
      <c r="M16" s="9">
        <f t="shared" si="0"/>
        <v>3525</v>
      </c>
      <c r="N16" s="217"/>
      <c r="O16" s="217">
        <v>295</v>
      </c>
      <c r="P16" s="217"/>
      <c r="Q16" s="214">
        <f t="shared" si="1"/>
        <v>295</v>
      </c>
      <c r="R16" s="231"/>
      <c r="T16" s="204"/>
    </row>
    <row r="17" spans="1:20" ht="15" thickBot="1" x14ac:dyDescent="0.35">
      <c r="A17" s="39">
        <v>562.35</v>
      </c>
      <c r="B17" s="40" t="s">
        <v>52</v>
      </c>
      <c r="C17" s="15"/>
      <c r="D17" s="14">
        <f t="shared" si="2"/>
        <v>0</v>
      </c>
      <c r="E17" s="231"/>
      <c r="F17" s="257"/>
      <c r="G17" s="228"/>
      <c r="H17" s="231"/>
      <c r="I17" s="219"/>
      <c r="J17" s="287"/>
      <c r="K17" s="287"/>
      <c r="L17" s="287"/>
      <c r="M17" s="9">
        <f t="shared" si="0"/>
        <v>0</v>
      </c>
      <c r="N17" s="217"/>
      <c r="O17" s="217"/>
      <c r="P17" s="217"/>
      <c r="Q17" s="214">
        <f t="shared" si="1"/>
        <v>0</v>
      </c>
      <c r="R17" s="231"/>
    </row>
    <row r="18" spans="1:20" ht="15" thickBot="1" x14ac:dyDescent="0.35">
      <c r="A18" s="39">
        <v>562.39</v>
      </c>
      <c r="B18" s="40" t="s">
        <v>53</v>
      </c>
      <c r="C18" s="15">
        <v>87092</v>
      </c>
      <c r="D18" s="14">
        <f t="shared" si="2"/>
        <v>80669</v>
      </c>
      <c r="E18" s="231"/>
      <c r="F18" s="276">
        <f>49723+30946</f>
        <v>80669</v>
      </c>
      <c r="G18" s="228"/>
      <c r="H18" s="231"/>
      <c r="I18" s="219"/>
      <c r="J18" s="287"/>
      <c r="K18" s="287"/>
      <c r="L18" s="287"/>
      <c r="M18" s="9">
        <f t="shared" si="0"/>
        <v>0</v>
      </c>
      <c r="N18" s="217"/>
      <c r="O18" s="217"/>
      <c r="P18" s="217"/>
      <c r="Q18" s="214">
        <f t="shared" si="1"/>
        <v>0</v>
      </c>
      <c r="R18" s="231"/>
    </row>
    <row r="19" spans="1:20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87"/>
      <c r="K19" s="287"/>
      <c r="L19" s="28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</row>
    <row r="20" spans="1:20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87"/>
      <c r="K20" s="287"/>
      <c r="L20" s="28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</row>
    <row r="21" spans="1:20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87"/>
      <c r="K21" s="287"/>
      <c r="L21" s="28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</row>
    <row r="22" spans="1:20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87"/>
      <c r="K22" s="287"/>
      <c r="L22" s="28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</row>
    <row r="23" spans="1:20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87"/>
      <c r="K23" s="287"/>
      <c r="L23" s="28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</row>
    <row r="24" spans="1:20" ht="15" thickBot="1" x14ac:dyDescent="0.35">
      <c r="A24" s="39">
        <v>562.49</v>
      </c>
      <c r="B24" s="82" t="s">
        <v>87</v>
      </c>
      <c r="C24" s="15">
        <v>27590</v>
      </c>
      <c r="D24" s="14">
        <f t="shared" si="2"/>
        <v>19889</v>
      </c>
      <c r="E24" s="231"/>
      <c r="F24" s="276">
        <f>11008+8881</f>
        <v>19889</v>
      </c>
      <c r="G24" s="228"/>
      <c r="H24" s="231"/>
      <c r="I24" s="219"/>
      <c r="J24" s="287"/>
      <c r="K24" s="287"/>
      <c r="L24" s="28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</row>
    <row r="25" spans="1:20" ht="15" thickBot="1" x14ac:dyDescent="0.35">
      <c r="A25" s="39">
        <v>562.52</v>
      </c>
      <c r="B25" s="40" t="s">
        <v>56</v>
      </c>
      <c r="C25" s="15">
        <v>59359</v>
      </c>
      <c r="D25" s="14">
        <f t="shared" si="2"/>
        <v>70747</v>
      </c>
      <c r="E25" s="231"/>
      <c r="F25" s="257"/>
      <c r="G25" s="228"/>
      <c r="H25" s="231"/>
      <c r="I25" s="219"/>
      <c r="J25" s="287"/>
      <c r="K25" s="287"/>
      <c r="L25" s="287"/>
      <c r="M25" s="9">
        <f t="shared" si="0"/>
        <v>0</v>
      </c>
      <c r="N25" s="217"/>
      <c r="O25" s="217">
        <f>53997+15000+1750</f>
        <v>70747</v>
      </c>
      <c r="P25" s="217"/>
      <c r="Q25" s="214">
        <f t="shared" si="1"/>
        <v>70747</v>
      </c>
      <c r="R25" s="231"/>
    </row>
    <row r="26" spans="1:20" ht="15" thickBot="1" x14ac:dyDescent="0.35">
      <c r="A26" s="39">
        <v>562.53</v>
      </c>
      <c r="B26" s="82" t="s">
        <v>99</v>
      </c>
      <c r="C26" s="15">
        <v>141117</v>
      </c>
      <c r="D26" s="14">
        <f t="shared" si="2"/>
        <v>226730</v>
      </c>
      <c r="E26" s="231"/>
      <c r="F26" s="257"/>
      <c r="G26" s="228">
        <f>119264+19027</f>
        <v>138291</v>
      </c>
      <c r="H26" s="231"/>
      <c r="I26" s="219"/>
      <c r="J26" s="287"/>
      <c r="K26" s="287"/>
      <c r="L26" s="287"/>
      <c r="M26" s="9">
        <f t="shared" si="0"/>
        <v>0</v>
      </c>
      <c r="N26" s="217"/>
      <c r="O26" s="217">
        <v>88439</v>
      </c>
      <c r="P26" s="217"/>
      <c r="Q26" s="214">
        <f t="shared" si="1"/>
        <v>88439</v>
      </c>
      <c r="R26" s="231"/>
    </row>
    <row r="27" spans="1:20" ht="15" thickBot="1" x14ac:dyDescent="0.35">
      <c r="A27" s="39">
        <v>562.54</v>
      </c>
      <c r="B27" s="82" t="s">
        <v>100</v>
      </c>
      <c r="C27" s="15">
        <v>434243</v>
      </c>
      <c r="D27" s="14">
        <f t="shared" si="2"/>
        <v>311563</v>
      </c>
      <c r="E27" s="231">
        <v>18685</v>
      </c>
      <c r="F27" s="257"/>
      <c r="G27" s="228"/>
      <c r="H27" s="231"/>
      <c r="I27" s="219">
        <v>18301</v>
      </c>
      <c r="J27" s="287"/>
      <c r="K27" s="287"/>
      <c r="L27" s="287"/>
      <c r="M27" s="9">
        <f t="shared" si="0"/>
        <v>0</v>
      </c>
      <c r="N27" s="217">
        <f>238829+7627</f>
        <v>246456</v>
      </c>
      <c r="O27" s="217">
        <f>22160+5961</f>
        <v>28121</v>
      </c>
      <c r="P27" s="217"/>
      <c r="Q27" s="214">
        <f t="shared" si="1"/>
        <v>274577</v>
      </c>
      <c r="R27" s="231"/>
    </row>
    <row r="28" spans="1:20" ht="15" thickBot="1" x14ac:dyDescent="0.35">
      <c r="A28" s="39">
        <v>562.54999999999995</v>
      </c>
      <c r="B28" s="40" t="s">
        <v>57</v>
      </c>
      <c r="C28" s="15"/>
      <c r="D28" s="14">
        <f t="shared" si="2"/>
        <v>0</v>
      </c>
      <c r="E28" s="231"/>
      <c r="F28" s="257"/>
      <c r="G28" s="228"/>
      <c r="H28" s="231"/>
      <c r="I28" s="219"/>
      <c r="J28" s="287"/>
      <c r="K28" s="287"/>
      <c r="L28" s="28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</row>
    <row r="29" spans="1:20" ht="15" thickBot="1" x14ac:dyDescent="0.35">
      <c r="A29" s="39">
        <v>562.55999999999995</v>
      </c>
      <c r="B29" s="40" t="s">
        <v>58</v>
      </c>
      <c r="C29" s="15">
        <v>222493</v>
      </c>
      <c r="D29" s="14">
        <f t="shared" si="2"/>
        <v>296375</v>
      </c>
      <c r="E29" s="231"/>
      <c r="F29" s="257"/>
      <c r="G29" s="228"/>
      <c r="H29" s="231"/>
      <c r="I29" s="219"/>
      <c r="J29" s="287"/>
      <c r="K29" s="287"/>
      <c r="L29" s="287"/>
      <c r="M29" s="9">
        <f t="shared" si="0"/>
        <v>0</v>
      </c>
      <c r="N29" s="217">
        <v>296375</v>
      </c>
      <c r="O29" s="217"/>
      <c r="P29" s="217"/>
      <c r="Q29" s="214">
        <f t="shared" si="1"/>
        <v>296375</v>
      </c>
      <c r="R29" s="231"/>
    </row>
    <row r="30" spans="1:20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87"/>
      <c r="K30" s="287"/>
      <c r="L30" s="28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</row>
    <row r="31" spans="1:20" ht="15" thickBot="1" x14ac:dyDescent="0.35">
      <c r="A31" s="39">
        <v>562.58000000000004</v>
      </c>
      <c r="B31" s="82" t="s">
        <v>88</v>
      </c>
      <c r="C31" s="15">
        <v>31014</v>
      </c>
      <c r="D31" s="14">
        <f t="shared" si="2"/>
        <v>25881</v>
      </c>
      <c r="E31" s="231"/>
      <c r="F31" s="257"/>
      <c r="G31" s="228"/>
      <c r="H31" s="231"/>
      <c r="I31" s="219"/>
      <c r="J31" s="287"/>
      <c r="K31" s="287"/>
      <c r="L31" s="287"/>
      <c r="M31" s="9">
        <f t="shared" si="0"/>
        <v>0</v>
      </c>
      <c r="N31" s="217">
        <v>25365</v>
      </c>
      <c r="O31" s="217"/>
      <c r="P31" s="217"/>
      <c r="Q31" s="214">
        <f t="shared" si="1"/>
        <v>25365</v>
      </c>
      <c r="R31" s="231">
        <v>516</v>
      </c>
      <c r="S31" s="199">
        <v>367.11</v>
      </c>
      <c r="T31" s="200">
        <v>516</v>
      </c>
    </row>
    <row r="32" spans="1:20" ht="15" thickBot="1" x14ac:dyDescent="0.35">
      <c r="A32" s="39">
        <v>562.59</v>
      </c>
      <c r="B32" s="82" t="s">
        <v>89</v>
      </c>
      <c r="C32" s="15">
        <v>31130</v>
      </c>
      <c r="D32" s="14">
        <f t="shared" si="2"/>
        <v>67534</v>
      </c>
      <c r="E32" s="231"/>
      <c r="F32" s="257"/>
      <c r="G32" s="228"/>
      <c r="H32" s="231">
        <v>67534</v>
      </c>
      <c r="I32" s="219"/>
      <c r="J32" s="288"/>
      <c r="K32" s="288"/>
      <c r="L32" s="288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</row>
    <row r="33" spans="1:18" ht="15" thickBot="1" x14ac:dyDescent="0.35">
      <c r="A33" s="39">
        <v>562.6</v>
      </c>
      <c r="B33" s="40" t="s">
        <v>59</v>
      </c>
      <c r="C33" s="15">
        <v>229321</v>
      </c>
      <c r="D33" s="14">
        <f t="shared" si="2"/>
        <v>461098</v>
      </c>
      <c r="E33" s="231">
        <v>3334</v>
      </c>
      <c r="F33" s="257"/>
      <c r="G33" s="228"/>
      <c r="H33" s="231">
        <f>12446+108721</f>
        <v>121167</v>
      </c>
      <c r="I33" s="219"/>
      <c r="J33" s="287"/>
      <c r="K33" s="287"/>
      <c r="L33" s="287"/>
      <c r="M33" s="9">
        <f t="shared" si="0"/>
        <v>0</v>
      </c>
      <c r="N33" s="217"/>
      <c r="O33" s="217">
        <v>336597</v>
      </c>
      <c r="P33" s="217"/>
      <c r="Q33" s="214">
        <f t="shared" si="1"/>
        <v>336597</v>
      </c>
      <c r="R33" s="231"/>
    </row>
    <row r="34" spans="1:18" ht="15" thickBot="1" x14ac:dyDescent="0.35">
      <c r="A34" s="39">
        <v>562.71</v>
      </c>
      <c r="B34" s="40" t="s">
        <v>60</v>
      </c>
      <c r="C34" s="15">
        <v>28407</v>
      </c>
      <c r="D34" s="14">
        <f t="shared" si="2"/>
        <v>22957</v>
      </c>
      <c r="E34" s="231"/>
      <c r="F34" s="257"/>
      <c r="G34" s="228"/>
      <c r="H34" s="231"/>
      <c r="I34" s="219"/>
      <c r="J34" s="287"/>
      <c r="K34" s="287"/>
      <c r="L34" s="287"/>
      <c r="M34" s="9">
        <f t="shared" si="0"/>
        <v>0</v>
      </c>
      <c r="N34" s="217"/>
      <c r="O34" s="217">
        <v>22957</v>
      </c>
      <c r="P34" s="217"/>
      <c r="Q34" s="214">
        <f t="shared" si="1"/>
        <v>22957</v>
      </c>
      <c r="R34" s="231"/>
    </row>
    <row r="35" spans="1:18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87"/>
      <c r="K35" s="287"/>
      <c r="L35" s="28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</row>
    <row r="36" spans="1:18" ht="15" thickBot="1" x14ac:dyDescent="0.35">
      <c r="A36" s="39">
        <v>562.73</v>
      </c>
      <c r="B36" s="40" t="s">
        <v>62</v>
      </c>
      <c r="C36" s="15">
        <v>8242</v>
      </c>
      <c r="D36" s="14">
        <f t="shared" si="2"/>
        <v>11616</v>
      </c>
      <c r="E36" s="231"/>
      <c r="F36" s="257"/>
      <c r="G36" s="228"/>
      <c r="H36" s="231"/>
      <c r="I36" s="219">
        <v>11616</v>
      </c>
      <c r="J36" s="287"/>
      <c r="K36" s="287"/>
      <c r="L36" s="28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</row>
    <row r="37" spans="1:18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87"/>
      <c r="K37" s="287"/>
      <c r="L37" s="28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</row>
    <row r="38" spans="1:18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87"/>
      <c r="K38" s="287"/>
      <c r="L38" s="28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</row>
    <row r="39" spans="1:18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87"/>
      <c r="K39" s="287"/>
      <c r="L39" s="28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</row>
    <row r="40" spans="1:18" ht="15" thickBot="1" x14ac:dyDescent="0.35">
      <c r="A40" s="39">
        <v>562.79999999999995</v>
      </c>
      <c r="B40" s="40" t="s">
        <v>65</v>
      </c>
      <c r="C40" s="15">
        <v>110132</v>
      </c>
      <c r="D40" s="14">
        <f t="shared" si="2"/>
        <v>132418</v>
      </c>
      <c r="E40" s="231"/>
      <c r="F40" s="257">
        <v>87418</v>
      </c>
      <c r="G40" s="228"/>
      <c r="H40" s="231">
        <f>10000+8259+26741</f>
        <v>45000</v>
      </c>
      <c r="I40" s="219"/>
      <c r="J40" s="287"/>
      <c r="K40" s="287"/>
      <c r="L40" s="28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</row>
    <row r="41" spans="1:18" ht="15" thickBot="1" x14ac:dyDescent="0.35">
      <c r="A41" s="39">
        <v>562.88</v>
      </c>
      <c r="B41" s="82" t="s">
        <v>91</v>
      </c>
      <c r="C41" s="15">
        <v>20717</v>
      </c>
      <c r="D41" s="14">
        <f t="shared" si="2"/>
        <v>15290</v>
      </c>
      <c r="E41" s="231"/>
      <c r="F41" s="257"/>
      <c r="G41" s="228"/>
      <c r="H41" s="231">
        <v>15290</v>
      </c>
      <c r="I41" s="219"/>
      <c r="J41" s="287"/>
      <c r="K41" s="287"/>
      <c r="L41" s="287"/>
      <c r="M41" s="9">
        <f t="shared" si="0"/>
        <v>0</v>
      </c>
      <c r="N41" s="217"/>
      <c r="O41" s="217"/>
      <c r="P41" s="217"/>
      <c r="Q41" s="214">
        <f t="shared" si="1"/>
        <v>0</v>
      </c>
      <c r="R41" s="231"/>
    </row>
    <row r="42" spans="1:18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87"/>
      <c r="K42" s="287"/>
      <c r="L42" s="28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</row>
    <row r="43" spans="1:18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89"/>
      <c r="K43" s="289"/>
      <c r="L43" s="289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</row>
    <row r="44" spans="1:18" x14ac:dyDescent="0.3">
      <c r="A44" s="206" t="s">
        <v>110</v>
      </c>
      <c r="B44" s="207" t="s">
        <v>68</v>
      </c>
      <c r="C44" s="208">
        <f>SUM(C5:C43)</f>
        <v>2699715</v>
      </c>
      <c r="D44" s="205">
        <f>E44+F44+G44+H44+I44+M44+Q44+R44</f>
        <v>2767249</v>
      </c>
      <c r="E44" s="233">
        <f t="shared" ref="E44:R44" si="3">SUM(E5:E43)</f>
        <v>22019</v>
      </c>
      <c r="F44" s="259">
        <f t="shared" si="3"/>
        <v>255224</v>
      </c>
      <c r="G44" s="223">
        <f t="shared" si="3"/>
        <v>148091</v>
      </c>
      <c r="H44" s="233">
        <f t="shared" si="3"/>
        <v>573705</v>
      </c>
      <c r="I44" s="239">
        <f t="shared" si="3"/>
        <v>29917</v>
      </c>
      <c r="J44" s="245">
        <f>SUM(J5:J43)</f>
        <v>0</v>
      </c>
      <c r="K44" s="245">
        <f>SUM(K5:K43)</f>
        <v>0</v>
      </c>
      <c r="L44" s="245">
        <f>SUM(L5:L43)</f>
        <v>459148</v>
      </c>
      <c r="M44" s="208">
        <f t="shared" si="3"/>
        <v>459148</v>
      </c>
      <c r="N44" s="245">
        <f>SUM(N5:N43)</f>
        <v>568196</v>
      </c>
      <c r="O44" s="245">
        <f>SUM(O5:O43)</f>
        <v>710416</v>
      </c>
      <c r="P44" s="245">
        <f>SUM(P5:P43)</f>
        <v>0</v>
      </c>
      <c r="Q44" s="216">
        <f t="shared" si="3"/>
        <v>1278612</v>
      </c>
      <c r="R44" s="233">
        <f t="shared" si="3"/>
        <v>533</v>
      </c>
    </row>
    <row r="45" spans="1:18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87"/>
      <c r="K45" s="287"/>
      <c r="L45" s="28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</row>
    <row r="46" spans="1:18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87"/>
      <c r="K46" s="287"/>
      <c r="L46" s="28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</row>
    <row r="47" spans="1:18" ht="15" thickBot="1" x14ac:dyDescent="0.35">
      <c r="A47" s="39">
        <v>527.70000000000005</v>
      </c>
      <c r="B47" s="40" t="s">
        <v>71</v>
      </c>
      <c r="C47" s="15">
        <v>17189</v>
      </c>
      <c r="D47" s="14">
        <f t="shared" si="2"/>
        <v>20759</v>
      </c>
      <c r="E47" s="231"/>
      <c r="F47" s="257"/>
      <c r="G47" s="228"/>
      <c r="H47" s="231"/>
      <c r="I47" s="219"/>
      <c r="J47" s="287"/>
      <c r="K47" s="287"/>
      <c r="L47" s="287"/>
      <c r="M47" s="9">
        <f t="shared" si="0"/>
        <v>0</v>
      </c>
      <c r="N47" s="217"/>
      <c r="O47" s="217">
        <v>20759</v>
      </c>
      <c r="P47" s="217"/>
      <c r="Q47" s="214">
        <f t="shared" si="1"/>
        <v>20759</v>
      </c>
      <c r="R47" s="231"/>
    </row>
    <row r="48" spans="1:18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87"/>
      <c r="K48" s="287"/>
      <c r="L48" s="28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</row>
    <row r="49" spans="1:18" ht="15" thickBot="1" x14ac:dyDescent="0.35">
      <c r="A49" s="39">
        <v>554</v>
      </c>
      <c r="B49" s="82" t="s">
        <v>102</v>
      </c>
      <c r="C49" s="15">
        <v>5221</v>
      </c>
      <c r="D49" s="14">
        <f t="shared" si="2"/>
        <v>6124</v>
      </c>
      <c r="E49" s="231"/>
      <c r="F49" s="257"/>
      <c r="G49" s="228">
        <v>6124</v>
      </c>
      <c r="H49" s="231"/>
      <c r="I49" s="219"/>
      <c r="J49" s="287"/>
      <c r="K49" s="287"/>
      <c r="L49" s="28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</row>
    <row r="50" spans="1:18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87"/>
      <c r="K50" s="287"/>
      <c r="L50" s="28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</row>
    <row r="51" spans="1:18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87"/>
      <c r="K51" s="287"/>
      <c r="L51" s="28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</row>
    <row r="52" spans="1:18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87"/>
      <c r="K52" s="287"/>
      <c r="L52" s="28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</row>
    <row r="53" spans="1:18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87"/>
      <c r="K53" s="287"/>
      <c r="L53" s="28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</row>
    <row r="54" spans="1:18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87">
        <v>0</v>
      </c>
      <c r="K54" s="287"/>
      <c r="L54" s="28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</row>
    <row r="55" spans="1:18" x14ac:dyDescent="0.3">
      <c r="A55" s="41">
        <v>500</v>
      </c>
      <c r="B55" s="32" t="s">
        <v>118</v>
      </c>
      <c r="C55" s="18">
        <f>23429+529059</f>
        <v>552488</v>
      </c>
      <c r="D55" s="20">
        <f t="shared" si="2"/>
        <v>514635</v>
      </c>
      <c r="E55" s="232"/>
      <c r="F55" s="258"/>
      <c r="G55" s="229">
        <f>10396+1661</f>
        <v>12057</v>
      </c>
      <c r="H55" s="232">
        <f>8966+103729</f>
        <v>112695</v>
      </c>
      <c r="I55" s="220">
        <f>32388+19965+63599</f>
        <v>115952</v>
      </c>
      <c r="J55" s="289"/>
      <c r="K55" s="289"/>
      <c r="L55" s="289"/>
      <c r="M55" s="198">
        <f t="shared" si="0"/>
        <v>0</v>
      </c>
      <c r="N55" s="244">
        <f>25411+248520</f>
        <v>273931</v>
      </c>
      <c r="O55" s="244"/>
      <c r="P55" s="244"/>
      <c r="Q55" s="215">
        <f t="shared" si="1"/>
        <v>273931</v>
      </c>
      <c r="R55" s="232"/>
    </row>
    <row r="56" spans="1:18" ht="15" thickBot="1" x14ac:dyDescent="0.35">
      <c r="A56" s="107"/>
      <c r="B56" s="108" t="s">
        <v>80</v>
      </c>
      <c r="C56" s="111">
        <f>SUM(C44:C55)</f>
        <v>3274613</v>
      </c>
      <c r="D56" s="110">
        <f>E56+F56+G56+H56+I56+M56+Q56+R56</f>
        <v>3308767</v>
      </c>
      <c r="E56" s="235">
        <f t="shared" ref="E56:R56" si="4">SUM(E44:E55)</f>
        <v>22019</v>
      </c>
      <c r="F56" s="260">
        <f t="shared" si="4"/>
        <v>255224</v>
      </c>
      <c r="G56" s="225">
        <f t="shared" si="4"/>
        <v>166272</v>
      </c>
      <c r="H56" s="235">
        <f t="shared" si="4"/>
        <v>686400</v>
      </c>
      <c r="I56" s="240">
        <f t="shared" si="4"/>
        <v>145869</v>
      </c>
      <c r="J56" s="218">
        <f>SUM(J44:J55)</f>
        <v>0</v>
      </c>
      <c r="K56" s="218">
        <f>SUM(K44:K55)</f>
        <v>0</v>
      </c>
      <c r="L56" s="218">
        <f>SUM(L44:L55)</f>
        <v>459148</v>
      </c>
      <c r="M56" s="209">
        <f t="shared" si="4"/>
        <v>459148</v>
      </c>
      <c r="N56" s="218">
        <f>SUM(N44:N55)</f>
        <v>842127</v>
      </c>
      <c r="O56" s="218">
        <f>SUM(O44:O55)</f>
        <v>731175</v>
      </c>
      <c r="P56" s="218">
        <f>SUM(P44:P55)</f>
        <v>0</v>
      </c>
      <c r="Q56" s="218">
        <f t="shared" si="4"/>
        <v>1573302</v>
      </c>
      <c r="R56" s="235">
        <f t="shared" si="4"/>
        <v>533</v>
      </c>
    </row>
    <row r="57" spans="1:18" ht="15" thickTop="1" x14ac:dyDescent="0.3"/>
    <row r="58" spans="1:18" ht="15" thickBot="1" x14ac:dyDescent="0.35"/>
    <row r="59" spans="1:18" ht="15" thickBot="1" x14ac:dyDescent="0.35">
      <c r="B59" s="42" t="s">
        <v>109</v>
      </c>
      <c r="C59" s="43"/>
      <c r="D59" s="44"/>
    </row>
    <row r="60" spans="1:18" ht="15" thickTop="1" x14ac:dyDescent="0.3">
      <c r="B60" s="115"/>
      <c r="C60" s="116" t="s">
        <v>82</v>
      </c>
      <c r="D60" s="117" t="s">
        <v>78</v>
      </c>
    </row>
    <row r="61" spans="1:18" x14ac:dyDescent="0.3">
      <c r="B61" s="153" t="s">
        <v>108</v>
      </c>
      <c r="C61" s="45"/>
      <c r="D61" s="46"/>
    </row>
    <row r="62" spans="1:18" x14ac:dyDescent="0.3">
      <c r="B62" s="26" t="s">
        <v>3</v>
      </c>
      <c r="C62" s="47">
        <f>E56</f>
        <v>22019</v>
      </c>
      <c r="D62" s="48">
        <f>E56/D56</f>
        <v>6.6547448037290024E-3</v>
      </c>
    </row>
    <row r="63" spans="1:18" x14ac:dyDescent="0.3">
      <c r="B63" s="26" t="s">
        <v>4</v>
      </c>
      <c r="C63" s="49">
        <f>F56</f>
        <v>255224</v>
      </c>
      <c r="D63" s="48">
        <f>F56/D56</f>
        <v>7.7135682264722782E-2</v>
      </c>
    </row>
    <row r="64" spans="1:18" x14ac:dyDescent="0.3">
      <c r="B64" s="56" t="s">
        <v>79</v>
      </c>
      <c r="C64" s="50">
        <f>G56</f>
        <v>166272</v>
      </c>
      <c r="D64" s="51">
        <f>G56/D56</f>
        <v>5.0251951860013112E-2</v>
      </c>
    </row>
    <row r="65" spans="2:4" ht="15" thickBot="1" x14ac:dyDescent="0.35">
      <c r="B65" s="146" t="s">
        <v>115</v>
      </c>
      <c r="C65" s="52">
        <f>SUM(C62:C64)</f>
        <v>443515</v>
      </c>
      <c r="D65" s="53">
        <f>SUM(D62:D64)</f>
        <v>0.13404237892846491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686400</v>
      </c>
      <c r="D67" s="25">
        <f>H56/D56</f>
        <v>0.20744887748215574</v>
      </c>
    </row>
    <row r="68" spans="2:4" x14ac:dyDescent="0.3">
      <c r="B68" s="57" t="s">
        <v>7</v>
      </c>
      <c r="C68" s="27">
        <f>I56</f>
        <v>145869</v>
      </c>
      <c r="D68" s="28">
        <f>I56/D56</f>
        <v>4.4085606511428579E-2</v>
      </c>
    </row>
    <row r="69" spans="2:4" ht="15" thickBot="1" x14ac:dyDescent="0.35">
      <c r="B69" s="146" t="s">
        <v>116</v>
      </c>
      <c r="C69" s="52">
        <f>SUM(C67:C68)</f>
        <v>832269</v>
      </c>
      <c r="D69" s="53">
        <f>SUM(D67:D68)</f>
        <v>0.2515344839935843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459148</v>
      </c>
      <c r="D71" s="25">
        <f>M56/D56</f>
        <v>0.13876709964769354</v>
      </c>
    </row>
    <row r="72" spans="2:4" x14ac:dyDescent="0.3">
      <c r="B72" s="24" t="s">
        <v>8</v>
      </c>
      <c r="C72" s="23">
        <f>Q56</f>
        <v>1573302</v>
      </c>
      <c r="D72" s="25">
        <f>Q56/D56</f>
        <v>0.47549495023372756</v>
      </c>
    </row>
    <row r="73" spans="2:4" x14ac:dyDescent="0.3">
      <c r="B73" s="163" t="s">
        <v>83</v>
      </c>
      <c r="C73" s="27">
        <f>R56</f>
        <v>533</v>
      </c>
      <c r="D73" s="28">
        <f>R56/D56</f>
        <v>1.6108719652970427E-4</v>
      </c>
    </row>
    <row r="74" spans="2:4" ht="15" thickBot="1" x14ac:dyDescent="0.35">
      <c r="B74" s="146" t="s">
        <v>117</v>
      </c>
      <c r="C74" s="52">
        <f>SUM(C71:C73)</f>
        <v>2032983</v>
      </c>
      <c r="D74" s="53">
        <f>SUM(D71:D73)</f>
        <v>0.61442313707795082</v>
      </c>
    </row>
    <row r="75" spans="2:4" ht="15" thickBot="1" x14ac:dyDescent="0.35">
      <c r="B75" s="157" t="s">
        <v>80</v>
      </c>
      <c r="C75" s="158">
        <f>C65+C69+C74</f>
        <v>3308767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143" priority="7">
      <formula>ROW()=EVEN(ROW())</formula>
    </cfRule>
  </conditionalFormatting>
  <conditionalFormatting sqref="A55:B55">
    <cfRule type="expression" dxfId="142" priority="5">
      <formula>ROW()=EVEN(ROW())</formula>
    </cfRule>
  </conditionalFormatting>
  <conditionalFormatting sqref="A54:B54">
    <cfRule type="expression" dxfId="141" priority="4">
      <formula>ROW()=EVEN(ROW())</formula>
    </cfRule>
  </conditionalFormatting>
  <conditionalFormatting sqref="M45:M55">
    <cfRule type="expression" dxfId="140" priority="3">
      <formula>ROW()=EVEN(ROW())</formula>
    </cfRule>
  </conditionalFormatting>
  <conditionalFormatting sqref="D45:D55">
    <cfRule type="expression" dxfId="139" priority="2">
      <formula>ROW()=EVEN(ROW())</formula>
    </cfRule>
  </conditionalFormatting>
  <conditionalFormatting sqref="N44:P55">
    <cfRule type="expression" dxfId="138" priority="1">
      <formula>ROW()=EVEN(ROW())</formula>
    </cfRule>
  </conditionalFormatting>
  <printOptions horizontalCentered="1"/>
  <pageMargins left="0" right="0" top="1.1000000000000001" bottom="0.5" header="0.3" footer="0.3"/>
  <pageSetup scale="85" fitToHeight="0" orientation="landscape" r:id="rId1"/>
  <headerFooter>
    <oddHeader>&amp;C&amp;"-,Bold"&amp;20Funding by Expenditure Code and Revenue Source&amp;"-,Regular"&amp;11
&amp;"-,Bold"&amp;20 2014&amp;"-,Regular"&amp;11
&amp;"-,Bold"&amp;20ISLAND</oddHeader>
    <oddFooter>&amp;LRevised 11-4-16&amp;CPage &amp;P</oddFooter>
  </headerFooter>
  <rowBreaks count="1" manualBreakCount="1">
    <brk id="44" max="16383" man="1"/>
  </row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8"/>
  <sheetViews>
    <sheetView showZeros="0" topLeftCell="A4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0" x14ac:dyDescent="0.3">
      <c r="A1" s="22" t="s">
        <v>150</v>
      </c>
      <c r="B1" s="6"/>
      <c r="C1" s="31">
        <v>30700</v>
      </c>
      <c r="D1" s="4"/>
      <c r="E1" s="221"/>
      <c r="F1" s="221"/>
      <c r="G1" s="221">
        <f>1209.03+1021.28+498</f>
        <v>2728.31</v>
      </c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0" x14ac:dyDescent="0.3">
      <c r="A2" s="80" t="s">
        <v>44</v>
      </c>
      <c r="B2" s="5"/>
      <c r="C2" s="83">
        <v>35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147</v>
      </c>
    </row>
    <row r="3" spans="1:20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0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</row>
    <row r="5" spans="1:20" ht="15" thickBot="1" x14ac:dyDescent="0.35">
      <c r="A5" s="36">
        <v>562.1</v>
      </c>
      <c r="B5" s="37" t="s">
        <v>47</v>
      </c>
      <c r="C5" s="16">
        <v>554544</v>
      </c>
      <c r="D5" s="14">
        <f>E5+F5+G5+H5+I5+M5+Q5+R5</f>
        <v>554543.66</v>
      </c>
      <c r="E5" s="236">
        <v>0</v>
      </c>
      <c r="F5" s="256">
        <v>115093.8</v>
      </c>
      <c r="G5" s="227">
        <v>0</v>
      </c>
      <c r="H5" s="236">
        <v>45681.86</v>
      </c>
      <c r="I5" s="241"/>
      <c r="J5" s="214"/>
      <c r="K5" s="214"/>
      <c r="L5" s="214">
        <f>9756+23325</f>
        <v>33081</v>
      </c>
      <c r="M5" s="9">
        <f>SUM(J5:L5)</f>
        <v>33081</v>
      </c>
      <c r="N5" s="214"/>
      <c r="O5" s="214">
        <f>458+69969+75320+152255+38121+18012+187+457+22+65</f>
        <v>354866</v>
      </c>
      <c r="P5" s="214"/>
      <c r="Q5" s="214">
        <f>SUM(N5:P5)</f>
        <v>354866</v>
      </c>
      <c r="R5" s="236">
        <v>5821</v>
      </c>
      <c r="S5" s="199">
        <v>369.9</v>
      </c>
      <c r="T5" s="200">
        <v>5821</v>
      </c>
    </row>
    <row r="6" spans="1:20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</row>
    <row r="7" spans="1:20" ht="15" thickBot="1" x14ac:dyDescent="0.35">
      <c r="A7" s="39">
        <v>562.22</v>
      </c>
      <c r="B7" s="82" t="s">
        <v>92</v>
      </c>
      <c r="C7" s="15">
        <v>442131</v>
      </c>
      <c r="D7" s="14">
        <f t="shared" ref="D7:D55" si="2">E7+F7+G7+H7+I7+M7+Q7+R7</f>
        <v>410955.32</v>
      </c>
      <c r="E7" s="231"/>
      <c r="F7" s="257"/>
      <c r="G7" s="228">
        <v>159334.89000000001</v>
      </c>
      <c r="H7" s="231"/>
      <c r="I7" s="219"/>
      <c r="J7" s="217"/>
      <c r="K7" s="217"/>
      <c r="L7" s="217">
        <v>145967</v>
      </c>
      <c r="M7" s="9">
        <f t="shared" si="0"/>
        <v>145967</v>
      </c>
      <c r="N7" s="217"/>
      <c r="O7" s="217">
        <f>27240.84+29531.04+26594.89+22286.66</f>
        <v>105653.43000000001</v>
      </c>
      <c r="P7" s="217"/>
      <c r="Q7" s="214">
        <f t="shared" si="1"/>
        <v>105653.43000000001</v>
      </c>
      <c r="R7" s="231"/>
    </row>
    <row r="8" spans="1:20" ht="15" thickBot="1" x14ac:dyDescent="0.35">
      <c r="A8" s="39">
        <v>562.24</v>
      </c>
      <c r="B8" s="40" t="s">
        <v>49</v>
      </c>
      <c r="C8" s="15"/>
      <c r="D8" s="14">
        <f t="shared" si="2"/>
        <v>0</v>
      </c>
      <c r="E8" s="231"/>
      <c r="F8" s="257"/>
      <c r="G8" s="228"/>
      <c r="H8" s="231"/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/>
    </row>
    <row r="9" spans="1:20" ht="15" thickBot="1" x14ac:dyDescent="0.35">
      <c r="A9" s="39">
        <v>562.25</v>
      </c>
      <c r="B9" s="82" t="s">
        <v>93</v>
      </c>
      <c r="C9" s="15">
        <f>41083.94+6517.51</f>
        <v>47601.450000000004</v>
      </c>
      <c r="D9" s="14">
        <f t="shared" si="2"/>
        <v>47601.45</v>
      </c>
      <c r="E9" s="231"/>
      <c r="F9" s="257"/>
      <c r="G9" s="228"/>
      <c r="H9" s="231">
        <f>10641.45+36885</f>
        <v>47526.45</v>
      </c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>
        <v>75</v>
      </c>
      <c r="S9" s="199">
        <v>369.9</v>
      </c>
      <c r="T9" s="200">
        <v>75</v>
      </c>
    </row>
    <row r="10" spans="1:20" ht="15" thickBot="1" x14ac:dyDescent="0.35">
      <c r="A10" s="39">
        <v>562.26</v>
      </c>
      <c r="B10" s="82" t="s">
        <v>84</v>
      </c>
      <c r="C10" s="15">
        <v>475359</v>
      </c>
      <c r="D10" s="14">
        <f t="shared" si="2"/>
        <v>440414.71999999997</v>
      </c>
      <c r="E10" s="231">
        <v>64052.92</v>
      </c>
      <c r="F10" s="257"/>
      <c r="G10" s="228"/>
      <c r="H10" s="231">
        <v>37245.040000000001</v>
      </c>
      <c r="I10" s="219"/>
      <c r="J10" s="217"/>
      <c r="K10" s="217"/>
      <c r="L10" s="217">
        <v>39345</v>
      </c>
      <c r="M10" s="9">
        <f t="shared" si="0"/>
        <v>39345</v>
      </c>
      <c r="N10" s="217"/>
      <c r="O10" s="217">
        <f>6489.01+70890.34+221342.41</f>
        <v>298721.76</v>
      </c>
      <c r="P10" s="217"/>
      <c r="Q10" s="214">
        <f t="shared" si="1"/>
        <v>298721.76</v>
      </c>
      <c r="R10" s="231">
        <v>1050</v>
      </c>
      <c r="S10" s="199">
        <v>367</v>
      </c>
      <c r="T10" s="200">
        <v>1050</v>
      </c>
    </row>
    <row r="11" spans="1:20" ht="15" thickBot="1" x14ac:dyDescent="0.35">
      <c r="A11" s="39">
        <v>562.27</v>
      </c>
      <c r="B11" s="82" t="s">
        <v>85</v>
      </c>
      <c r="C11" s="15">
        <v>42583.64</v>
      </c>
      <c r="D11" s="14">
        <f t="shared" si="2"/>
        <v>36092.050000000003</v>
      </c>
      <c r="E11" s="231"/>
      <c r="F11" s="257"/>
      <c r="G11" s="228"/>
      <c r="H11" s="231">
        <v>24714.05</v>
      </c>
      <c r="I11" s="219"/>
      <c r="J11" s="217"/>
      <c r="K11" s="217"/>
      <c r="L11" s="217">
        <v>11378</v>
      </c>
      <c r="M11" s="9">
        <f t="shared" si="0"/>
        <v>11378</v>
      </c>
      <c r="N11" s="217"/>
      <c r="O11" s="217"/>
      <c r="P11" s="217"/>
      <c r="Q11" s="214">
        <f t="shared" si="1"/>
        <v>0</v>
      </c>
      <c r="R11" s="231"/>
    </row>
    <row r="12" spans="1:20" ht="15" thickBot="1" x14ac:dyDescent="0.35">
      <c r="A12" s="39">
        <v>562.28</v>
      </c>
      <c r="B12" s="82" t="s">
        <v>94</v>
      </c>
      <c r="C12" s="15">
        <v>139469.51</v>
      </c>
      <c r="D12" s="14">
        <f t="shared" si="2"/>
        <v>126273.13</v>
      </c>
      <c r="E12" s="231"/>
      <c r="F12" s="257"/>
      <c r="G12" s="228"/>
      <c r="H12" s="231">
        <f>110436.53+143+11705.6</f>
        <v>122285.13</v>
      </c>
      <c r="I12" s="219"/>
      <c r="J12" s="217"/>
      <c r="K12" s="217"/>
      <c r="L12" s="217">
        <v>3988</v>
      </c>
      <c r="M12" s="9">
        <f t="shared" si="0"/>
        <v>3988</v>
      </c>
      <c r="N12" s="217"/>
      <c r="O12" s="217"/>
      <c r="P12" s="217"/>
      <c r="Q12" s="214">
        <f t="shared" si="1"/>
        <v>0</v>
      </c>
      <c r="R12" s="231"/>
    </row>
    <row r="13" spans="1:20" ht="15" thickBot="1" x14ac:dyDescent="0.35">
      <c r="A13" s="39">
        <v>562.29</v>
      </c>
      <c r="B13" s="82" t="s">
        <v>86</v>
      </c>
      <c r="C13" s="15">
        <f>236637.83+35425</f>
        <v>272062.82999999996</v>
      </c>
      <c r="D13" s="14">
        <f t="shared" si="2"/>
        <v>272563.57</v>
      </c>
      <c r="E13" s="231"/>
      <c r="F13" s="257">
        <v>1224.92</v>
      </c>
      <c r="G13" s="228">
        <v>34261.65</v>
      </c>
      <c r="H13" s="231">
        <f>25500+12121+44694</f>
        <v>82315</v>
      </c>
      <c r="I13" s="219">
        <v>25500</v>
      </c>
      <c r="J13" s="217"/>
      <c r="K13" s="217"/>
      <c r="L13" s="217"/>
      <c r="M13" s="9">
        <f t="shared" si="0"/>
        <v>0</v>
      </c>
      <c r="N13" s="217"/>
      <c r="O13" s="217">
        <f>48869+14649+500+3043+47744+9525+3831</f>
        <v>128161</v>
      </c>
      <c r="P13" s="217"/>
      <c r="Q13" s="214">
        <f t="shared" si="1"/>
        <v>128161</v>
      </c>
      <c r="R13" s="231">
        <v>1101</v>
      </c>
      <c r="S13" s="199">
        <v>367</v>
      </c>
      <c r="T13" s="200">
        <v>1101</v>
      </c>
    </row>
    <row r="14" spans="1:20" ht="15" thickBot="1" x14ac:dyDescent="0.35">
      <c r="A14" s="39">
        <v>562.32000000000005</v>
      </c>
      <c r="B14" s="40" t="s">
        <v>50</v>
      </c>
      <c r="C14" s="15">
        <v>265922.65999999997</v>
      </c>
      <c r="D14" s="14">
        <f t="shared" si="2"/>
        <v>254732</v>
      </c>
      <c r="E14" s="231"/>
      <c r="F14" s="257">
        <v>37761</v>
      </c>
      <c r="G14" s="228"/>
      <c r="H14" s="231">
        <f>8134+928+2128</f>
        <v>11190</v>
      </c>
      <c r="I14" s="219"/>
      <c r="J14" s="217"/>
      <c r="K14" s="217"/>
      <c r="L14" s="217">
        <v>127858</v>
      </c>
      <c r="M14" s="9">
        <f t="shared" si="0"/>
        <v>127858</v>
      </c>
      <c r="N14" s="217"/>
      <c r="O14" s="217">
        <f>19557+49212+9154</f>
        <v>77923</v>
      </c>
      <c r="P14" s="217"/>
      <c r="Q14" s="214">
        <f t="shared" si="1"/>
        <v>77923</v>
      </c>
      <c r="R14" s="231"/>
    </row>
    <row r="15" spans="1:20" ht="15" thickBot="1" x14ac:dyDescent="0.35">
      <c r="A15" s="39">
        <v>562.33000000000004</v>
      </c>
      <c r="B15" s="82" t="s">
        <v>95</v>
      </c>
      <c r="C15" s="15">
        <v>28475.4</v>
      </c>
      <c r="D15" s="14">
        <f t="shared" si="2"/>
        <v>26499</v>
      </c>
      <c r="E15" s="231"/>
      <c r="F15" s="257"/>
      <c r="G15" s="228"/>
      <c r="H15" s="231"/>
      <c r="I15" s="219"/>
      <c r="J15" s="217"/>
      <c r="K15" s="217"/>
      <c r="L15" s="217">
        <v>15092</v>
      </c>
      <c r="M15" s="9">
        <f t="shared" si="0"/>
        <v>15092</v>
      </c>
      <c r="N15" s="217"/>
      <c r="O15" s="217">
        <f>2605+6185+2617</f>
        <v>11407</v>
      </c>
      <c r="P15" s="217"/>
      <c r="Q15" s="214">
        <f t="shared" si="1"/>
        <v>11407</v>
      </c>
      <c r="R15" s="231"/>
    </row>
    <row r="16" spans="1:20" ht="15" thickBot="1" x14ac:dyDescent="0.35">
      <c r="A16" s="39">
        <v>562.34</v>
      </c>
      <c r="B16" s="40" t="s">
        <v>51</v>
      </c>
      <c r="C16" s="15">
        <f>7112.63+281.88</f>
        <v>7394.51</v>
      </c>
      <c r="D16" s="14">
        <f t="shared" si="2"/>
        <v>7394</v>
      </c>
      <c r="E16" s="231"/>
      <c r="F16" s="257"/>
      <c r="G16" s="228"/>
      <c r="H16" s="231"/>
      <c r="I16" s="219"/>
      <c r="J16" s="217"/>
      <c r="K16" s="217"/>
      <c r="L16" s="217">
        <v>4666</v>
      </c>
      <c r="M16" s="9">
        <f t="shared" si="0"/>
        <v>4666</v>
      </c>
      <c r="N16" s="217"/>
      <c r="O16" s="217">
        <f>1209+1021+498</f>
        <v>2728</v>
      </c>
      <c r="P16" s="217"/>
      <c r="Q16" s="214">
        <f t="shared" si="1"/>
        <v>2728</v>
      </c>
      <c r="R16" s="231"/>
      <c r="T16" s="204"/>
    </row>
    <row r="17" spans="1:20" ht="15" thickBot="1" x14ac:dyDescent="0.35">
      <c r="A17" s="39">
        <v>562.35</v>
      </c>
      <c r="B17" s="40" t="s">
        <v>52</v>
      </c>
      <c r="C17" s="15">
        <f>12222.7+46.3</f>
        <v>12269</v>
      </c>
      <c r="D17" s="14">
        <f t="shared" si="2"/>
        <v>12269</v>
      </c>
      <c r="E17" s="231"/>
      <c r="F17" s="257"/>
      <c r="G17" s="228"/>
      <c r="H17" s="231"/>
      <c r="I17" s="219"/>
      <c r="J17" s="217"/>
      <c r="K17" s="217"/>
      <c r="L17" s="217">
        <v>12269</v>
      </c>
      <c r="M17" s="9">
        <f t="shared" si="0"/>
        <v>12269</v>
      </c>
      <c r="N17" s="217"/>
      <c r="O17" s="217"/>
      <c r="P17" s="217"/>
      <c r="Q17" s="214">
        <f t="shared" si="1"/>
        <v>0</v>
      </c>
      <c r="R17" s="231"/>
    </row>
    <row r="18" spans="1:20" ht="15" thickBot="1" x14ac:dyDescent="0.35">
      <c r="A18" s="39">
        <v>562.39</v>
      </c>
      <c r="B18" s="40" t="s">
        <v>53</v>
      </c>
      <c r="C18" s="15">
        <v>107268.71</v>
      </c>
      <c r="D18" s="14">
        <f t="shared" si="2"/>
        <v>107269</v>
      </c>
      <c r="E18" s="231"/>
      <c r="F18" s="257">
        <v>30000</v>
      </c>
      <c r="G18" s="228"/>
      <c r="H18" s="231"/>
      <c r="I18" s="219"/>
      <c r="J18" s="217"/>
      <c r="K18" s="217"/>
      <c r="L18" s="217">
        <v>77269</v>
      </c>
      <c r="M18" s="9">
        <f t="shared" si="0"/>
        <v>77269</v>
      </c>
      <c r="N18" s="217"/>
      <c r="O18" s="217"/>
      <c r="P18" s="217"/>
      <c r="Q18" s="214">
        <f t="shared" si="1"/>
        <v>0</v>
      </c>
      <c r="R18" s="231"/>
    </row>
    <row r="19" spans="1:20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</row>
    <row r="20" spans="1:20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</row>
    <row r="21" spans="1:20" ht="15" thickBot="1" x14ac:dyDescent="0.35">
      <c r="A21" s="39">
        <v>562.42999999999995</v>
      </c>
      <c r="B21" s="82" t="s">
        <v>96</v>
      </c>
      <c r="C21" s="15">
        <f>10305.93+3286.98</f>
        <v>13592.91</v>
      </c>
      <c r="D21" s="14">
        <f t="shared" si="2"/>
        <v>13592.91</v>
      </c>
      <c r="E21" s="231">
        <v>5910</v>
      </c>
      <c r="F21" s="257"/>
      <c r="G21" s="228"/>
      <c r="H21" s="231">
        <v>4229.41</v>
      </c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>
        <v>3453.5</v>
      </c>
      <c r="S21" s="199">
        <v>367</v>
      </c>
      <c r="T21" s="200">
        <v>3453.5</v>
      </c>
    </row>
    <row r="22" spans="1:20" ht="15" thickBot="1" x14ac:dyDescent="0.35">
      <c r="A22" s="39">
        <v>562.44000000000005</v>
      </c>
      <c r="B22" s="82" t="s">
        <v>97</v>
      </c>
      <c r="C22" s="15">
        <v>595</v>
      </c>
      <c r="D22" s="14">
        <f t="shared" si="2"/>
        <v>595</v>
      </c>
      <c r="E22" s="231"/>
      <c r="F22" s="257"/>
      <c r="G22" s="228"/>
      <c r="H22" s="231"/>
      <c r="I22" s="219"/>
      <c r="J22" s="217"/>
      <c r="K22" s="217"/>
      <c r="L22" s="217">
        <v>595</v>
      </c>
      <c r="M22" s="9">
        <f t="shared" si="0"/>
        <v>595</v>
      </c>
      <c r="N22" s="217"/>
      <c r="O22" s="217"/>
      <c r="P22" s="217"/>
      <c r="Q22" s="214">
        <f t="shared" si="1"/>
        <v>0</v>
      </c>
      <c r="R22" s="231"/>
    </row>
    <row r="23" spans="1:20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</row>
    <row r="24" spans="1:20" ht="15" thickBot="1" x14ac:dyDescent="0.35">
      <c r="A24" s="39">
        <v>562.49</v>
      </c>
      <c r="B24" s="82" t="s">
        <v>87</v>
      </c>
      <c r="C24" s="15"/>
      <c r="D24" s="14">
        <f t="shared" si="2"/>
        <v>0</v>
      </c>
      <c r="E24" s="231"/>
      <c r="F24" s="257"/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</row>
    <row r="25" spans="1:20" ht="15" thickBot="1" x14ac:dyDescent="0.35">
      <c r="A25" s="39">
        <v>562.52</v>
      </c>
      <c r="B25" s="40" t="s">
        <v>56</v>
      </c>
      <c r="C25" s="15">
        <v>55756.19</v>
      </c>
      <c r="D25" s="14">
        <f t="shared" si="2"/>
        <v>51656</v>
      </c>
      <c r="E25" s="231"/>
      <c r="F25" s="257"/>
      <c r="G25" s="228"/>
      <c r="H25" s="231"/>
      <c r="I25" s="219"/>
      <c r="J25" s="217"/>
      <c r="K25" s="217"/>
      <c r="L25" s="217">
        <v>29676</v>
      </c>
      <c r="M25" s="9">
        <f t="shared" si="0"/>
        <v>29676</v>
      </c>
      <c r="N25" s="217"/>
      <c r="O25" s="217">
        <f>9250+1800+1800+9130</f>
        <v>21980</v>
      </c>
      <c r="P25" s="217"/>
      <c r="Q25" s="214">
        <f t="shared" si="1"/>
        <v>21980</v>
      </c>
      <c r="R25" s="231"/>
    </row>
    <row r="26" spans="1:20" ht="15" thickBot="1" x14ac:dyDescent="0.35">
      <c r="A26" s="39">
        <v>562.53</v>
      </c>
      <c r="B26" s="82" t="s">
        <v>99</v>
      </c>
      <c r="C26" s="15">
        <f>278522.01+57740</f>
        <v>336262.01</v>
      </c>
      <c r="D26" s="14">
        <f t="shared" si="2"/>
        <v>336262.01</v>
      </c>
      <c r="E26" s="231"/>
      <c r="F26" s="257"/>
      <c r="G26" s="228">
        <v>218940.16</v>
      </c>
      <c r="H26" s="231"/>
      <c r="I26" s="219"/>
      <c r="J26" s="217"/>
      <c r="K26" s="217"/>
      <c r="L26" s="217">
        <v>17750</v>
      </c>
      <c r="M26" s="9">
        <f t="shared" si="0"/>
        <v>17750</v>
      </c>
      <c r="N26" s="217">
        <v>74315.5</v>
      </c>
      <c r="O26" s="217">
        <v>25256.35</v>
      </c>
      <c r="P26" s="217"/>
      <c r="Q26" s="214">
        <f t="shared" si="1"/>
        <v>99571.85</v>
      </c>
      <c r="R26" s="231"/>
    </row>
    <row r="27" spans="1:20" ht="15" thickBot="1" x14ac:dyDescent="0.35">
      <c r="A27" s="39">
        <v>562.54</v>
      </c>
      <c r="B27" s="82" t="s">
        <v>100</v>
      </c>
      <c r="C27" s="15">
        <v>326560.40999999997</v>
      </c>
      <c r="D27" s="14">
        <f t="shared" si="2"/>
        <v>196853</v>
      </c>
      <c r="E27" s="231">
        <v>39347</v>
      </c>
      <c r="F27" s="257"/>
      <c r="G27" s="228"/>
      <c r="H27" s="231"/>
      <c r="I27" s="219"/>
      <c r="J27" s="217"/>
      <c r="K27" s="217"/>
      <c r="L27" s="217">
        <v>90000</v>
      </c>
      <c r="M27" s="9">
        <f t="shared" si="0"/>
        <v>90000</v>
      </c>
      <c r="N27" s="217"/>
      <c r="O27" s="217">
        <f>30048+37458</f>
        <v>67506</v>
      </c>
      <c r="P27" s="217"/>
      <c r="Q27" s="214">
        <f t="shared" si="1"/>
        <v>67506</v>
      </c>
      <c r="R27" s="231"/>
    </row>
    <row r="28" spans="1:20" ht="15" thickBot="1" x14ac:dyDescent="0.35">
      <c r="A28" s="39">
        <v>562.54999999999995</v>
      </c>
      <c r="B28" s="40" t="s">
        <v>57</v>
      </c>
      <c r="C28" s="15"/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</row>
    <row r="29" spans="1:20" ht="15" thickBot="1" x14ac:dyDescent="0.35">
      <c r="A29" s="39">
        <v>562.55999999999995</v>
      </c>
      <c r="B29" s="40" t="s">
        <v>58</v>
      </c>
      <c r="C29" s="15">
        <v>131335.01</v>
      </c>
      <c r="D29" s="14">
        <f t="shared" si="2"/>
        <v>131262</v>
      </c>
      <c r="E29" s="231"/>
      <c r="F29" s="257"/>
      <c r="G29" s="228"/>
      <c r="H29" s="231"/>
      <c r="I29" s="219"/>
      <c r="J29" s="217"/>
      <c r="K29" s="217"/>
      <c r="L29" s="217">
        <v>17500</v>
      </c>
      <c r="M29" s="9">
        <f t="shared" si="0"/>
        <v>17500</v>
      </c>
      <c r="N29" s="217">
        <v>104105</v>
      </c>
      <c r="O29" s="217">
        <v>9657</v>
      </c>
      <c r="P29" s="217"/>
      <c r="Q29" s="214">
        <f t="shared" si="1"/>
        <v>113762</v>
      </c>
      <c r="R29" s="231"/>
    </row>
    <row r="30" spans="1:20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</row>
    <row r="31" spans="1:20" ht="15" thickBot="1" x14ac:dyDescent="0.35">
      <c r="A31" s="39">
        <v>562.58000000000004</v>
      </c>
      <c r="B31" s="82" t="s">
        <v>88</v>
      </c>
      <c r="C31" s="15">
        <v>10312.86</v>
      </c>
      <c r="D31" s="14">
        <f t="shared" si="2"/>
        <v>10255</v>
      </c>
      <c r="E31" s="231"/>
      <c r="F31" s="257"/>
      <c r="G31" s="228"/>
      <c r="H31" s="231"/>
      <c r="I31" s="219"/>
      <c r="J31" s="217"/>
      <c r="K31" s="217"/>
      <c r="L31" s="217">
        <v>5243</v>
      </c>
      <c r="M31" s="9">
        <f t="shared" si="0"/>
        <v>5243</v>
      </c>
      <c r="N31" s="217">
        <v>4878</v>
      </c>
      <c r="O31" s="217">
        <v>134</v>
      </c>
      <c r="P31" s="217"/>
      <c r="Q31" s="214">
        <f t="shared" si="1"/>
        <v>5012</v>
      </c>
      <c r="R31" s="231"/>
    </row>
    <row r="32" spans="1:20" ht="15" thickBot="1" x14ac:dyDescent="0.35">
      <c r="A32" s="39">
        <v>562.59</v>
      </c>
      <c r="B32" s="82" t="s">
        <v>89</v>
      </c>
      <c r="C32" s="15">
        <v>271025</v>
      </c>
      <c r="D32" s="14">
        <f t="shared" si="2"/>
        <v>271025.13</v>
      </c>
      <c r="E32" s="231"/>
      <c r="F32" s="257"/>
      <c r="G32" s="228"/>
      <c r="H32" s="231">
        <v>75995.490000000005</v>
      </c>
      <c r="I32" s="219">
        <v>195029.64</v>
      </c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</row>
    <row r="33" spans="1:18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</row>
    <row r="34" spans="1:18" ht="15" thickBot="1" x14ac:dyDescent="0.35">
      <c r="A34" s="39">
        <v>562.71</v>
      </c>
      <c r="B34" s="40" t="s">
        <v>60</v>
      </c>
      <c r="C34" s="15">
        <v>14322.65</v>
      </c>
      <c r="D34" s="14">
        <f t="shared" si="2"/>
        <v>14322.65</v>
      </c>
      <c r="E34" s="231"/>
      <c r="F34" s="257"/>
      <c r="G34" s="228"/>
      <c r="H34" s="231"/>
      <c r="I34" s="219"/>
      <c r="J34" s="217"/>
      <c r="K34" s="217"/>
      <c r="L34" s="217">
        <v>3746.65</v>
      </c>
      <c r="M34" s="9">
        <f t="shared" si="0"/>
        <v>3746.65</v>
      </c>
      <c r="N34" s="217"/>
      <c r="O34" s="217">
        <v>10576</v>
      </c>
      <c r="P34" s="217"/>
      <c r="Q34" s="214">
        <f t="shared" si="1"/>
        <v>10576</v>
      </c>
      <c r="R34" s="231"/>
    </row>
    <row r="35" spans="1:18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</row>
    <row r="36" spans="1:18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</row>
    <row r="37" spans="1:18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</row>
    <row r="38" spans="1:18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</row>
    <row r="39" spans="1:18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</row>
    <row r="40" spans="1:18" ht="15" thickBot="1" x14ac:dyDescent="0.35">
      <c r="A40" s="39">
        <v>562.79999999999995</v>
      </c>
      <c r="B40" s="40" t="s">
        <v>65</v>
      </c>
      <c r="C40" s="15">
        <v>37956.11</v>
      </c>
      <c r="D40" s="14">
        <f t="shared" si="2"/>
        <v>37956.400000000001</v>
      </c>
      <c r="E40" s="231"/>
      <c r="F40" s="257"/>
      <c r="G40" s="228"/>
      <c r="H40" s="231"/>
      <c r="I40" s="219"/>
      <c r="J40" s="217"/>
      <c r="K40" s="217"/>
      <c r="L40" s="217">
        <v>12855</v>
      </c>
      <c r="M40" s="9">
        <f t="shared" si="0"/>
        <v>12855</v>
      </c>
      <c r="N40" s="217"/>
      <c r="O40" s="217">
        <f>14357+10744.4</f>
        <v>25101.4</v>
      </c>
      <c r="P40" s="217"/>
      <c r="Q40" s="214">
        <f t="shared" si="1"/>
        <v>25101.4</v>
      </c>
      <c r="R40" s="231"/>
    </row>
    <row r="41" spans="1:18" ht="15" thickBot="1" x14ac:dyDescent="0.35">
      <c r="A41" s="39">
        <v>562.88</v>
      </c>
      <c r="B41" s="82" t="s">
        <v>91</v>
      </c>
      <c r="C41" s="15">
        <f>38625.88+486.29</f>
        <v>39112.17</v>
      </c>
      <c r="D41" s="14">
        <f t="shared" si="2"/>
        <v>39112</v>
      </c>
      <c r="E41" s="231"/>
      <c r="F41" s="257"/>
      <c r="G41" s="228"/>
      <c r="H41" s="231">
        <v>39112</v>
      </c>
      <c r="I41" s="219"/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/>
    </row>
    <row r="42" spans="1:18" ht="15" thickBot="1" x14ac:dyDescent="0.35">
      <c r="A42" s="39">
        <v>562.9</v>
      </c>
      <c r="B42" s="40" t="s">
        <v>66</v>
      </c>
      <c r="C42" s="15">
        <v>1157.01</v>
      </c>
      <c r="D42" s="14">
        <f t="shared" si="2"/>
        <v>1157</v>
      </c>
      <c r="E42" s="231"/>
      <c r="F42" s="257"/>
      <c r="G42" s="228"/>
      <c r="H42" s="231"/>
      <c r="I42" s="219"/>
      <c r="J42" s="217"/>
      <c r="K42" s="217"/>
      <c r="L42" s="217">
        <v>1157</v>
      </c>
      <c r="M42" s="9">
        <f t="shared" si="0"/>
        <v>1157</v>
      </c>
      <c r="N42" s="217"/>
      <c r="O42" s="217"/>
      <c r="P42" s="217"/>
      <c r="Q42" s="214">
        <f t="shared" si="1"/>
        <v>0</v>
      </c>
      <c r="R42" s="231"/>
    </row>
    <row r="43" spans="1:18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</row>
    <row r="44" spans="1:18" x14ac:dyDescent="0.3">
      <c r="A44" s="206" t="s">
        <v>110</v>
      </c>
      <c r="B44" s="207" t="s">
        <v>68</v>
      </c>
      <c r="C44" s="208">
        <f>SUM(C5:C43)</f>
        <v>3633069.0399999986</v>
      </c>
      <c r="D44" s="205">
        <f>E44+F44+G44+H44+I44+M44+Q44+R44</f>
        <v>3400656</v>
      </c>
      <c r="E44" s="233">
        <f t="shared" ref="E44:R44" si="3">SUM(E5:E43)</f>
        <v>109309.92</v>
      </c>
      <c r="F44" s="259">
        <f t="shared" si="3"/>
        <v>184079.72</v>
      </c>
      <c r="G44" s="223">
        <f t="shared" si="3"/>
        <v>412536.7</v>
      </c>
      <c r="H44" s="233">
        <f t="shared" si="3"/>
        <v>490294.43</v>
      </c>
      <c r="I44" s="239">
        <f t="shared" si="3"/>
        <v>220529.64</v>
      </c>
      <c r="J44" s="245">
        <f>SUM(J5:J43)</f>
        <v>0</v>
      </c>
      <c r="K44" s="245">
        <f>SUM(K5:K43)</f>
        <v>0</v>
      </c>
      <c r="L44" s="245">
        <f>SUM(L5:L43)</f>
        <v>649435.65</v>
      </c>
      <c r="M44" s="208">
        <f t="shared" si="3"/>
        <v>649435.65</v>
      </c>
      <c r="N44" s="245">
        <f>SUM(N5:N43)</f>
        <v>183298.5</v>
      </c>
      <c r="O44" s="245">
        <f>SUM(O5:O43)</f>
        <v>1139670.94</v>
      </c>
      <c r="P44" s="245">
        <f>SUM(P5:P43)</f>
        <v>0</v>
      </c>
      <c r="Q44" s="216">
        <f t="shared" si="3"/>
        <v>1322969.44</v>
      </c>
      <c r="R44" s="233">
        <f t="shared" si="3"/>
        <v>11500.5</v>
      </c>
    </row>
    <row r="45" spans="1:18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</row>
    <row r="46" spans="1:18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</row>
    <row r="47" spans="1:18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</row>
    <row r="48" spans="1:18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</row>
    <row r="49" spans="1:20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</row>
    <row r="50" spans="1:20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</row>
    <row r="51" spans="1:20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</row>
    <row r="52" spans="1:20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</row>
    <row r="53" spans="1:20" ht="15" thickBot="1" x14ac:dyDescent="0.35">
      <c r="A53" s="39">
        <v>566</v>
      </c>
      <c r="B53" s="40" t="s">
        <v>76</v>
      </c>
      <c r="C53" s="15">
        <v>158297.41</v>
      </c>
      <c r="D53" s="14">
        <f t="shared" si="2"/>
        <v>125559.84</v>
      </c>
      <c r="E53" s="231"/>
      <c r="F53" s="257"/>
      <c r="G53" s="228"/>
      <c r="H53" s="231">
        <v>58860.25</v>
      </c>
      <c r="I53" s="219">
        <v>30128.59</v>
      </c>
      <c r="J53" s="217"/>
      <c r="K53" s="217"/>
      <c r="L53" s="217">
        <v>36071</v>
      </c>
      <c r="M53" s="9">
        <f t="shared" si="0"/>
        <v>36071</v>
      </c>
      <c r="N53" s="217"/>
      <c r="O53" s="217"/>
      <c r="P53" s="217"/>
      <c r="Q53" s="214">
        <f t="shared" si="1"/>
        <v>0</v>
      </c>
      <c r="R53" s="231">
        <v>500</v>
      </c>
      <c r="S53" s="199">
        <v>369.9</v>
      </c>
      <c r="T53" s="200">
        <v>500</v>
      </c>
    </row>
    <row r="54" spans="1:20" ht="15" thickBot="1" x14ac:dyDescent="0.35">
      <c r="A54" s="39">
        <v>568</v>
      </c>
      <c r="B54" s="40" t="s">
        <v>77</v>
      </c>
      <c r="C54" s="15">
        <f>329135.83+2625.95</f>
        <v>331761.78000000003</v>
      </c>
      <c r="D54" s="14">
        <f t="shared" si="2"/>
        <v>331762</v>
      </c>
      <c r="E54" s="231"/>
      <c r="F54" s="257"/>
      <c r="G54" s="228"/>
      <c r="H54" s="231"/>
      <c r="I54" s="219"/>
      <c r="J54" s="217">
        <f>42050+235+2194</f>
        <v>44479</v>
      </c>
      <c r="K54" s="217"/>
      <c r="L54" s="217">
        <f>1698+3690</f>
        <v>5388</v>
      </c>
      <c r="M54" s="9">
        <f t="shared" si="0"/>
        <v>49867</v>
      </c>
      <c r="N54" s="217">
        <v>0</v>
      </c>
      <c r="O54" s="217">
        <f>129051+152786</f>
        <v>281837</v>
      </c>
      <c r="P54" s="217"/>
      <c r="Q54" s="214">
        <f t="shared" si="1"/>
        <v>281837</v>
      </c>
      <c r="R54" s="231">
        <v>58</v>
      </c>
      <c r="S54" s="199">
        <v>361.4</v>
      </c>
      <c r="T54" s="200">
        <v>58.29</v>
      </c>
    </row>
    <row r="55" spans="1:20" x14ac:dyDescent="0.3">
      <c r="A55" s="41">
        <v>500</v>
      </c>
      <c r="B55" s="32" t="s">
        <v>118</v>
      </c>
      <c r="C55" s="18">
        <v>52607.54</v>
      </c>
      <c r="D55" s="20">
        <f t="shared" si="2"/>
        <v>47484</v>
      </c>
      <c r="E55" s="232"/>
      <c r="F55" s="258"/>
      <c r="G55" s="229">
        <v>41006</v>
      </c>
      <c r="H55" s="232"/>
      <c r="I55" s="220"/>
      <c r="J55" s="244"/>
      <c r="K55" s="244"/>
      <c r="L55" s="244">
        <v>6478</v>
      </c>
      <c r="M55" s="198">
        <f t="shared" si="0"/>
        <v>6478</v>
      </c>
      <c r="N55" s="244"/>
      <c r="O55" s="244"/>
      <c r="P55" s="244"/>
      <c r="Q55" s="215">
        <f t="shared" si="1"/>
        <v>0</v>
      </c>
      <c r="R55" s="232"/>
    </row>
    <row r="56" spans="1:20" ht="15" thickBot="1" x14ac:dyDescent="0.35">
      <c r="A56" s="107"/>
      <c r="B56" s="108" t="s">
        <v>80</v>
      </c>
      <c r="C56" s="111">
        <f>SUM(C44:C55)</f>
        <v>4175735.7699999986</v>
      </c>
      <c r="D56" s="110">
        <f>E56+F56+G56+H56+I56+M56+Q56+R56</f>
        <v>3905461.84</v>
      </c>
      <c r="E56" s="235">
        <f t="shared" ref="E56:R56" si="4">SUM(E44:E55)</f>
        <v>109309.92</v>
      </c>
      <c r="F56" s="260">
        <f t="shared" si="4"/>
        <v>184079.72</v>
      </c>
      <c r="G56" s="225">
        <f t="shared" si="4"/>
        <v>453542.7</v>
      </c>
      <c r="H56" s="235">
        <f t="shared" si="4"/>
        <v>549154.67999999993</v>
      </c>
      <c r="I56" s="240">
        <f t="shared" si="4"/>
        <v>250658.23</v>
      </c>
      <c r="J56" s="218">
        <f>SUM(J44:J55)</f>
        <v>44479</v>
      </c>
      <c r="K56" s="218">
        <f>SUM(K44:K55)</f>
        <v>0</v>
      </c>
      <c r="L56" s="218">
        <f>SUM(L44:L55)</f>
        <v>697372.65</v>
      </c>
      <c r="M56" s="209">
        <f t="shared" si="4"/>
        <v>741851.65</v>
      </c>
      <c r="N56" s="218">
        <f>SUM(N44:N55)</f>
        <v>183298.5</v>
      </c>
      <c r="O56" s="218">
        <f>SUM(O44:O55)</f>
        <v>1421507.94</v>
      </c>
      <c r="P56" s="218">
        <f>SUM(P44:P55)</f>
        <v>0</v>
      </c>
      <c r="Q56" s="218">
        <f t="shared" si="4"/>
        <v>1604806.44</v>
      </c>
      <c r="R56" s="235">
        <f t="shared" si="4"/>
        <v>12058.5</v>
      </c>
    </row>
    <row r="57" spans="1:20" ht="15" thickTop="1" x14ac:dyDescent="0.3"/>
    <row r="58" spans="1:20" ht="15" thickBot="1" x14ac:dyDescent="0.35"/>
    <row r="59" spans="1:20" ht="15" thickBot="1" x14ac:dyDescent="0.35">
      <c r="B59" s="42" t="s">
        <v>109</v>
      </c>
      <c r="C59" s="43"/>
      <c r="D59" s="44"/>
    </row>
    <row r="60" spans="1:20" ht="15" thickTop="1" x14ac:dyDescent="0.3">
      <c r="B60" s="115"/>
      <c r="C60" s="116" t="s">
        <v>82</v>
      </c>
      <c r="D60" s="117" t="s">
        <v>78</v>
      </c>
    </row>
    <row r="61" spans="1:20" x14ac:dyDescent="0.3">
      <c r="B61" s="153" t="s">
        <v>108</v>
      </c>
      <c r="C61" s="45"/>
      <c r="D61" s="46"/>
    </row>
    <row r="62" spans="1:20" x14ac:dyDescent="0.3">
      <c r="B62" s="26" t="s">
        <v>3</v>
      </c>
      <c r="C62" s="47">
        <f>E56</f>
        <v>109309.92</v>
      </c>
      <c r="D62" s="48">
        <f>E56/D56</f>
        <v>2.7988986828763895E-2</v>
      </c>
    </row>
    <row r="63" spans="1:20" x14ac:dyDescent="0.3">
      <c r="B63" s="26" t="s">
        <v>4</v>
      </c>
      <c r="C63" s="49">
        <f>F56</f>
        <v>184079.72</v>
      </c>
      <c r="D63" s="48">
        <f>F56/D56</f>
        <v>4.7133918481712785E-2</v>
      </c>
    </row>
    <row r="64" spans="1:20" x14ac:dyDescent="0.3">
      <c r="B64" s="56" t="s">
        <v>79</v>
      </c>
      <c r="C64" s="50">
        <f>G56</f>
        <v>453542.7</v>
      </c>
      <c r="D64" s="51">
        <f>G56/D56</f>
        <v>0.11613036270250691</v>
      </c>
    </row>
    <row r="65" spans="2:4" ht="15" thickBot="1" x14ac:dyDescent="0.35">
      <c r="B65" s="146" t="s">
        <v>115</v>
      </c>
      <c r="C65" s="52">
        <f>SUM(C62:C64)</f>
        <v>746932.34000000008</v>
      </c>
      <c r="D65" s="53">
        <f>SUM(D62:D64)</f>
        <v>0.19125326801298359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549154.67999999993</v>
      </c>
      <c r="D67" s="25">
        <f>H56/D56</f>
        <v>0.14061196921079119</v>
      </c>
    </row>
    <row r="68" spans="2:4" x14ac:dyDescent="0.3">
      <c r="B68" s="57" t="s">
        <v>7</v>
      </c>
      <c r="C68" s="27">
        <f>I56</f>
        <v>250658.23</v>
      </c>
      <c r="D68" s="28">
        <f>I56/D56</f>
        <v>6.4181456705770815E-2</v>
      </c>
    </row>
    <row r="69" spans="2:4" ht="15" thickBot="1" x14ac:dyDescent="0.35">
      <c r="B69" s="146" t="s">
        <v>116</v>
      </c>
      <c r="C69" s="52">
        <f>SUM(C67:C68)</f>
        <v>799812.90999999992</v>
      </c>
      <c r="D69" s="53">
        <f>SUM(D67:D68)</f>
        <v>0.20479342591656202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741851.65</v>
      </c>
      <c r="D71" s="25">
        <f>M56/D56</f>
        <v>0.18995234888788468</v>
      </c>
    </row>
    <row r="72" spans="2:4" x14ac:dyDescent="0.3">
      <c r="B72" s="24" t="s">
        <v>8</v>
      </c>
      <c r="C72" s="23">
        <f>Q56</f>
        <v>1604806.44</v>
      </c>
      <c r="D72" s="25">
        <f>Q56/D56</f>
        <v>0.41091335820093433</v>
      </c>
    </row>
    <row r="73" spans="2:4" x14ac:dyDescent="0.3">
      <c r="B73" s="163" t="s">
        <v>83</v>
      </c>
      <c r="C73" s="27">
        <f>R56</f>
        <v>12058.5</v>
      </c>
      <c r="D73" s="28">
        <f>R56/D56</f>
        <v>3.0875989816354218E-3</v>
      </c>
    </row>
    <row r="74" spans="2:4" ht="15" thickBot="1" x14ac:dyDescent="0.35">
      <c r="B74" s="146" t="s">
        <v>117</v>
      </c>
      <c r="C74" s="52">
        <f>SUM(C71:C73)</f>
        <v>2358716.59</v>
      </c>
      <c r="D74" s="53">
        <f>SUM(D71:D73)</f>
        <v>0.6039533060704545</v>
      </c>
    </row>
    <row r="75" spans="2:4" ht="15" thickBot="1" x14ac:dyDescent="0.35">
      <c r="B75" s="157" t="s">
        <v>80</v>
      </c>
      <c r="C75" s="158">
        <f>C65+C69+C74</f>
        <v>3905461.84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137" priority="7">
      <formula>ROW()=EVEN(ROW())</formula>
    </cfRule>
  </conditionalFormatting>
  <conditionalFormatting sqref="A55:B55">
    <cfRule type="expression" dxfId="136" priority="5">
      <formula>ROW()=EVEN(ROW())</formula>
    </cfRule>
  </conditionalFormatting>
  <conditionalFormatting sqref="A54:B54">
    <cfRule type="expression" dxfId="135" priority="4">
      <formula>ROW()=EVEN(ROW())</formula>
    </cfRule>
  </conditionalFormatting>
  <conditionalFormatting sqref="M45:M55">
    <cfRule type="expression" dxfId="134" priority="3">
      <formula>ROW()=EVEN(ROW())</formula>
    </cfRule>
  </conditionalFormatting>
  <conditionalFormatting sqref="D45:D55">
    <cfRule type="expression" dxfId="133" priority="2">
      <formula>ROW()=EVEN(ROW())</formula>
    </cfRule>
  </conditionalFormatting>
  <conditionalFormatting sqref="N44:P55">
    <cfRule type="expression" dxfId="132" priority="1">
      <formula>ROW()=EVEN(ROW())</formula>
    </cfRule>
  </conditionalFormatting>
  <printOptions horizontalCentered="1"/>
  <pageMargins left="0" right="0" top="1.1000000000000001" bottom="0.5" header="0.3" footer="0.3"/>
  <pageSetup scale="85" fitToHeight="0" orientation="landscape" r:id="rId1"/>
  <headerFooter>
    <oddHeader>&amp;C&amp;"-,Bold"&amp;20Funding by Expenditure Code and Revenue Source&amp;"-,Regular"&amp;11
&amp;"-,Bold"&amp;20 2014&amp;"-,Regular"&amp;11
&amp;"-,Bold"&amp;20JEFFERSON</oddHeader>
    <oddFooter>&amp;LRevised 11-4-16&amp;CPage &amp;P</oddFooter>
  </headerFooter>
  <rowBreaks count="1" manualBreakCount="1">
    <brk id="4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4.4" x14ac:dyDescent="0.3"/>
  <sheetData>
    <row r="1" spans="1:1" x14ac:dyDescent="0.3">
      <c r="A1" t="s">
        <v>144</v>
      </c>
    </row>
  </sheetData>
  <printOptions horizontalCentered="1"/>
  <pageMargins left="0" right="0" top="1.25" bottom="0.65" header="0.3" footer="0.3"/>
  <pageSetup orientation="landscape" verticalDpi="0" r:id="rId1"/>
  <headerFoot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88"/>
  <sheetViews>
    <sheetView showZeros="0" topLeftCell="A4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10.33203125" style="200" bestFit="1" customWidth="1"/>
    <col min="22" max="22" width="10.33203125" bestFit="1" customWidth="1"/>
    <col min="28" max="28" width="9.33203125" bestFit="1" customWidth="1"/>
  </cols>
  <sheetData>
    <row r="1" spans="1:28" x14ac:dyDescent="0.3">
      <c r="A1" s="22" t="s">
        <v>150</v>
      </c>
      <c r="B1" s="6"/>
      <c r="C1" s="31">
        <v>255900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8" x14ac:dyDescent="0.3">
      <c r="A2" s="80" t="s">
        <v>44</v>
      </c>
      <c r="B2" s="5"/>
      <c r="C2" s="83">
        <v>92.87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147</v>
      </c>
    </row>
    <row r="3" spans="1:28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8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  <c r="W4" s="202" t="s">
        <v>153</v>
      </c>
      <c r="X4" s="203" t="s">
        <v>82</v>
      </c>
      <c r="Y4" s="202" t="s">
        <v>153</v>
      </c>
      <c r="Z4" s="203" t="s">
        <v>82</v>
      </c>
      <c r="AA4" s="202" t="s">
        <v>153</v>
      </c>
      <c r="AB4" s="203" t="s">
        <v>82</v>
      </c>
    </row>
    <row r="5" spans="1:28" ht="15" thickBot="1" x14ac:dyDescent="0.35">
      <c r="A5" s="36">
        <v>562.1</v>
      </c>
      <c r="B5" s="37" t="s">
        <v>47</v>
      </c>
      <c r="C5" s="16">
        <v>145712</v>
      </c>
      <c r="D5" s="14">
        <f>E5+F5+G5+H5+I5+M5+Q5+R5</f>
        <v>145712</v>
      </c>
      <c r="E5" s="236">
        <v>0</v>
      </c>
      <c r="F5" s="256">
        <v>0</v>
      </c>
      <c r="G5" s="227">
        <v>0</v>
      </c>
      <c r="H5" s="236"/>
      <c r="I5" s="241">
        <v>0</v>
      </c>
      <c r="J5" s="214"/>
      <c r="K5" s="214"/>
      <c r="L5" s="214"/>
      <c r="M5" s="9">
        <f>SUM(J5:L5)</f>
        <v>0</v>
      </c>
      <c r="N5" s="214"/>
      <c r="O5" s="214">
        <f>1870+129423+73041-61368</f>
        <v>142966</v>
      </c>
      <c r="P5" s="214"/>
      <c r="Q5" s="214">
        <f>SUM(N5:P5)</f>
        <v>142966</v>
      </c>
      <c r="R5" s="236">
        <f>1854+5000+18928+1484-24520</f>
        <v>2746</v>
      </c>
      <c r="S5" s="199">
        <v>362.4</v>
      </c>
      <c r="T5" s="199">
        <v>1854</v>
      </c>
      <c r="U5" s="211">
        <v>367.1</v>
      </c>
      <c r="V5" s="211">
        <v>5000</v>
      </c>
      <c r="W5" s="211">
        <v>369.9</v>
      </c>
      <c r="X5" s="211">
        <v>18928</v>
      </c>
      <c r="Y5" s="211">
        <v>389.9</v>
      </c>
      <c r="Z5" s="211">
        <v>1484</v>
      </c>
      <c r="AA5" s="211">
        <v>508.1</v>
      </c>
      <c r="AB5" s="211">
        <v>-24520</v>
      </c>
    </row>
    <row r="6" spans="1:28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  <c r="U6" s="211"/>
      <c r="V6" s="211"/>
      <c r="W6" s="211"/>
      <c r="X6" s="211"/>
      <c r="Y6" s="211"/>
      <c r="Z6" s="211"/>
    </row>
    <row r="7" spans="1:28" ht="15" thickBot="1" x14ac:dyDescent="0.35">
      <c r="A7" s="39">
        <v>562.22</v>
      </c>
      <c r="B7" s="82" t="s">
        <v>92</v>
      </c>
      <c r="C7" s="15">
        <v>1265411</v>
      </c>
      <c r="D7" s="14">
        <f t="shared" ref="D7:D55" si="2">E7+F7+G7+H7+I7+M7+Q7+R7</f>
        <v>1265411</v>
      </c>
      <c r="E7" s="231"/>
      <c r="F7" s="276">
        <v>329685</v>
      </c>
      <c r="G7" s="278">
        <f>117825</f>
        <v>117825</v>
      </c>
      <c r="H7" s="231">
        <f>59043+88484</f>
        <v>147527</v>
      </c>
      <c r="I7" s="219"/>
      <c r="J7" s="217"/>
      <c r="K7" s="217"/>
      <c r="L7" s="217">
        <v>449057</v>
      </c>
      <c r="M7" s="9">
        <f t="shared" si="0"/>
        <v>449057</v>
      </c>
      <c r="N7" s="217"/>
      <c r="O7" s="217">
        <v>174935</v>
      </c>
      <c r="P7" s="217"/>
      <c r="Q7" s="214">
        <f t="shared" si="1"/>
        <v>174935</v>
      </c>
      <c r="R7" s="231">
        <f>36493+7339+2550</f>
        <v>46382</v>
      </c>
      <c r="S7" s="199">
        <v>367</v>
      </c>
      <c r="T7" s="199">
        <v>36493</v>
      </c>
      <c r="U7" s="211">
        <v>367.2</v>
      </c>
      <c r="V7" s="211">
        <v>7339</v>
      </c>
      <c r="W7" s="211">
        <v>508.1</v>
      </c>
      <c r="X7" s="211">
        <v>2550</v>
      </c>
      <c r="Y7" s="211"/>
      <c r="Z7" s="211"/>
    </row>
    <row r="8" spans="1:28" ht="15" thickBot="1" x14ac:dyDescent="0.35">
      <c r="A8" s="39">
        <v>562.24</v>
      </c>
      <c r="B8" s="40" t="s">
        <v>49</v>
      </c>
      <c r="C8" s="15"/>
      <c r="D8" s="14">
        <f t="shared" si="2"/>
        <v>0</v>
      </c>
      <c r="E8" s="231"/>
      <c r="F8" s="257"/>
      <c r="G8" s="228"/>
      <c r="H8" s="231"/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/>
      <c r="T8" s="199"/>
      <c r="U8" s="211"/>
      <c r="V8" s="211"/>
      <c r="W8" s="211"/>
      <c r="X8" s="211"/>
      <c r="Y8" s="211"/>
      <c r="Z8" s="211"/>
    </row>
    <row r="9" spans="1:28" ht="15" thickBot="1" x14ac:dyDescent="0.35">
      <c r="A9" s="39">
        <v>562.25</v>
      </c>
      <c r="B9" s="82" t="s">
        <v>93</v>
      </c>
      <c r="C9" s="15">
        <v>85137</v>
      </c>
      <c r="D9" s="14">
        <f t="shared" si="2"/>
        <v>85137</v>
      </c>
      <c r="E9" s="231"/>
      <c r="F9" s="276">
        <v>2878</v>
      </c>
      <c r="G9" s="228"/>
      <c r="H9" s="231">
        <f>5155+73185</f>
        <v>78340</v>
      </c>
      <c r="I9" s="219"/>
      <c r="J9" s="217"/>
      <c r="K9" s="217"/>
      <c r="L9" s="217"/>
      <c r="M9" s="9">
        <f t="shared" si="0"/>
        <v>0</v>
      </c>
      <c r="N9" s="217"/>
      <c r="O9" s="217">
        <v>3919</v>
      </c>
      <c r="P9" s="217"/>
      <c r="Q9" s="214">
        <f t="shared" si="1"/>
        <v>3919</v>
      </c>
      <c r="R9" s="231"/>
      <c r="T9" s="199"/>
      <c r="U9" s="211"/>
      <c r="V9" s="211"/>
      <c r="W9" s="211"/>
      <c r="X9" s="211"/>
      <c r="Y9" s="211"/>
      <c r="Z9" s="211"/>
    </row>
    <row r="10" spans="1:28" ht="15" thickBot="1" x14ac:dyDescent="0.35">
      <c r="A10" s="39">
        <v>562.26</v>
      </c>
      <c r="B10" s="82" t="s">
        <v>84</v>
      </c>
      <c r="C10" s="15">
        <v>410109</v>
      </c>
      <c r="D10" s="14">
        <f t="shared" si="2"/>
        <v>410109</v>
      </c>
      <c r="E10" s="231">
        <f>124079+24223</f>
        <v>148302</v>
      </c>
      <c r="F10" s="276">
        <v>68224</v>
      </c>
      <c r="G10" s="228"/>
      <c r="H10" s="231">
        <v>5146</v>
      </c>
      <c r="I10" s="219">
        <v>17000</v>
      </c>
      <c r="J10" s="217"/>
      <c r="K10" s="217"/>
      <c r="L10" s="217"/>
      <c r="M10" s="9">
        <f t="shared" si="0"/>
        <v>0</v>
      </c>
      <c r="N10" s="217"/>
      <c r="O10" s="217">
        <f>49034+93827</f>
        <v>142861</v>
      </c>
      <c r="P10" s="217"/>
      <c r="Q10" s="214">
        <f t="shared" si="1"/>
        <v>142861</v>
      </c>
      <c r="R10" s="231">
        <v>28576</v>
      </c>
      <c r="S10" s="199">
        <v>367</v>
      </c>
      <c r="T10" s="199">
        <v>28576</v>
      </c>
      <c r="U10" s="211"/>
      <c r="V10" s="211"/>
      <c r="W10" s="211"/>
      <c r="X10" s="211"/>
      <c r="Y10" s="211"/>
      <c r="Z10" s="211"/>
    </row>
    <row r="11" spans="1:28" ht="15" thickBot="1" x14ac:dyDescent="0.35">
      <c r="A11" s="39">
        <v>562.27</v>
      </c>
      <c r="B11" s="82" t="s">
        <v>85</v>
      </c>
      <c r="C11" s="15">
        <v>78029</v>
      </c>
      <c r="D11" s="14">
        <f t="shared" si="2"/>
        <v>78029</v>
      </c>
      <c r="E11" s="231"/>
      <c r="F11" s="276">
        <v>13768</v>
      </c>
      <c r="G11" s="228"/>
      <c r="H11" s="231">
        <v>46409</v>
      </c>
      <c r="I11" s="219"/>
      <c r="J11" s="217"/>
      <c r="K11" s="217"/>
      <c r="L11" s="217"/>
      <c r="M11" s="9">
        <f t="shared" si="0"/>
        <v>0</v>
      </c>
      <c r="N11" s="217"/>
      <c r="O11" s="217">
        <v>17852</v>
      </c>
      <c r="P11" s="217"/>
      <c r="Q11" s="214">
        <f t="shared" si="1"/>
        <v>17852</v>
      </c>
      <c r="R11" s="231"/>
      <c r="T11" s="199"/>
      <c r="U11" s="211"/>
      <c r="V11" s="211"/>
      <c r="W11" s="211"/>
      <c r="X11" s="211"/>
      <c r="Y11" s="211"/>
      <c r="Z11" s="211"/>
    </row>
    <row r="12" spans="1:28" ht="15" thickBot="1" x14ac:dyDescent="0.35">
      <c r="A12" s="39">
        <v>562.28</v>
      </c>
      <c r="B12" s="82" t="s">
        <v>94</v>
      </c>
      <c r="C12" s="15"/>
      <c r="D12" s="14">
        <f t="shared" si="2"/>
        <v>0</v>
      </c>
      <c r="E12" s="231"/>
      <c r="F12" s="276"/>
      <c r="G12" s="228"/>
      <c r="H12" s="231"/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  <c r="T12" s="199"/>
      <c r="U12" s="211"/>
      <c r="V12" s="211"/>
      <c r="W12" s="211"/>
      <c r="X12" s="211"/>
      <c r="Y12" s="211"/>
      <c r="Z12" s="211"/>
    </row>
    <row r="13" spans="1:28" ht="15" thickBot="1" x14ac:dyDescent="0.35">
      <c r="A13" s="39">
        <v>562.29</v>
      </c>
      <c r="B13" s="82" t="s">
        <v>86</v>
      </c>
      <c r="C13" s="15"/>
      <c r="D13" s="14">
        <f t="shared" si="2"/>
        <v>0</v>
      </c>
      <c r="E13" s="231"/>
      <c r="F13" s="276"/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/>
      <c r="P13" s="217"/>
      <c r="Q13" s="214">
        <f t="shared" si="1"/>
        <v>0</v>
      </c>
      <c r="R13" s="231"/>
      <c r="T13" s="199"/>
      <c r="U13" s="211"/>
      <c r="V13" s="211"/>
      <c r="W13" s="211"/>
      <c r="X13" s="211"/>
      <c r="Y13" s="211"/>
      <c r="Z13" s="211"/>
    </row>
    <row r="14" spans="1:28" ht="15" thickBot="1" x14ac:dyDescent="0.35">
      <c r="A14" s="39">
        <v>562.32000000000005</v>
      </c>
      <c r="B14" s="40" t="s">
        <v>50</v>
      </c>
      <c r="C14" s="15">
        <v>437083</v>
      </c>
      <c r="D14" s="14">
        <f t="shared" si="2"/>
        <v>437083</v>
      </c>
      <c r="E14" s="231"/>
      <c r="F14" s="276">
        <v>109259</v>
      </c>
      <c r="G14" s="228"/>
      <c r="H14" s="231">
        <f>65248+4338+2806+57087</f>
        <v>129479</v>
      </c>
      <c r="I14" s="219"/>
      <c r="J14" s="217"/>
      <c r="K14" s="217"/>
      <c r="L14" s="217"/>
      <c r="M14" s="9">
        <f t="shared" si="0"/>
        <v>0</v>
      </c>
      <c r="N14" s="217"/>
      <c r="O14" s="217">
        <f>49525+148820</f>
        <v>198345</v>
      </c>
      <c r="P14" s="217"/>
      <c r="Q14" s="214">
        <f t="shared" si="1"/>
        <v>198345</v>
      </c>
      <c r="R14" s="231"/>
      <c r="T14" s="199"/>
      <c r="U14" s="211"/>
      <c r="V14" s="211"/>
      <c r="W14" s="211"/>
      <c r="X14" s="211"/>
      <c r="Y14" s="211"/>
      <c r="Z14" s="211"/>
    </row>
    <row r="15" spans="1:28" ht="15" thickBot="1" x14ac:dyDescent="0.35">
      <c r="A15" s="39">
        <v>562.33000000000004</v>
      </c>
      <c r="B15" s="82" t="s">
        <v>95</v>
      </c>
      <c r="C15" s="15">
        <v>51117</v>
      </c>
      <c r="D15" s="14">
        <f t="shared" si="2"/>
        <v>51117</v>
      </c>
      <c r="E15" s="231"/>
      <c r="F15" s="276">
        <v>16394</v>
      </c>
      <c r="G15" s="228"/>
      <c r="H15" s="231">
        <v>4605</v>
      </c>
      <c r="I15" s="219"/>
      <c r="J15" s="217"/>
      <c r="K15" s="217"/>
      <c r="L15" s="217"/>
      <c r="M15" s="9">
        <f t="shared" si="0"/>
        <v>0</v>
      </c>
      <c r="N15" s="217"/>
      <c r="O15" s="217">
        <f>7787+22331</f>
        <v>30118</v>
      </c>
      <c r="P15" s="217"/>
      <c r="Q15" s="214">
        <f t="shared" si="1"/>
        <v>30118</v>
      </c>
      <c r="R15" s="231"/>
      <c r="T15" s="199"/>
      <c r="U15" s="211"/>
      <c r="V15" s="211"/>
      <c r="W15" s="211"/>
      <c r="X15" s="211"/>
      <c r="Y15" s="211"/>
      <c r="Z15" s="211"/>
    </row>
    <row r="16" spans="1:28" ht="15" thickBot="1" x14ac:dyDescent="0.35">
      <c r="A16" s="39">
        <v>562.34</v>
      </c>
      <c r="B16" s="40" t="s">
        <v>51</v>
      </c>
      <c r="C16" s="15">
        <v>156553</v>
      </c>
      <c r="D16" s="14">
        <f t="shared" si="2"/>
        <v>156553</v>
      </c>
      <c r="E16" s="231"/>
      <c r="F16" s="276"/>
      <c r="G16" s="228"/>
      <c r="H16" s="231">
        <v>3681</v>
      </c>
      <c r="I16" s="219"/>
      <c r="J16" s="217"/>
      <c r="K16" s="217"/>
      <c r="L16" s="217">
        <v>21432</v>
      </c>
      <c r="M16" s="9">
        <f t="shared" si="0"/>
        <v>21432</v>
      </c>
      <c r="N16" s="217"/>
      <c r="O16" s="217">
        <f>103530+17879</f>
        <v>121409</v>
      </c>
      <c r="P16" s="217"/>
      <c r="Q16" s="214">
        <f t="shared" si="1"/>
        <v>121409</v>
      </c>
      <c r="R16" s="231">
        <v>10031</v>
      </c>
      <c r="S16" s="199">
        <v>508.1</v>
      </c>
      <c r="T16" s="213">
        <v>10031</v>
      </c>
      <c r="U16" s="211"/>
      <c r="V16" s="211"/>
      <c r="W16" s="211"/>
      <c r="X16" s="211"/>
      <c r="Y16" s="211"/>
      <c r="Z16" s="211"/>
    </row>
    <row r="17" spans="1:26" ht="15" thickBot="1" x14ac:dyDescent="0.35">
      <c r="A17" s="39">
        <v>562.35</v>
      </c>
      <c r="B17" s="40" t="s">
        <v>52</v>
      </c>
      <c r="C17" s="15">
        <v>360751</v>
      </c>
      <c r="D17" s="14">
        <f t="shared" si="2"/>
        <v>360751</v>
      </c>
      <c r="E17" s="231">
        <f>4644+5869+58200</f>
        <v>68713</v>
      </c>
      <c r="F17" s="276"/>
      <c r="G17" s="228"/>
      <c r="H17" s="231">
        <f>15794+192091+5124</f>
        <v>213009</v>
      </c>
      <c r="I17" s="219">
        <v>3242</v>
      </c>
      <c r="J17" s="217"/>
      <c r="K17" s="217"/>
      <c r="L17" s="217"/>
      <c r="M17" s="9">
        <f t="shared" si="0"/>
        <v>0</v>
      </c>
      <c r="N17" s="217"/>
      <c r="O17" s="217">
        <f>41250+205+62435</f>
        <v>103890</v>
      </c>
      <c r="P17" s="217"/>
      <c r="Q17" s="214">
        <f t="shared" si="1"/>
        <v>103890</v>
      </c>
      <c r="R17" s="231">
        <v>-28103</v>
      </c>
      <c r="S17" s="199">
        <v>508.1</v>
      </c>
      <c r="T17" s="199">
        <v>-28103</v>
      </c>
      <c r="U17" s="211"/>
      <c r="V17" s="211"/>
      <c r="W17" s="211"/>
      <c r="X17" s="211"/>
      <c r="Y17" s="211"/>
      <c r="Z17" s="211"/>
    </row>
    <row r="18" spans="1:26" ht="15" thickBot="1" x14ac:dyDescent="0.35">
      <c r="A18" s="39">
        <v>562.39</v>
      </c>
      <c r="B18" s="40" t="s">
        <v>53</v>
      </c>
      <c r="C18" s="15">
        <v>505691</v>
      </c>
      <c r="D18" s="14">
        <f t="shared" si="2"/>
        <v>505691</v>
      </c>
      <c r="E18" s="231">
        <v>84101</v>
      </c>
      <c r="F18" s="276">
        <v>89584</v>
      </c>
      <c r="G18" s="228"/>
      <c r="H18" s="231">
        <v>39768</v>
      </c>
      <c r="I18" s="219"/>
      <c r="J18" s="217"/>
      <c r="K18" s="217"/>
      <c r="L18" s="217"/>
      <c r="M18" s="9">
        <f t="shared" si="0"/>
        <v>0</v>
      </c>
      <c r="N18" s="217"/>
      <c r="O18" s="217">
        <f>122020+170218</f>
        <v>292238</v>
      </c>
      <c r="P18" s="217"/>
      <c r="Q18" s="214">
        <f t="shared" si="1"/>
        <v>292238</v>
      </c>
      <c r="R18" s="231"/>
      <c r="T18" s="199"/>
      <c r="U18" s="211"/>
      <c r="V18" s="211"/>
      <c r="W18" s="211"/>
      <c r="X18" s="211"/>
      <c r="Y18" s="211"/>
      <c r="Z18" s="211"/>
    </row>
    <row r="19" spans="1:26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76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  <c r="T19" s="199"/>
      <c r="U19" s="211"/>
      <c r="V19" s="211"/>
      <c r="W19" s="211"/>
      <c r="X19" s="211"/>
      <c r="Y19" s="211"/>
      <c r="Z19" s="211"/>
    </row>
    <row r="20" spans="1:26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76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  <c r="W20" s="211"/>
      <c r="X20" s="211"/>
      <c r="Y20" s="211"/>
      <c r="Z20" s="211"/>
    </row>
    <row r="21" spans="1:26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76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  <c r="T21" s="199"/>
      <c r="U21" s="211"/>
      <c r="V21" s="211"/>
      <c r="W21" s="211"/>
      <c r="X21" s="211"/>
      <c r="Y21" s="211"/>
      <c r="Z21" s="211"/>
    </row>
    <row r="22" spans="1:26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76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  <c r="T22" s="199"/>
      <c r="U22" s="211"/>
      <c r="V22" s="211"/>
      <c r="W22" s="211"/>
      <c r="X22" s="211"/>
      <c r="Y22" s="211"/>
      <c r="Z22" s="211"/>
    </row>
    <row r="23" spans="1:26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76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  <c r="W23" s="211"/>
      <c r="X23" s="211"/>
      <c r="Y23" s="211"/>
      <c r="Z23" s="211"/>
    </row>
    <row r="24" spans="1:26" ht="15" thickBot="1" x14ac:dyDescent="0.35">
      <c r="A24" s="39">
        <v>562.49</v>
      </c>
      <c r="B24" s="82" t="s">
        <v>87</v>
      </c>
      <c r="C24" s="15">
        <v>429681</v>
      </c>
      <c r="D24" s="14">
        <f t="shared" si="2"/>
        <v>429681</v>
      </c>
      <c r="E24" s="231"/>
      <c r="F24" s="276">
        <v>151048</v>
      </c>
      <c r="G24" s="228"/>
      <c r="H24" s="231"/>
      <c r="I24" s="219">
        <v>71644</v>
      </c>
      <c r="J24" s="217"/>
      <c r="K24" s="217"/>
      <c r="L24" s="217"/>
      <c r="M24" s="9">
        <f t="shared" si="0"/>
        <v>0</v>
      </c>
      <c r="N24" s="217"/>
      <c r="O24" s="217">
        <v>205739</v>
      </c>
      <c r="P24" s="217"/>
      <c r="Q24" s="214">
        <f t="shared" si="1"/>
        <v>205739</v>
      </c>
      <c r="R24" s="231">
        <v>1250</v>
      </c>
      <c r="T24" s="199"/>
      <c r="U24" s="211"/>
      <c r="V24" s="211"/>
      <c r="W24" s="211"/>
      <c r="X24" s="211"/>
      <c r="Y24" s="211"/>
      <c r="Z24" s="211"/>
    </row>
    <row r="25" spans="1:26" ht="15" thickBot="1" x14ac:dyDescent="0.35">
      <c r="A25" s="39">
        <v>562.52</v>
      </c>
      <c r="B25" s="40" t="s">
        <v>56</v>
      </c>
      <c r="C25" s="15">
        <v>223551</v>
      </c>
      <c r="D25" s="14">
        <f t="shared" si="2"/>
        <v>223551</v>
      </c>
      <c r="E25" s="231"/>
      <c r="F25" s="276"/>
      <c r="G25" s="228">
        <v>18000</v>
      </c>
      <c r="H25" s="231"/>
      <c r="I25" s="219"/>
      <c r="J25" s="217"/>
      <c r="K25" s="217"/>
      <c r="L25" s="217"/>
      <c r="M25" s="9">
        <f t="shared" si="0"/>
        <v>0</v>
      </c>
      <c r="N25" s="217">
        <v>2534</v>
      </c>
      <c r="O25" s="217">
        <f>10750+243175+2250</f>
        <v>256175</v>
      </c>
      <c r="P25" s="217"/>
      <c r="Q25" s="214">
        <f t="shared" si="1"/>
        <v>258709</v>
      </c>
      <c r="R25" s="231">
        <v>-53158</v>
      </c>
      <c r="S25" s="199">
        <v>508.1</v>
      </c>
      <c r="T25" s="199">
        <v>-53158</v>
      </c>
      <c r="U25" s="211"/>
      <c r="V25" s="211"/>
      <c r="W25" s="211"/>
      <c r="X25" s="211"/>
      <c r="Y25" s="211"/>
      <c r="Z25" s="211"/>
    </row>
    <row r="26" spans="1:26" ht="15" thickBot="1" x14ac:dyDescent="0.35">
      <c r="A26" s="39">
        <v>562.53</v>
      </c>
      <c r="B26" s="82" t="s">
        <v>99</v>
      </c>
      <c r="C26" s="15">
        <v>803647</v>
      </c>
      <c r="D26" s="14">
        <f t="shared" si="2"/>
        <v>803647</v>
      </c>
      <c r="E26" s="231"/>
      <c r="F26" s="276"/>
      <c r="G26" s="228">
        <v>452304</v>
      </c>
      <c r="H26" s="231"/>
      <c r="I26" s="219"/>
      <c r="J26" s="217"/>
      <c r="K26" s="217"/>
      <c r="L26" s="217"/>
      <c r="M26" s="9">
        <f t="shared" si="0"/>
        <v>0</v>
      </c>
      <c r="N26" s="217">
        <v>39214</v>
      </c>
      <c r="O26" s="217">
        <v>379663</v>
      </c>
      <c r="P26" s="217"/>
      <c r="Q26" s="214">
        <f t="shared" si="1"/>
        <v>418877</v>
      </c>
      <c r="R26" s="231">
        <v>-67534</v>
      </c>
      <c r="S26" s="199">
        <v>508.1</v>
      </c>
      <c r="T26" s="199">
        <v>-67534</v>
      </c>
      <c r="U26" s="211"/>
      <c r="V26" s="211"/>
      <c r="W26" s="211"/>
      <c r="X26" s="211"/>
      <c r="Y26" s="211"/>
      <c r="Z26" s="211"/>
    </row>
    <row r="27" spans="1:26" ht="15" thickBot="1" x14ac:dyDescent="0.35">
      <c r="A27" s="39">
        <v>562.54</v>
      </c>
      <c r="B27" s="82" t="s">
        <v>100</v>
      </c>
      <c r="C27" s="15">
        <v>1626734</v>
      </c>
      <c r="D27" s="14">
        <f t="shared" si="2"/>
        <v>1626734</v>
      </c>
      <c r="E27" s="231">
        <v>67000</v>
      </c>
      <c r="F27" s="276"/>
      <c r="G27" s="228"/>
      <c r="H27" s="231">
        <v>146806</v>
      </c>
      <c r="I27" s="219"/>
      <c r="J27" s="217"/>
      <c r="K27" s="217"/>
      <c r="L27" s="217"/>
      <c r="M27" s="9">
        <f t="shared" si="0"/>
        <v>0</v>
      </c>
      <c r="N27" s="217">
        <f>26878+218838</f>
        <v>245716</v>
      </c>
      <c r="O27" s="217">
        <f>265830+1155896</f>
        <v>1421726</v>
      </c>
      <c r="P27" s="217"/>
      <c r="Q27" s="214">
        <f t="shared" si="1"/>
        <v>1667442</v>
      </c>
      <c r="R27" s="231">
        <f>161-254675</f>
        <v>-254514</v>
      </c>
      <c r="S27" s="199">
        <v>369.9</v>
      </c>
      <c r="T27" s="199">
        <v>161</v>
      </c>
      <c r="U27" s="211">
        <v>508.1</v>
      </c>
      <c r="V27" s="211">
        <v>-254675</v>
      </c>
      <c r="W27" s="211"/>
      <c r="X27" s="211"/>
      <c r="Y27" s="211"/>
      <c r="Z27" s="211"/>
    </row>
    <row r="28" spans="1:26" ht="15" thickBot="1" x14ac:dyDescent="0.35">
      <c r="A28" s="39">
        <v>562.54999999999995</v>
      </c>
      <c r="B28" s="40" t="s">
        <v>57</v>
      </c>
      <c r="C28" s="15"/>
      <c r="D28" s="14">
        <f t="shared" si="2"/>
        <v>0</v>
      </c>
      <c r="E28" s="231"/>
      <c r="F28" s="276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  <c r="T28" s="199"/>
      <c r="U28" s="211"/>
      <c r="V28" s="211"/>
      <c r="W28" s="211"/>
      <c r="X28" s="211"/>
      <c r="Y28" s="211"/>
      <c r="Z28" s="211"/>
    </row>
    <row r="29" spans="1:26" ht="15" thickBot="1" x14ac:dyDescent="0.35">
      <c r="A29" s="39">
        <v>562.55999999999995</v>
      </c>
      <c r="B29" s="40" t="s">
        <v>58</v>
      </c>
      <c r="C29" s="15">
        <v>872533</v>
      </c>
      <c r="D29" s="14">
        <f t="shared" si="2"/>
        <v>872533</v>
      </c>
      <c r="E29" s="231">
        <v>17418</v>
      </c>
      <c r="F29" s="276">
        <v>48301</v>
      </c>
      <c r="G29" s="228"/>
      <c r="H29" s="231">
        <v>19781</v>
      </c>
      <c r="I29" s="219">
        <v>7366</v>
      </c>
      <c r="J29" s="217"/>
      <c r="K29" s="217"/>
      <c r="L29" s="217">
        <v>65790</v>
      </c>
      <c r="M29" s="9">
        <f t="shared" si="0"/>
        <v>65790</v>
      </c>
      <c r="N29" s="217">
        <v>626337</v>
      </c>
      <c r="O29" s="217">
        <f>87540</f>
        <v>87540</v>
      </c>
      <c r="P29" s="217"/>
      <c r="Q29" s="214">
        <f t="shared" si="1"/>
        <v>713877</v>
      </c>
      <c r="R29" s="231"/>
      <c r="T29" s="199"/>
      <c r="U29" s="211"/>
      <c r="V29" s="211"/>
      <c r="W29" s="211"/>
      <c r="X29" s="211"/>
      <c r="Y29" s="211"/>
      <c r="Z29" s="211"/>
    </row>
    <row r="30" spans="1:26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76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  <c r="T30" s="199"/>
      <c r="U30" s="211"/>
      <c r="V30" s="211"/>
      <c r="W30" s="211"/>
      <c r="X30" s="211"/>
      <c r="Y30" s="211"/>
      <c r="Z30" s="211"/>
    </row>
    <row r="31" spans="1:26" ht="15" thickBot="1" x14ac:dyDescent="0.35">
      <c r="A31" s="39">
        <v>562.58000000000004</v>
      </c>
      <c r="B31" s="82" t="s">
        <v>88</v>
      </c>
      <c r="C31" s="15"/>
      <c r="D31" s="14">
        <f t="shared" si="2"/>
        <v>0</v>
      </c>
      <c r="E31" s="231"/>
      <c r="F31" s="276"/>
      <c r="G31" s="228"/>
      <c r="H31" s="231"/>
      <c r="I31" s="219"/>
      <c r="J31" s="217"/>
      <c r="K31" s="217"/>
      <c r="L31" s="217"/>
      <c r="M31" s="9">
        <f t="shared" si="0"/>
        <v>0</v>
      </c>
      <c r="N31" s="217"/>
      <c r="O31" s="217"/>
      <c r="P31" s="217"/>
      <c r="Q31" s="214">
        <f t="shared" si="1"/>
        <v>0</v>
      </c>
      <c r="R31" s="231"/>
      <c r="T31" s="199"/>
      <c r="U31" s="211"/>
      <c r="V31" s="211"/>
      <c r="W31" s="211"/>
      <c r="X31" s="211"/>
      <c r="Y31" s="211"/>
      <c r="Z31" s="211"/>
    </row>
    <row r="32" spans="1:26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76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  <c r="T32" s="199"/>
      <c r="U32" s="211"/>
      <c r="V32" s="211"/>
      <c r="W32" s="211"/>
      <c r="X32" s="211"/>
      <c r="Y32" s="211"/>
      <c r="Z32" s="211"/>
    </row>
    <row r="33" spans="1:26" ht="15" thickBot="1" x14ac:dyDescent="0.35">
      <c r="A33" s="39">
        <v>562.6</v>
      </c>
      <c r="B33" s="40" t="s">
        <v>59</v>
      </c>
      <c r="C33" s="15">
        <v>1668857</v>
      </c>
      <c r="D33" s="14">
        <f t="shared" si="2"/>
        <v>1668857</v>
      </c>
      <c r="E33" s="231"/>
      <c r="F33" s="276">
        <v>94324</v>
      </c>
      <c r="G33" s="278">
        <f>255175</f>
        <v>255175</v>
      </c>
      <c r="H33" s="231">
        <v>148214</v>
      </c>
      <c r="I33" s="219">
        <v>92101</v>
      </c>
      <c r="J33" s="217"/>
      <c r="K33" s="217"/>
      <c r="L33" s="217"/>
      <c r="M33" s="9">
        <f t="shared" si="0"/>
        <v>0</v>
      </c>
      <c r="N33" s="217"/>
      <c r="O33" s="217">
        <f>922152+128477</f>
        <v>1050629</v>
      </c>
      <c r="P33" s="217"/>
      <c r="Q33" s="214">
        <f t="shared" si="1"/>
        <v>1050629</v>
      </c>
      <c r="R33" s="231">
        <v>28414</v>
      </c>
      <c r="S33" s="199">
        <v>367.5</v>
      </c>
      <c r="T33" s="199">
        <v>28414</v>
      </c>
      <c r="U33" s="211"/>
      <c r="V33" s="211"/>
      <c r="W33" s="211"/>
      <c r="X33" s="211"/>
      <c r="Y33" s="211"/>
      <c r="Z33" s="211"/>
    </row>
    <row r="34" spans="1:26" ht="15" thickBot="1" x14ac:dyDescent="0.35">
      <c r="A34" s="39">
        <v>562.71</v>
      </c>
      <c r="B34" s="40" t="s">
        <v>60</v>
      </c>
      <c r="C34" s="15">
        <v>85888</v>
      </c>
      <c r="D34" s="14">
        <f t="shared" si="2"/>
        <v>85888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129423</v>
      </c>
      <c r="P34" s="217"/>
      <c r="Q34" s="214">
        <f t="shared" si="1"/>
        <v>129423</v>
      </c>
      <c r="R34" s="231">
        <v>-43535</v>
      </c>
      <c r="S34" s="199">
        <v>508.1</v>
      </c>
      <c r="T34" s="199">
        <v>-43535</v>
      </c>
      <c r="U34" s="211"/>
      <c r="V34" s="211"/>
      <c r="W34" s="211"/>
      <c r="X34" s="211"/>
      <c r="Y34" s="211"/>
      <c r="Z34" s="211"/>
    </row>
    <row r="35" spans="1:26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T35" s="199"/>
      <c r="U35" s="211"/>
      <c r="V35" s="211"/>
      <c r="W35" s="211"/>
      <c r="X35" s="211"/>
      <c r="Y35" s="211"/>
      <c r="Z35" s="211"/>
    </row>
    <row r="36" spans="1:26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  <c r="T36" s="199"/>
      <c r="U36" s="211"/>
      <c r="V36" s="211"/>
      <c r="W36" s="211"/>
      <c r="X36" s="211"/>
      <c r="Y36" s="211"/>
      <c r="Z36" s="211"/>
    </row>
    <row r="37" spans="1:26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  <c r="U37" s="211"/>
      <c r="V37" s="211"/>
      <c r="W37" s="211"/>
      <c r="X37" s="211"/>
      <c r="Y37" s="211"/>
      <c r="Z37" s="211"/>
    </row>
    <row r="38" spans="1:26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  <c r="W38" s="211"/>
      <c r="X38" s="211"/>
      <c r="Y38" s="211"/>
      <c r="Z38" s="211"/>
    </row>
    <row r="39" spans="1:26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  <c r="W39" s="211"/>
      <c r="X39" s="211"/>
      <c r="Y39" s="211"/>
      <c r="Z39" s="211"/>
    </row>
    <row r="40" spans="1:26" ht="15" thickBot="1" x14ac:dyDescent="0.35">
      <c r="A40" s="39">
        <v>562.79999999999995</v>
      </c>
      <c r="B40" s="40" t="s">
        <v>65</v>
      </c>
      <c r="C40" s="15">
        <v>187613</v>
      </c>
      <c r="D40" s="14">
        <f t="shared" si="2"/>
        <v>187613</v>
      </c>
      <c r="E40" s="231"/>
      <c r="F40" s="276">
        <v>55079</v>
      </c>
      <c r="G40" s="228"/>
      <c r="H40" s="231">
        <v>9874</v>
      </c>
      <c r="I40" s="219"/>
      <c r="J40" s="217"/>
      <c r="K40" s="217"/>
      <c r="L40" s="217"/>
      <c r="M40" s="9">
        <f t="shared" si="0"/>
        <v>0</v>
      </c>
      <c r="N40" s="217"/>
      <c r="O40" s="217">
        <f>75021+47639</f>
        <v>122660</v>
      </c>
      <c r="P40" s="217"/>
      <c r="Q40" s="214">
        <f t="shared" si="1"/>
        <v>122660</v>
      </c>
      <c r="R40" s="231"/>
      <c r="T40" s="199"/>
      <c r="U40" s="211"/>
      <c r="V40" s="211"/>
      <c r="W40" s="211"/>
      <c r="X40" s="211"/>
      <c r="Y40" s="211"/>
      <c r="Z40" s="211"/>
    </row>
    <row r="41" spans="1:26" ht="15" thickBot="1" x14ac:dyDescent="0.35">
      <c r="A41" s="39">
        <v>562.88</v>
      </c>
      <c r="B41" s="82" t="s">
        <v>91</v>
      </c>
      <c r="C41" s="15">
        <v>397630</v>
      </c>
      <c r="D41" s="14">
        <f t="shared" si="2"/>
        <v>397630</v>
      </c>
      <c r="E41" s="231"/>
      <c r="F41" s="276">
        <v>18932</v>
      </c>
      <c r="G41" s="228"/>
      <c r="H41" s="231">
        <f>308117+44657</f>
        <v>352774</v>
      </c>
      <c r="I41" s="219"/>
      <c r="J41" s="217"/>
      <c r="K41" s="217"/>
      <c r="L41" s="217"/>
      <c r="M41" s="9">
        <f t="shared" si="0"/>
        <v>0</v>
      </c>
      <c r="N41" s="217"/>
      <c r="O41" s="217">
        <f>138+25786</f>
        <v>25924</v>
      </c>
      <c r="P41" s="217"/>
      <c r="Q41" s="214">
        <f t="shared" si="1"/>
        <v>25924</v>
      </c>
      <c r="R41" s="231"/>
      <c r="T41" s="199"/>
      <c r="U41" s="211"/>
      <c r="V41" s="211"/>
      <c r="W41" s="211"/>
      <c r="X41" s="211"/>
      <c r="Y41" s="211"/>
      <c r="Z41" s="211"/>
    </row>
    <row r="42" spans="1:26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T42" s="199"/>
      <c r="U42" s="211"/>
      <c r="V42" s="211"/>
      <c r="W42" s="211"/>
      <c r="X42" s="211"/>
      <c r="Y42" s="211"/>
      <c r="Z42" s="211"/>
    </row>
    <row r="43" spans="1:26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  <c r="U43" s="211"/>
      <c r="V43" s="211"/>
      <c r="W43" s="211"/>
      <c r="X43" s="211"/>
      <c r="Y43" s="211"/>
      <c r="Z43" s="211"/>
    </row>
    <row r="44" spans="1:26" x14ac:dyDescent="0.3">
      <c r="A44" s="206" t="s">
        <v>110</v>
      </c>
      <c r="B44" s="207" t="s">
        <v>68</v>
      </c>
      <c r="C44" s="208">
        <f>SUM(C5:C43)</f>
        <v>9791727</v>
      </c>
      <c r="D44" s="205">
        <f>E44+F44+G44+H44+I44+M44+Q44+R44</f>
        <v>9791727</v>
      </c>
      <c r="E44" s="233">
        <f t="shared" ref="E44:R44" si="3">SUM(E5:E43)</f>
        <v>385534</v>
      </c>
      <c r="F44" s="259">
        <f t="shared" si="3"/>
        <v>997476</v>
      </c>
      <c r="G44" s="223">
        <f t="shared" si="3"/>
        <v>843304</v>
      </c>
      <c r="H44" s="233">
        <f t="shared" si="3"/>
        <v>1345413</v>
      </c>
      <c r="I44" s="239">
        <f t="shared" si="3"/>
        <v>191353</v>
      </c>
      <c r="J44" s="245">
        <f>SUM(J5:J43)</f>
        <v>0</v>
      </c>
      <c r="K44" s="245">
        <f>SUM(K5:K43)</f>
        <v>0</v>
      </c>
      <c r="L44" s="245">
        <f>SUM(L5:L43)</f>
        <v>536279</v>
      </c>
      <c r="M44" s="208">
        <f t="shared" si="3"/>
        <v>536279</v>
      </c>
      <c r="N44" s="245">
        <f>SUM(N5:N43)</f>
        <v>913801</v>
      </c>
      <c r="O44" s="245">
        <f>SUM(O5:O43)</f>
        <v>4908012</v>
      </c>
      <c r="P44" s="245">
        <f>SUM(P5:P43)</f>
        <v>0</v>
      </c>
      <c r="Q44" s="216">
        <f t="shared" si="3"/>
        <v>5821813</v>
      </c>
      <c r="R44" s="233">
        <f t="shared" si="3"/>
        <v>-329445</v>
      </c>
      <c r="T44" s="199"/>
      <c r="U44" s="211"/>
      <c r="V44" s="211"/>
      <c r="W44" s="211"/>
      <c r="X44" s="211"/>
      <c r="Y44" s="211"/>
      <c r="Z44" s="211"/>
    </row>
    <row r="45" spans="1:26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  <c r="W45" s="211"/>
      <c r="X45" s="211"/>
      <c r="Y45" s="211"/>
      <c r="Z45" s="211"/>
    </row>
    <row r="46" spans="1:26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  <c r="W46" s="211"/>
      <c r="X46" s="211"/>
      <c r="Y46" s="211"/>
      <c r="Z46" s="211"/>
    </row>
    <row r="47" spans="1:26" ht="15" thickBot="1" x14ac:dyDescent="0.35">
      <c r="A47" s="39">
        <v>527.70000000000005</v>
      </c>
      <c r="B47" s="40" t="s">
        <v>71</v>
      </c>
      <c r="C47" s="15">
        <v>281082</v>
      </c>
      <c r="D47" s="14">
        <f t="shared" si="2"/>
        <v>281082</v>
      </c>
      <c r="E47" s="231"/>
      <c r="F47" s="257"/>
      <c r="G47" s="228"/>
      <c r="H47" s="231">
        <v>483</v>
      </c>
      <c r="I47" s="219"/>
      <c r="J47" s="217"/>
      <c r="K47" s="217"/>
      <c r="L47" s="217">
        <v>21432</v>
      </c>
      <c r="M47" s="9">
        <f t="shared" si="0"/>
        <v>21432</v>
      </c>
      <c r="N47" s="217"/>
      <c r="O47" s="217">
        <v>293813</v>
      </c>
      <c r="P47" s="217"/>
      <c r="Q47" s="214">
        <f t="shared" si="1"/>
        <v>293813</v>
      </c>
      <c r="R47" s="231">
        <v>-34646</v>
      </c>
      <c r="S47" s="199">
        <v>508.1</v>
      </c>
      <c r="T47" s="199">
        <v>34646</v>
      </c>
      <c r="U47" s="211"/>
      <c r="V47" s="211"/>
      <c r="W47" s="211"/>
      <c r="X47" s="211"/>
      <c r="Y47" s="211"/>
      <c r="Z47" s="211"/>
    </row>
    <row r="48" spans="1:26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  <c r="W48" s="211"/>
      <c r="X48" s="211"/>
      <c r="Y48" s="211"/>
      <c r="Z48" s="211"/>
    </row>
    <row r="49" spans="1:26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T49" s="199"/>
      <c r="U49" s="211"/>
      <c r="V49" s="211"/>
      <c r="W49" s="211"/>
      <c r="X49" s="211"/>
      <c r="Y49" s="211"/>
      <c r="Z49" s="211"/>
    </row>
    <row r="50" spans="1:26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  <c r="W50" s="211"/>
      <c r="X50" s="211"/>
      <c r="Y50" s="211"/>
      <c r="Z50" s="211"/>
    </row>
    <row r="51" spans="1:26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  <c r="W51" s="211"/>
      <c r="X51" s="211"/>
      <c r="Y51" s="211"/>
      <c r="Z51" s="211"/>
    </row>
    <row r="52" spans="1:26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  <c r="W52" s="211"/>
      <c r="X52" s="211"/>
      <c r="Y52" s="211"/>
      <c r="Z52" s="211"/>
    </row>
    <row r="53" spans="1:26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  <c r="T53" s="199"/>
      <c r="U53" s="211"/>
      <c r="V53" s="211"/>
      <c r="W53" s="211"/>
      <c r="X53" s="211"/>
      <c r="Y53" s="211"/>
      <c r="Z53" s="211"/>
    </row>
    <row r="54" spans="1:26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  <c r="U54" s="211"/>
      <c r="V54" s="211"/>
      <c r="W54" s="211"/>
      <c r="X54" s="211"/>
      <c r="Y54" s="211"/>
      <c r="Z54" s="211"/>
    </row>
    <row r="55" spans="1:26" x14ac:dyDescent="0.3">
      <c r="A55" s="41">
        <v>500</v>
      </c>
      <c r="B55" s="32" t="s">
        <v>118</v>
      </c>
      <c r="C55" s="18"/>
      <c r="D55" s="20">
        <f t="shared" si="2"/>
        <v>0</v>
      </c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T55" s="199"/>
      <c r="U55" s="211"/>
      <c r="V55" s="211"/>
      <c r="W55" s="211"/>
      <c r="X55" s="211"/>
      <c r="Y55" s="211"/>
      <c r="Z55" s="211"/>
    </row>
    <row r="56" spans="1:26" ht="15" thickBot="1" x14ac:dyDescent="0.35">
      <c r="A56" s="107"/>
      <c r="B56" s="108" t="s">
        <v>80</v>
      </c>
      <c r="C56" s="111">
        <f>SUM(C44:C55)</f>
        <v>10072809</v>
      </c>
      <c r="D56" s="110">
        <f>E56+F56+G56+H56+I56+M56+Q56+R56</f>
        <v>10072809</v>
      </c>
      <c r="E56" s="235">
        <f t="shared" ref="E56:R56" si="4">SUM(E44:E55)</f>
        <v>385534</v>
      </c>
      <c r="F56" s="260">
        <f t="shared" si="4"/>
        <v>997476</v>
      </c>
      <c r="G56" s="225">
        <f t="shared" si="4"/>
        <v>843304</v>
      </c>
      <c r="H56" s="235">
        <f t="shared" si="4"/>
        <v>1345896</v>
      </c>
      <c r="I56" s="240">
        <f t="shared" si="4"/>
        <v>191353</v>
      </c>
      <c r="J56" s="218">
        <f>SUM(J44:J55)</f>
        <v>0</v>
      </c>
      <c r="K56" s="218">
        <f>SUM(K44:K55)</f>
        <v>0</v>
      </c>
      <c r="L56" s="218">
        <f>SUM(L44:L55)</f>
        <v>557711</v>
      </c>
      <c r="M56" s="209">
        <f t="shared" si="4"/>
        <v>557711</v>
      </c>
      <c r="N56" s="218">
        <f>SUM(N44:N55)</f>
        <v>913801</v>
      </c>
      <c r="O56" s="218">
        <f>SUM(O44:O55)</f>
        <v>5201825</v>
      </c>
      <c r="P56" s="218">
        <f>SUM(P44:P55)</f>
        <v>0</v>
      </c>
      <c r="Q56" s="218">
        <f t="shared" si="4"/>
        <v>6115626</v>
      </c>
      <c r="R56" s="235">
        <f t="shared" si="4"/>
        <v>-364091</v>
      </c>
    </row>
    <row r="57" spans="1:26" ht="15" thickTop="1" x14ac:dyDescent="0.3"/>
    <row r="58" spans="1:26" ht="15" thickBot="1" x14ac:dyDescent="0.35"/>
    <row r="59" spans="1:26" ht="15" thickBot="1" x14ac:dyDescent="0.35">
      <c r="B59" s="42" t="s">
        <v>109</v>
      </c>
      <c r="C59" s="43"/>
      <c r="D59" s="44"/>
    </row>
    <row r="60" spans="1:26" ht="15" thickTop="1" x14ac:dyDescent="0.3">
      <c r="B60" s="115"/>
      <c r="C60" s="116" t="s">
        <v>82</v>
      </c>
      <c r="D60" s="117" t="s">
        <v>78</v>
      </c>
    </row>
    <row r="61" spans="1:26" x14ac:dyDescent="0.3">
      <c r="B61" s="153" t="s">
        <v>108</v>
      </c>
      <c r="C61" s="45"/>
      <c r="D61" s="46"/>
    </row>
    <row r="62" spans="1:26" x14ac:dyDescent="0.3">
      <c r="B62" s="26" t="s">
        <v>3</v>
      </c>
      <c r="C62" s="47">
        <f>E56</f>
        <v>385534</v>
      </c>
      <c r="D62" s="48">
        <f>E56/D56</f>
        <v>3.8274725550737632E-2</v>
      </c>
    </row>
    <row r="63" spans="1:26" x14ac:dyDescent="0.3">
      <c r="B63" s="26" t="s">
        <v>4</v>
      </c>
      <c r="C63" s="49">
        <f>F56</f>
        <v>997476</v>
      </c>
      <c r="D63" s="48">
        <f>F56/D56</f>
        <v>9.9026597248096329E-2</v>
      </c>
    </row>
    <row r="64" spans="1:26" x14ac:dyDescent="0.3">
      <c r="B64" s="56" t="s">
        <v>79</v>
      </c>
      <c r="C64" s="50">
        <f>G56</f>
        <v>843304</v>
      </c>
      <c r="D64" s="51">
        <f>G56/D56</f>
        <v>8.3720836958191103E-2</v>
      </c>
    </row>
    <row r="65" spans="2:4" ht="15" thickBot="1" x14ac:dyDescent="0.35">
      <c r="B65" s="146" t="s">
        <v>115</v>
      </c>
      <c r="C65" s="52">
        <f>SUM(C62:C64)</f>
        <v>2226314</v>
      </c>
      <c r="D65" s="53">
        <f>SUM(D62:D64)</f>
        <v>0.22102215975702505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1345896</v>
      </c>
      <c r="D67" s="25">
        <f>H56/D56</f>
        <v>0.13361674980633506</v>
      </c>
    </row>
    <row r="68" spans="2:4" x14ac:dyDescent="0.3">
      <c r="B68" s="57" t="s">
        <v>7</v>
      </c>
      <c r="C68" s="27">
        <f>I56</f>
        <v>191353</v>
      </c>
      <c r="D68" s="28">
        <f>I56/D56</f>
        <v>1.8996984852983911E-2</v>
      </c>
    </row>
    <row r="69" spans="2:4" ht="15" thickBot="1" x14ac:dyDescent="0.35">
      <c r="B69" s="146" t="s">
        <v>116</v>
      </c>
      <c r="C69" s="52">
        <f>SUM(C67:C68)</f>
        <v>1537249</v>
      </c>
      <c r="D69" s="53">
        <f>SUM(D67:D68)</f>
        <v>0.15261373465931896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557711</v>
      </c>
      <c r="D71" s="25">
        <f>M56/D56</f>
        <v>5.5367971337488879E-2</v>
      </c>
    </row>
    <row r="72" spans="2:4" x14ac:dyDescent="0.3">
      <c r="B72" s="24" t="s">
        <v>8</v>
      </c>
      <c r="C72" s="23">
        <f>Q56</f>
        <v>6115626</v>
      </c>
      <c r="D72" s="25">
        <f>Q56/D56</f>
        <v>0.60714205937986121</v>
      </c>
    </row>
    <row r="73" spans="2:4" x14ac:dyDescent="0.3">
      <c r="B73" s="163" t="s">
        <v>83</v>
      </c>
      <c r="C73" s="27">
        <f>R56</f>
        <v>-364091</v>
      </c>
      <c r="D73" s="28">
        <f>R56/D56</f>
        <v>-3.6145925133694086E-2</v>
      </c>
    </row>
    <row r="74" spans="2:4" ht="15" thickBot="1" x14ac:dyDescent="0.35">
      <c r="B74" s="146" t="s">
        <v>117</v>
      </c>
      <c r="C74" s="52">
        <f>SUM(C71:C73)</f>
        <v>6309246</v>
      </c>
      <c r="D74" s="53">
        <f>SUM(D71:D73)</f>
        <v>0.62636410558365596</v>
      </c>
    </row>
    <row r="75" spans="2:4" ht="15" thickBot="1" x14ac:dyDescent="0.35">
      <c r="B75" s="157" t="s">
        <v>80</v>
      </c>
      <c r="C75" s="158">
        <f>C65+C69+C74</f>
        <v>10072809</v>
      </c>
      <c r="D75" s="159">
        <f>D65+D69+D74</f>
        <v>1</v>
      </c>
    </row>
    <row r="78" spans="2:4" x14ac:dyDescent="0.3">
      <c r="C78" s="197"/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131" priority="7">
      <formula>ROW()=EVEN(ROW())</formula>
    </cfRule>
  </conditionalFormatting>
  <conditionalFormatting sqref="A55:B55">
    <cfRule type="expression" dxfId="130" priority="5">
      <formula>ROW()=EVEN(ROW())</formula>
    </cfRule>
  </conditionalFormatting>
  <conditionalFormatting sqref="A54:B54">
    <cfRule type="expression" dxfId="129" priority="4">
      <formula>ROW()=EVEN(ROW())</formula>
    </cfRule>
  </conditionalFormatting>
  <conditionalFormatting sqref="M45:M55">
    <cfRule type="expression" dxfId="128" priority="3">
      <formula>ROW()=EVEN(ROW())</formula>
    </cfRule>
  </conditionalFormatting>
  <conditionalFormatting sqref="D45:D55">
    <cfRule type="expression" dxfId="127" priority="2">
      <formula>ROW()=EVEN(ROW())</formula>
    </cfRule>
  </conditionalFormatting>
  <conditionalFormatting sqref="N44:P55">
    <cfRule type="expression" dxfId="126" priority="1">
      <formula>ROW()=EVEN(ROW())</formula>
    </cfRule>
  </conditionalFormatting>
  <printOptions horizontalCentered="1"/>
  <pageMargins left="0" right="0" top="1.1000000000000001" bottom="0.5" header="0.3" footer="0.3"/>
  <pageSetup scale="85" fitToHeight="0" orientation="landscape" r:id="rId1"/>
  <headerFooter>
    <oddHeader>&amp;C&amp;"-,Bold"&amp;20Funding by Expenditure Code and Revenue Source&amp;"-,Regular"&amp;11
&amp;"-,Bold"&amp;20 2014&amp;"-,Regular"&amp;11
&amp;"-,Bold"&amp;20KITSAP</oddHeader>
    <oddFooter>&amp;LRevised 11-4-16&amp;CPage &amp;P</oddFooter>
  </headerFooter>
  <rowBreaks count="1" manualBreakCount="1">
    <brk id="44" max="16383" man="1"/>
  </row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88"/>
  <sheetViews>
    <sheetView showZeros="0" topLeftCell="A4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9.5546875" style="200" bestFit="1" customWidth="1"/>
  </cols>
  <sheetData>
    <row r="1" spans="1:24" x14ac:dyDescent="0.3">
      <c r="A1" s="22" t="s">
        <v>150</v>
      </c>
      <c r="B1" s="6"/>
      <c r="C1" s="31">
        <v>42100</v>
      </c>
      <c r="D1" s="22" t="s">
        <v>150</v>
      </c>
      <c r="E1" s="261"/>
      <c r="F1" s="221"/>
      <c r="G1" s="221">
        <v>42100</v>
      </c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4" x14ac:dyDescent="0.3">
      <c r="A2" s="80" t="s">
        <v>44</v>
      </c>
      <c r="B2" s="5"/>
      <c r="C2" s="83">
        <v>17.8</v>
      </c>
      <c r="D2" s="80" t="s">
        <v>44</v>
      </c>
      <c r="E2" s="237"/>
      <c r="F2" s="221"/>
      <c r="G2" s="221">
        <v>17.8</v>
      </c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4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4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  <c r="W4" s="202" t="s">
        <v>153</v>
      </c>
      <c r="X4" s="203" t="s">
        <v>82</v>
      </c>
    </row>
    <row r="5" spans="1:24" ht="15" thickBot="1" x14ac:dyDescent="0.35">
      <c r="A5" s="36">
        <v>562.1</v>
      </c>
      <c r="B5" s="37" t="s">
        <v>47</v>
      </c>
      <c r="C5" s="16">
        <v>567895</v>
      </c>
      <c r="D5" s="14">
        <f>E5+F5+G5+H5+I5+M5+Q5+R5</f>
        <v>410645</v>
      </c>
      <c r="E5" s="236">
        <v>0</v>
      </c>
      <c r="F5" s="256">
        <v>7323</v>
      </c>
      <c r="G5" s="227">
        <v>0</v>
      </c>
      <c r="H5" s="236">
        <v>0</v>
      </c>
      <c r="I5" s="241">
        <v>0</v>
      </c>
      <c r="J5" s="214"/>
      <c r="K5" s="214"/>
      <c r="L5" s="214">
        <f>108+219317</f>
        <v>219425</v>
      </c>
      <c r="M5" s="9">
        <f>SUM(J5:L5)</f>
        <v>219425</v>
      </c>
      <c r="N5" s="214"/>
      <c r="O5" s="214">
        <v>24</v>
      </c>
      <c r="P5" s="214"/>
      <c r="Q5" s="214">
        <f>SUM(N5:P5)</f>
        <v>24</v>
      </c>
      <c r="R5" s="236">
        <f>182731+132+1010</f>
        <v>183873</v>
      </c>
      <c r="S5" s="199">
        <v>308.8</v>
      </c>
      <c r="T5" s="199">
        <v>182731</v>
      </c>
      <c r="U5" s="211">
        <v>361.11</v>
      </c>
      <c r="V5" s="211">
        <v>132</v>
      </c>
      <c r="W5" s="211">
        <v>369</v>
      </c>
      <c r="X5" s="211">
        <v>1010</v>
      </c>
    </row>
    <row r="6" spans="1:24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  <c r="U6" s="211"/>
      <c r="V6" s="211"/>
      <c r="W6" s="211"/>
      <c r="X6" s="211"/>
    </row>
    <row r="7" spans="1:24" ht="15" thickBot="1" x14ac:dyDescent="0.35">
      <c r="A7" s="39">
        <v>562.22</v>
      </c>
      <c r="B7" s="82" t="s">
        <v>92</v>
      </c>
      <c r="C7" s="15">
        <v>42851</v>
      </c>
      <c r="D7" s="14">
        <f t="shared" ref="D7:D55" si="2">E7+F7+G7+H7+I7+M7+Q7+R7</f>
        <v>41184</v>
      </c>
      <c r="E7" s="231"/>
      <c r="F7" s="257"/>
      <c r="G7" s="228"/>
      <c r="H7" s="231">
        <v>41184</v>
      </c>
      <c r="I7" s="219"/>
      <c r="J7" s="217"/>
      <c r="K7" s="217"/>
      <c r="L7" s="217"/>
      <c r="M7" s="9">
        <f t="shared" si="0"/>
        <v>0</v>
      </c>
      <c r="N7" s="217"/>
      <c r="O7" s="217"/>
      <c r="P7" s="217"/>
      <c r="Q7" s="214">
        <f t="shared" si="1"/>
        <v>0</v>
      </c>
      <c r="R7" s="231"/>
      <c r="T7" s="199"/>
      <c r="U7" s="211"/>
      <c r="V7" s="211"/>
      <c r="W7" s="211"/>
      <c r="X7" s="211"/>
    </row>
    <row r="8" spans="1:24" ht="15" thickBot="1" x14ac:dyDescent="0.35">
      <c r="A8" s="39">
        <v>562.24</v>
      </c>
      <c r="B8" s="40" t="s">
        <v>49</v>
      </c>
      <c r="C8" s="15">
        <v>7476</v>
      </c>
      <c r="D8" s="14">
        <f t="shared" si="2"/>
        <v>7477</v>
      </c>
      <c r="E8" s="231"/>
      <c r="F8" s="257"/>
      <c r="G8" s="228">
        <v>3021</v>
      </c>
      <c r="H8" s="231">
        <v>3021</v>
      </c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>
        <v>1435</v>
      </c>
      <c r="S8" s="199">
        <v>367.13</v>
      </c>
      <c r="T8" s="199">
        <v>1435</v>
      </c>
      <c r="U8" s="211"/>
      <c r="V8" s="211"/>
      <c r="W8" s="211"/>
      <c r="X8" s="211"/>
    </row>
    <row r="9" spans="1:24" ht="15" thickBot="1" x14ac:dyDescent="0.35">
      <c r="A9" s="39">
        <v>562.25</v>
      </c>
      <c r="B9" s="82" t="s">
        <v>93</v>
      </c>
      <c r="C9" s="15"/>
      <c r="D9" s="14">
        <f t="shared" si="2"/>
        <v>0</v>
      </c>
      <c r="E9" s="231"/>
      <c r="F9" s="257"/>
      <c r="G9" s="228"/>
      <c r="H9" s="231"/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  <c r="T9" s="199"/>
      <c r="U9" s="211"/>
      <c r="V9" s="211"/>
      <c r="W9" s="211"/>
      <c r="X9" s="211"/>
    </row>
    <row r="10" spans="1:24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T10" s="199"/>
      <c r="U10" s="211"/>
      <c r="V10" s="211"/>
      <c r="W10" s="211"/>
      <c r="X10" s="211"/>
    </row>
    <row r="11" spans="1:24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T11" s="199"/>
      <c r="U11" s="211"/>
      <c r="V11" s="211"/>
      <c r="W11" s="211"/>
      <c r="X11" s="211"/>
    </row>
    <row r="12" spans="1:24" ht="15" thickBot="1" x14ac:dyDescent="0.35">
      <c r="A12" s="39">
        <v>562.28</v>
      </c>
      <c r="B12" s="82" t="s">
        <v>94</v>
      </c>
      <c r="C12" s="15"/>
      <c r="D12" s="14">
        <f t="shared" si="2"/>
        <v>0</v>
      </c>
      <c r="E12" s="231"/>
      <c r="F12" s="257"/>
      <c r="G12" s="228"/>
      <c r="H12" s="231"/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  <c r="T12" s="199"/>
      <c r="U12" s="211"/>
      <c r="V12" s="211"/>
      <c r="W12" s="211"/>
      <c r="X12" s="211"/>
    </row>
    <row r="13" spans="1:24" ht="15" thickBot="1" x14ac:dyDescent="0.35">
      <c r="A13" s="39">
        <v>562.29</v>
      </c>
      <c r="B13" s="82" t="s">
        <v>86</v>
      </c>
      <c r="C13" s="15">
        <v>37567</v>
      </c>
      <c r="D13" s="14">
        <f t="shared" si="2"/>
        <v>17119</v>
      </c>
      <c r="E13" s="231"/>
      <c r="F13" s="257"/>
      <c r="G13" s="228"/>
      <c r="H13" s="231">
        <f>1247+2501</f>
        <v>3748</v>
      </c>
      <c r="I13" s="219"/>
      <c r="J13" s="217"/>
      <c r="K13" s="217"/>
      <c r="L13" s="217"/>
      <c r="M13" s="9">
        <f t="shared" si="0"/>
        <v>0</v>
      </c>
      <c r="N13" s="217"/>
      <c r="O13" s="217">
        <v>12371</v>
      </c>
      <c r="P13" s="217"/>
      <c r="Q13" s="214">
        <f t="shared" si="1"/>
        <v>12371</v>
      </c>
      <c r="R13" s="231">
        <v>1000</v>
      </c>
      <c r="S13" s="199">
        <v>367</v>
      </c>
      <c r="T13" s="199">
        <v>1000</v>
      </c>
      <c r="U13" s="211"/>
      <c r="V13" s="211"/>
      <c r="W13" s="211"/>
      <c r="X13" s="211"/>
    </row>
    <row r="14" spans="1:24" ht="15" thickBot="1" x14ac:dyDescent="0.35">
      <c r="A14" s="39">
        <v>562.32000000000005</v>
      </c>
      <c r="B14" s="40" t="s">
        <v>50</v>
      </c>
      <c r="C14" s="15">
        <v>26584</v>
      </c>
      <c r="D14" s="14">
        <f t="shared" si="2"/>
        <v>26393</v>
      </c>
      <c r="E14" s="231"/>
      <c r="F14" s="257">
        <v>1238</v>
      </c>
      <c r="G14" s="228"/>
      <c r="H14" s="231">
        <f>11514+13338+303</f>
        <v>25155</v>
      </c>
      <c r="I14" s="219"/>
      <c r="J14" s="217"/>
      <c r="K14" s="217"/>
      <c r="L14" s="217"/>
      <c r="M14" s="9">
        <f t="shared" si="0"/>
        <v>0</v>
      </c>
      <c r="N14" s="217"/>
      <c r="O14" s="217"/>
      <c r="P14" s="217"/>
      <c r="Q14" s="214">
        <f t="shared" si="1"/>
        <v>0</v>
      </c>
      <c r="R14" s="231"/>
      <c r="T14" s="199"/>
      <c r="U14" s="211"/>
      <c r="V14" s="211"/>
      <c r="W14" s="211"/>
      <c r="X14" s="211"/>
    </row>
    <row r="15" spans="1:24" ht="15" thickBot="1" x14ac:dyDescent="0.35">
      <c r="A15" s="39">
        <v>562.33000000000004</v>
      </c>
      <c r="B15" s="82" t="s">
        <v>95</v>
      </c>
      <c r="C15" s="15"/>
      <c r="D15" s="14">
        <f t="shared" si="2"/>
        <v>0</v>
      </c>
      <c r="E15" s="231"/>
      <c r="F15" s="257"/>
      <c r="G15" s="228"/>
      <c r="H15" s="231"/>
      <c r="I15" s="219"/>
      <c r="J15" s="217"/>
      <c r="K15" s="217"/>
      <c r="L15" s="217"/>
      <c r="M15" s="9">
        <f t="shared" si="0"/>
        <v>0</v>
      </c>
      <c r="N15" s="217"/>
      <c r="O15" s="217"/>
      <c r="P15" s="217"/>
      <c r="Q15" s="214">
        <f t="shared" si="1"/>
        <v>0</v>
      </c>
      <c r="R15" s="231"/>
      <c r="T15" s="199"/>
      <c r="U15" s="211"/>
      <c r="V15" s="211"/>
      <c r="W15" s="211"/>
      <c r="X15" s="211"/>
    </row>
    <row r="16" spans="1:24" ht="15" thickBot="1" x14ac:dyDescent="0.35">
      <c r="A16" s="39">
        <v>562.34</v>
      </c>
      <c r="B16" s="40" t="s">
        <v>51</v>
      </c>
      <c r="C16" s="15">
        <v>9775</v>
      </c>
      <c r="D16" s="14">
        <f t="shared" si="2"/>
        <v>9775</v>
      </c>
      <c r="E16" s="231"/>
      <c r="F16" s="257"/>
      <c r="G16" s="228"/>
      <c r="H16" s="231">
        <v>870</v>
      </c>
      <c r="I16" s="219"/>
      <c r="J16" s="217"/>
      <c r="K16" s="217"/>
      <c r="L16" s="217">
        <v>17679</v>
      </c>
      <c r="M16" s="9">
        <f t="shared" si="0"/>
        <v>17679</v>
      </c>
      <c r="N16" s="217"/>
      <c r="O16" s="217">
        <v>3523</v>
      </c>
      <c r="P16" s="217"/>
      <c r="Q16" s="214">
        <f t="shared" si="1"/>
        <v>3523</v>
      </c>
      <c r="R16" s="231">
        <v>-12297</v>
      </c>
      <c r="S16" s="199">
        <v>308.8</v>
      </c>
      <c r="T16" s="213">
        <v>-12297</v>
      </c>
      <c r="U16" s="211"/>
      <c r="V16" s="211"/>
      <c r="W16" s="211"/>
      <c r="X16" s="211"/>
    </row>
    <row r="17" spans="1:24" ht="15" thickBot="1" x14ac:dyDescent="0.35">
      <c r="A17" s="39">
        <v>562.35</v>
      </c>
      <c r="B17" s="40" t="s">
        <v>52</v>
      </c>
      <c r="C17" s="15">
        <v>20390</v>
      </c>
      <c r="D17" s="14">
        <f t="shared" si="2"/>
        <v>20390</v>
      </c>
      <c r="E17" s="231"/>
      <c r="F17" s="257">
        <v>20390</v>
      </c>
      <c r="G17" s="228"/>
      <c r="H17" s="231"/>
      <c r="I17" s="219"/>
      <c r="J17" s="217"/>
      <c r="K17" s="217"/>
      <c r="L17" s="217"/>
      <c r="M17" s="9">
        <f t="shared" si="0"/>
        <v>0</v>
      </c>
      <c r="N17" s="217"/>
      <c r="O17" s="217"/>
      <c r="P17" s="217"/>
      <c r="Q17" s="214">
        <f t="shared" si="1"/>
        <v>0</v>
      </c>
      <c r="R17" s="231"/>
      <c r="T17" s="199"/>
      <c r="U17" s="211"/>
      <c r="V17" s="211"/>
      <c r="W17" s="211"/>
      <c r="X17" s="211"/>
    </row>
    <row r="18" spans="1:24" ht="15" thickBot="1" x14ac:dyDescent="0.35">
      <c r="A18" s="39">
        <v>562.39</v>
      </c>
      <c r="B18" s="40" t="s">
        <v>53</v>
      </c>
      <c r="C18" s="15">
        <v>65856</v>
      </c>
      <c r="D18" s="14">
        <f t="shared" si="2"/>
        <v>7779</v>
      </c>
      <c r="E18" s="231"/>
      <c r="F18" s="257">
        <v>7099</v>
      </c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>
        <v>680</v>
      </c>
      <c r="P18" s="217"/>
      <c r="Q18" s="214">
        <f t="shared" si="1"/>
        <v>680</v>
      </c>
      <c r="R18" s="231"/>
      <c r="T18" s="199"/>
      <c r="U18" s="211"/>
      <c r="V18" s="211"/>
      <c r="W18" s="211"/>
      <c r="X18" s="211"/>
    </row>
    <row r="19" spans="1:24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  <c r="T19" s="199"/>
      <c r="U19" s="211"/>
      <c r="V19" s="211"/>
      <c r="W19" s="211"/>
      <c r="X19" s="211"/>
    </row>
    <row r="20" spans="1:24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  <c r="W20" s="211"/>
      <c r="X20" s="211"/>
    </row>
    <row r="21" spans="1:24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  <c r="T21" s="199"/>
      <c r="U21" s="211"/>
      <c r="V21" s="211"/>
      <c r="W21" s="211"/>
      <c r="X21" s="211"/>
    </row>
    <row r="22" spans="1:24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  <c r="T22" s="199"/>
      <c r="U22" s="211"/>
      <c r="V22" s="211"/>
      <c r="W22" s="211"/>
      <c r="X22" s="211"/>
    </row>
    <row r="23" spans="1:24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  <c r="W23" s="211"/>
      <c r="X23" s="211"/>
    </row>
    <row r="24" spans="1:24" ht="15" thickBot="1" x14ac:dyDescent="0.35">
      <c r="A24" s="39">
        <v>562.49</v>
      </c>
      <c r="B24" s="82" t="s">
        <v>87</v>
      </c>
      <c r="C24" s="15">
        <v>103569</v>
      </c>
      <c r="D24" s="14">
        <f t="shared" si="2"/>
        <v>100377</v>
      </c>
      <c r="E24" s="231"/>
      <c r="F24" s="257">
        <v>69609</v>
      </c>
      <c r="G24" s="228"/>
      <c r="H24" s="231">
        <f>5370+25398</f>
        <v>30768</v>
      </c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  <c r="T24" s="199"/>
      <c r="U24" s="211"/>
      <c r="V24" s="211"/>
      <c r="W24" s="211"/>
      <c r="X24" s="211"/>
    </row>
    <row r="25" spans="1:24" ht="15" thickBot="1" x14ac:dyDescent="0.35">
      <c r="A25" s="39">
        <v>562.52</v>
      </c>
      <c r="B25" s="40" t="s">
        <v>56</v>
      </c>
      <c r="C25" s="15">
        <v>109395</v>
      </c>
      <c r="D25" s="14">
        <f t="shared" si="2"/>
        <v>113715</v>
      </c>
      <c r="E25" s="231"/>
      <c r="F25" s="257"/>
      <c r="G25" s="228">
        <v>7675</v>
      </c>
      <c r="H25" s="231"/>
      <c r="I25" s="219"/>
      <c r="J25" s="217"/>
      <c r="K25" s="217"/>
      <c r="L25" s="217">
        <v>11959</v>
      </c>
      <c r="M25" s="9">
        <f t="shared" si="0"/>
        <v>11959</v>
      </c>
      <c r="N25" s="217">
        <f>78510</f>
        <v>78510</v>
      </c>
      <c r="O25" s="217">
        <f>16+5355+4600+4600+1000</f>
        <v>15571</v>
      </c>
      <c r="P25" s="217"/>
      <c r="Q25" s="214">
        <f t="shared" si="1"/>
        <v>94081</v>
      </c>
      <c r="R25" s="231"/>
      <c r="T25" s="199"/>
      <c r="U25" s="211"/>
      <c r="V25" s="211"/>
      <c r="W25" s="211"/>
      <c r="X25" s="211"/>
    </row>
    <row r="26" spans="1:24" ht="15" thickBot="1" x14ac:dyDescent="0.35">
      <c r="A26" s="39">
        <v>562.53</v>
      </c>
      <c r="B26" s="82" t="s">
        <v>99</v>
      </c>
      <c r="C26" s="15">
        <v>105320</v>
      </c>
      <c r="D26" s="14">
        <f t="shared" si="2"/>
        <v>105320</v>
      </c>
      <c r="E26" s="231"/>
      <c r="F26" s="257"/>
      <c r="G26" s="228">
        <v>75250</v>
      </c>
      <c r="H26" s="231"/>
      <c r="I26" s="219"/>
      <c r="J26" s="217"/>
      <c r="K26" s="217"/>
      <c r="L26" s="217">
        <v>17975</v>
      </c>
      <c r="M26" s="9">
        <f t="shared" si="0"/>
        <v>17975</v>
      </c>
      <c r="N26" s="217">
        <v>12020</v>
      </c>
      <c r="O26" s="217"/>
      <c r="P26" s="217"/>
      <c r="Q26" s="214">
        <f t="shared" si="1"/>
        <v>12020</v>
      </c>
      <c r="R26" s="231">
        <v>75</v>
      </c>
      <c r="S26" s="199">
        <v>369.9</v>
      </c>
      <c r="T26" s="199">
        <v>75</v>
      </c>
      <c r="U26" s="211"/>
      <c r="V26" s="211"/>
      <c r="W26" s="211"/>
      <c r="X26" s="211"/>
    </row>
    <row r="27" spans="1:24" ht="15" thickBot="1" x14ac:dyDescent="0.35">
      <c r="A27" s="39">
        <v>562.54</v>
      </c>
      <c r="B27" s="82" t="s">
        <v>100</v>
      </c>
      <c r="C27" s="15">
        <v>93554</v>
      </c>
      <c r="D27" s="14">
        <f t="shared" si="2"/>
        <v>211802</v>
      </c>
      <c r="E27" s="231"/>
      <c r="F27" s="257"/>
      <c r="G27" s="228"/>
      <c r="H27" s="231"/>
      <c r="I27" s="219"/>
      <c r="J27" s="217"/>
      <c r="K27" s="217"/>
      <c r="L27" s="217"/>
      <c r="M27" s="9">
        <f t="shared" si="0"/>
        <v>0</v>
      </c>
      <c r="N27" s="217">
        <v>94180</v>
      </c>
      <c r="O27" s="217">
        <f>726+50+84905</f>
        <v>85681</v>
      </c>
      <c r="P27" s="217"/>
      <c r="Q27" s="214">
        <f t="shared" si="1"/>
        <v>179861</v>
      </c>
      <c r="R27" s="231">
        <f>31916+25</f>
        <v>31941</v>
      </c>
      <c r="S27" s="199">
        <v>308.8</v>
      </c>
      <c r="T27" s="199">
        <v>31916</v>
      </c>
      <c r="U27" s="211">
        <v>369.9</v>
      </c>
      <c r="V27" s="211">
        <v>25</v>
      </c>
      <c r="W27" s="211"/>
      <c r="X27" s="211"/>
    </row>
    <row r="28" spans="1:24" ht="15" thickBot="1" x14ac:dyDescent="0.35">
      <c r="A28" s="39">
        <v>562.54999999999995</v>
      </c>
      <c r="B28" s="40" t="s">
        <v>57</v>
      </c>
      <c r="C28" s="15">
        <v>3357</v>
      </c>
      <c r="D28" s="14">
        <f t="shared" si="2"/>
        <v>3357</v>
      </c>
      <c r="E28" s="231"/>
      <c r="F28" s="257">
        <v>3357</v>
      </c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  <c r="T28" s="199"/>
      <c r="U28" s="211"/>
      <c r="V28" s="211"/>
      <c r="W28" s="211"/>
      <c r="X28" s="211"/>
    </row>
    <row r="29" spans="1:24" ht="15" thickBot="1" x14ac:dyDescent="0.35">
      <c r="A29" s="39">
        <v>562.55999999999995</v>
      </c>
      <c r="B29" s="40" t="s">
        <v>58</v>
      </c>
      <c r="C29" s="15">
        <v>87202</v>
      </c>
      <c r="D29" s="14">
        <f t="shared" si="2"/>
        <v>165633</v>
      </c>
      <c r="E29" s="231"/>
      <c r="F29" s="257"/>
      <c r="G29" s="228"/>
      <c r="H29" s="231"/>
      <c r="I29" s="219"/>
      <c r="J29" s="217"/>
      <c r="K29" s="217"/>
      <c r="L29" s="217"/>
      <c r="M29" s="9">
        <f t="shared" si="0"/>
        <v>0</v>
      </c>
      <c r="N29" s="217">
        <v>153997</v>
      </c>
      <c r="O29" s="217">
        <v>11611</v>
      </c>
      <c r="P29" s="217"/>
      <c r="Q29" s="214">
        <f t="shared" si="1"/>
        <v>165608</v>
      </c>
      <c r="R29" s="231">
        <v>25</v>
      </c>
      <c r="S29" s="199">
        <v>369.9</v>
      </c>
      <c r="T29" s="199">
        <v>25</v>
      </c>
      <c r="U29" s="211"/>
      <c r="V29" s="211"/>
      <c r="W29" s="211"/>
      <c r="X29" s="211"/>
    </row>
    <row r="30" spans="1:24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  <c r="T30" s="199"/>
      <c r="U30" s="211"/>
      <c r="V30" s="211"/>
      <c r="W30" s="211"/>
      <c r="X30" s="211"/>
    </row>
    <row r="31" spans="1:24" ht="15" thickBot="1" x14ac:dyDescent="0.35">
      <c r="A31" s="39">
        <v>562.58000000000004</v>
      </c>
      <c r="B31" s="82" t="s">
        <v>88</v>
      </c>
      <c r="C31" s="15">
        <v>40137</v>
      </c>
      <c r="D31" s="14">
        <f t="shared" si="2"/>
        <v>60649</v>
      </c>
      <c r="E31" s="231"/>
      <c r="F31" s="257"/>
      <c r="G31" s="228">
        <v>25000</v>
      </c>
      <c r="H31" s="231"/>
      <c r="I31" s="219"/>
      <c r="J31" s="217"/>
      <c r="K31" s="217"/>
      <c r="L31" s="217"/>
      <c r="M31" s="9">
        <f t="shared" si="0"/>
        <v>0</v>
      </c>
      <c r="N31" s="217">
        <v>29557</v>
      </c>
      <c r="O31" s="217">
        <v>6092</v>
      </c>
      <c r="P31" s="217"/>
      <c r="Q31" s="214">
        <f t="shared" si="1"/>
        <v>35649</v>
      </c>
      <c r="R31" s="231"/>
      <c r="T31" s="199"/>
      <c r="U31" s="211"/>
      <c r="V31" s="211"/>
      <c r="W31" s="211"/>
      <c r="X31" s="211"/>
    </row>
    <row r="32" spans="1:24" ht="15" thickBot="1" x14ac:dyDescent="0.35">
      <c r="A32" s="39">
        <v>562.59</v>
      </c>
      <c r="B32" s="82" t="s">
        <v>89</v>
      </c>
      <c r="C32" s="15">
        <v>214</v>
      </c>
      <c r="D32" s="14">
        <f t="shared" si="2"/>
        <v>18208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>
        <v>18208</v>
      </c>
      <c r="O32" s="247"/>
      <c r="P32" s="247"/>
      <c r="Q32" s="214">
        <f t="shared" si="1"/>
        <v>18208</v>
      </c>
      <c r="R32" s="231"/>
      <c r="T32" s="199"/>
      <c r="U32" s="211"/>
      <c r="V32" s="211"/>
      <c r="W32" s="211"/>
      <c r="X32" s="211"/>
    </row>
    <row r="33" spans="1:24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  <c r="T33" s="199"/>
      <c r="U33" s="211"/>
      <c r="V33" s="211"/>
      <c r="W33" s="211"/>
      <c r="X33" s="211"/>
    </row>
    <row r="34" spans="1:24" ht="15" thickBot="1" x14ac:dyDescent="0.35">
      <c r="A34" s="39">
        <v>562.71</v>
      </c>
      <c r="B34" s="40" t="s">
        <v>60</v>
      </c>
      <c r="C34" s="15">
        <v>12715</v>
      </c>
      <c r="D34" s="14">
        <f t="shared" si="2"/>
        <v>16530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16530</v>
      </c>
      <c r="P34" s="217"/>
      <c r="Q34" s="214">
        <f t="shared" si="1"/>
        <v>16530</v>
      </c>
      <c r="R34" s="231"/>
      <c r="T34" s="199"/>
      <c r="U34" s="211"/>
      <c r="V34" s="211"/>
      <c r="W34" s="211"/>
      <c r="X34" s="211"/>
    </row>
    <row r="35" spans="1:24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T35" s="199"/>
      <c r="U35" s="211"/>
      <c r="V35" s="211"/>
      <c r="W35" s="211"/>
      <c r="X35" s="211"/>
    </row>
    <row r="36" spans="1:24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  <c r="T36" s="199"/>
      <c r="U36" s="211"/>
      <c r="V36" s="211"/>
      <c r="W36" s="211"/>
      <c r="X36" s="211"/>
    </row>
    <row r="37" spans="1:24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  <c r="U37" s="211"/>
      <c r="V37" s="211"/>
      <c r="W37" s="211"/>
      <c r="X37" s="211"/>
    </row>
    <row r="38" spans="1:24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  <c r="W38" s="211"/>
      <c r="X38" s="211"/>
    </row>
    <row r="39" spans="1:24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  <c r="W39" s="211"/>
      <c r="X39" s="211"/>
    </row>
    <row r="40" spans="1:24" ht="15" thickBot="1" x14ac:dyDescent="0.35">
      <c r="A40" s="39">
        <v>562.79999999999995</v>
      </c>
      <c r="B40" s="40" t="s">
        <v>65</v>
      </c>
      <c r="C40" s="15">
        <v>52167</v>
      </c>
      <c r="D40" s="14">
        <f t="shared" si="2"/>
        <v>52166</v>
      </c>
      <c r="E40" s="231"/>
      <c r="F40" s="257">
        <v>25304</v>
      </c>
      <c r="G40" s="228"/>
      <c r="H40" s="231">
        <f>9687+17175</f>
        <v>26862</v>
      </c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  <c r="T40" s="199"/>
      <c r="U40" s="211"/>
      <c r="V40" s="211"/>
      <c r="W40" s="211"/>
      <c r="X40" s="211"/>
    </row>
    <row r="41" spans="1:24" ht="15" thickBot="1" x14ac:dyDescent="0.35">
      <c r="A41" s="39">
        <v>562.88</v>
      </c>
      <c r="B41" s="82" t="s">
        <v>91</v>
      </c>
      <c r="C41" s="15">
        <v>68883</v>
      </c>
      <c r="D41" s="14">
        <f t="shared" si="2"/>
        <v>66369</v>
      </c>
      <c r="E41" s="231"/>
      <c r="F41" s="257"/>
      <c r="G41" s="228"/>
      <c r="H41" s="231">
        <f>3450+62919</f>
        <v>66369</v>
      </c>
      <c r="I41" s="219"/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/>
      <c r="T41" s="199"/>
      <c r="U41" s="211"/>
      <c r="V41" s="211"/>
      <c r="W41" s="211"/>
      <c r="X41" s="211"/>
    </row>
    <row r="42" spans="1:24" ht="15" thickBot="1" x14ac:dyDescent="0.35">
      <c r="A42" s="39">
        <v>562.9</v>
      </c>
      <c r="B42" s="40" t="s">
        <v>66</v>
      </c>
      <c r="C42" s="15">
        <v>14796</v>
      </c>
      <c r="D42" s="14">
        <f t="shared" si="2"/>
        <v>19814</v>
      </c>
      <c r="E42" s="231"/>
      <c r="F42" s="257"/>
      <c r="G42" s="228"/>
      <c r="H42" s="231">
        <f>7326+12488</f>
        <v>19814</v>
      </c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T42" s="199"/>
      <c r="U42" s="211"/>
      <c r="V42" s="211"/>
      <c r="W42" s="211"/>
      <c r="X42" s="211"/>
    </row>
    <row r="43" spans="1:24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  <c r="U43" s="211"/>
      <c r="V43" s="211"/>
      <c r="W43" s="211"/>
      <c r="X43" s="211"/>
    </row>
    <row r="44" spans="1:24" x14ac:dyDescent="0.3">
      <c r="A44" s="206" t="s">
        <v>110</v>
      </c>
      <c r="B44" s="207" t="s">
        <v>68</v>
      </c>
      <c r="C44" s="208">
        <f>SUM(C5:C43)</f>
        <v>1469703</v>
      </c>
      <c r="D44" s="205">
        <f>E44+F44+G44+H44+I44+M44+Q44+R44</f>
        <v>1474702</v>
      </c>
      <c r="E44" s="233">
        <f t="shared" ref="E44:R44" si="3">SUM(E5:E43)</f>
        <v>0</v>
      </c>
      <c r="F44" s="259">
        <f t="shared" si="3"/>
        <v>134320</v>
      </c>
      <c r="G44" s="223">
        <f t="shared" si="3"/>
        <v>110946</v>
      </c>
      <c r="H44" s="233">
        <f t="shared" si="3"/>
        <v>217791</v>
      </c>
      <c r="I44" s="239">
        <f t="shared" si="3"/>
        <v>0</v>
      </c>
      <c r="J44" s="245">
        <f>SUM(J5:J43)</f>
        <v>0</v>
      </c>
      <c r="K44" s="245">
        <f>SUM(K5:K43)</f>
        <v>0</v>
      </c>
      <c r="L44" s="245">
        <f>SUM(L5:L43)</f>
        <v>267038</v>
      </c>
      <c r="M44" s="208">
        <f t="shared" si="3"/>
        <v>267038</v>
      </c>
      <c r="N44" s="245">
        <f>SUM(N5:N43)</f>
        <v>386472</v>
      </c>
      <c r="O44" s="245">
        <f>SUM(O5:O43)</f>
        <v>152083</v>
      </c>
      <c r="P44" s="245">
        <f>SUM(P5:P43)</f>
        <v>0</v>
      </c>
      <c r="Q44" s="216">
        <f t="shared" si="3"/>
        <v>538555</v>
      </c>
      <c r="R44" s="233">
        <f t="shared" si="3"/>
        <v>206052</v>
      </c>
      <c r="T44" s="199"/>
      <c r="U44" s="211"/>
      <c r="V44" s="211"/>
      <c r="W44" s="211"/>
      <c r="X44" s="211"/>
    </row>
    <row r="45" spans="1:24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  <c r="W45" s="211"/>
      <c r="X45" s="211"/>
    </row>
    <row r="46" spans="1:24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  <c r="W46" s="211"/>
      <c r="X46" s="211"/>
    </row>
    <row r="47" spans="1:24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T47" s="199"/>
      <c r="U47" s="211"/>
      <c r="V47" s="211"/>
      <c r="W47" s="211"/>
      <c r="X47" s="211"/>
    </row>
    <row r="48" spans="1:24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  <c r="W48" s="211"/>
      <c r="X48" s="211"/>
    </row>
    <row r="49" spans="1:24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T49" s="199"/>
      <c r="U49" s="211"/>
      <c r="V49" s="211"/>
      <c r="W49" s="211"/>
      <c r="X49" s="211"/>
    </row>
    <row r="50" spans="1:24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  <c r="W50" s="211"/>
      <c r="X50" s="211"/>
    </row>
    <row r="51" spans="1:24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  <c r="W51" s="211"/>
      <c r="X51" s="211"/>
    </row>
    <row r="52" spans="1:24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  <c r="W52" s="211"/>
      <c r="X52" s="211"/>
    </row>
    <row r="53" spans="1:24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  <c r="T53" s="199"/>
      <c r="U53" s="211"/>
      <c r="V53" s="211"/>
      <c r="W53" s="211"/>
      <c r="X53" s="211"/>
    </row>
    <row r="54" spans="1:24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  <c r="U54" s="211"/>
      <c r="V54" s="211"/>
      <c r="W54" s="211"/>
      <c r="X54" s="211"/>
    </row>
    <row r="55" spans="1:24" x14ac:dyDescent="0.3">
      <c r="A55" s="41">
        <v>500</v>
      </c>
      <c r="B55" s="32" t="s">
        <v>118</v>
      </c>
      <c r="C55" s="18">
        <v>5000</v>
      </c>
      <c r="D55" s="20">
        <f t="shared" si="2"/>
        <v>0</v>
      </c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T55" s="199"/>
      <c r="U55" s="211"/>
      <c r="V55" s="211"/>
      <c r="W55" s="211"/>
      <c r="X55" s="211"/>
    </row>
    <row r="56" spans="1:24" ht="15" thickBot="1" x14ac:dyDescent="0.35">
      <c r="A56" s="107"/>
      <c r="B56" s="108" t="s">
        <v>80</v>
      </c>
      <c r="C56" s="111">
        <f>SUM(C44:C55)</f>
        <v>1474703</v>
      </c>
      <c r="D56" s="110">
        <f>E56+F56+G56+H56+I56+M56+Q56+R56</f>
        <v>1474702</v>
      </c>
      <c r="E56" s="235">
        <f t="shared" ref="E56:R56" si="4">SUM(E44:E55)</f>
        <v>0</v>
      </c>
      <c r="F56" s="260">
        <f t="shared" si="4"/>
        <v>134320</v>
      </c>
      <c r="G56" s="225">
        <f t="shared" si="4"/>
        <v>110946</v>
      </c>
      <c r="H56" s="235">
        <f t="shared" si="4"/>
        <v>217791</v>
      </c>
      <c r="I56" s="240">
        <f t="shared" si="4"/>
        <v>0</v>
      </c>
      <c r="J56" s="218">
        <f>SUM(J44:J55)</f>
        <v>0</v>
      </c>
      <c r="K56" s="218">
        <f>SUM(K44:K55)</f>
        <v>0</v>
      </c>
      <c r="L56" s="218">
        <f>SUM(L44:L55)</f>
        <v>267038</v>
      </c>
      <c r="M56" s="209">
        <f t="shared" si="4"/>
        <v>267038</v>
      </c>
      <c r="N56" s="218">
        <f>SUM(N44:N55)</f>
        <v>386472</v>
      </c>
      <c r="O56" s="218">
        <f>SUM(O44:O55)</f>
        <v>152083</v>
      </c>
      <c r="P56" s="218">
        <f>SUM(P44:P55)</f>
        <v>0</v>
      </c>
      <c r="Q56" s="218">
        <f t="shared" si="4"/>
        <v>538555</v>
      </c>
      <c r="R56" s="235">
        <f t="shared" si="4"/>
        <v>206052</v>
      </c>
    </row>
    <row r="57" spans="1:24" ht="15" thickTop="1" x14ac:dyDescent="0.3"/>
    <row r="58" spans="1:24" ht="15" thickBot="1" x14ac:dyDescent="0.35"/>
    <row r="59" spans="1:24" ht="15" thickBot="1" x14ac:dyDescent="0.35">
      <c r="B59" s="42" t="s">
        <v>109</v>
      </c>
      <c r="C59" s="43"/>
      <c r="D59" s="44"/>
    </row>
    <row r="60" spans="1:24" ht="15" thickTop="1" x14ac:dyDescent="0.3">
      <c r="B60" s="115"/>
      <c r="C60" s="116" t="s">
        <v>82</v>
      </c>
      <c r="D60" s="117" t="s">
        <v>78</v>
      </c>
    </row>
    <row r="61" spans="1:24" x14ac:dyDescent="0.3">
      <c r="B61" s="153" t="s">
        <v>108</v>
      </c>
      <c r="C61" s="45"/>
      <c r="D61" s="46"/>
    </row>
    <row r="62" spans="1:24" x14ac:dyDescent="0.3">
      <c r="B62" s="26" t="s">
        <v>3</v>
      </c>
      <c r="C62" s="47">
        <f>E56</f>
        <v>0</v>
      </c>
      <c r="D62" s="48">
        <f>E56/D56</f>
        <v>0</v>
      </c>
    </row>
    <row r="63" spans="1:24" x14ac:dyDescent="0.3">
      <c r="B63" s="26" t="s">
        <v>4</v>
      </c>
      <c r="C63" s="49">
        <f>F56</f>
        <v>134320</v>
      </c>
      <c r="D63" s="48">
        <f>F56/D56</f>
        <v>9.1082808594549952E-2</v>
      </c>
    </row>
    <row r="64" spans="1:24" x14ac:dyDescent="0.3">
      <c r="B64" s="56" t="s">
        <v>79</v>
      </c>
      <c r="C64" s="50">
        <f>G56</f>
        <v>110946</v>
      </c>
      <c r="D64" s="51">
        <f>G56/D56</f>
        <v>7.5232826699902763E-2</v>
      </c>
    </row>
    <row r="65" spans="2:4" ht="15" thickBot="1" x14ac:dyDescent="0.35">
      <c r="B65" s="146" t="s">
        <v>115</v>
      </c>
      <c r="C65" s="52">
        <f>SUM(C62:C64)</f>
        <v>245266</v>
      </c>
      <c r="D65" s="53">
        <f>SUM(D62:D64)</f>
        <v>0.1663156352944527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217791</v>
      </c>
      <c r="D67" s="25">
        <f>H56/D56</f>
        <v>0.14768475258052136</v>
      </c>
    </row>
    <row r="68" spans="2:4" x14ac:dyDescent="0.3">
      <c r="B68" s="57" t="s">
        <v>7</v>
      </c>
      <c r="C68" s="27">
        <f>I56</f>
        <v>0</v>
      </c>
      <c r="D68" s="28">
        <f>I56/D56</f>
        <v>0</v>
      </c>
    </row>
    <row r="69" spans="2:4" ht="15" thickBot="1" x14ac:dyDescent="0.35">
      <c r="B69" s="146" t="s">
        <v>116</v>
      </c>
      <c r="C69" s="52">
        <f>SUM(C67:C68)</f>
        <v>217791</v>
      </c>
      <c r="D69" s="53">
        <f>SUM(D67:D68)</f>
        <v>0.14768475258052136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267038</v>
      </c>
      <c r="D71" s="25">
        <f>M56/D56</f>
        <v>0.18107929602048414</v>
      </c>
    </row>
    <row r="72" spans="2:4" x14ac:dyDescent="0.3">
      <c r="B72" s="24" t="s">
        <v>8</v>
      </c>
      <c r="C72" s="23">
        <f>Q56</f>
        <v>538555</v>
      </c>
      <c r="D72" s="25">
        <f>Q56/D56</f>
        <v>0.36519581583262245</v>
      </c>
    </row>
    <row r="73" spans="2:4" x14ac:dyDescent="0.3">
      <c r="B73" s="163" t="s">
        <v>83</v>
      </c>
      <c r="C73" s="27">
        <f>R56</f>
        <v>206052</v>
      </c>
      <c r="D73" s="28">
        <f>R56/D56</f>
        <v>0.13972450027191935</v>
      </c>
    </row>
    <row r="74" spans="2:4" ht="15" thickBot="1" x14ac:dyDescent="0.35">
      <c r="B74" s="146" t="s">
        <v>117</v>
      </c>
      <c r="C74" s="52">
        <f>SUM(C71:C73)</f>
        <v>1011645</v>
      </c>
      <c r="D74" s="53">
        <f>SUM(D71:D73)</f>
        <v>0.68599961212502603</v>
      </c>
    </row>
    <row r="75" spans="2:4" ht="15" thickBot="1" x14ac:dyDescent="0.35">
      <c r="B75" s="157" t="s">
        <v>80</v>
      </c>
      <c r="C75" s="158">
        <f>C65+C69+C74</f>
        <v>1474702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125" priority="7">
      <formula>ROW()=EVEN(ROW())</formula>
    </cfRule>
  </conditionalFormatting>
  <conditionalFormatting sqref="A55:B55">
    <cfRule type="expression" dxfId="124" priority="5">
      <formula>ROW()=EVEN(ROW())</formula>
    </cfRule>
  </conditionalFormatting>
  <conditionalFormatting sqref="A54:B54">
    <cfRule type="expression" dxfId="123" priority="4">
      <formula>ROW()=EVEN(ROW())</formula>
    </cfRule>
  </conditionalFormatting>
  <conditionalFormatting sqref="M45:M55">
    <cfRule type="expression" dxfId="122" priority="3">
      <formula>ROW()=EVEN(ROW())</formula>
    </cfRule>
  </conditionalFormatting>
  <conditionalFormatting sqref="D45:D55">
    <cfRule type="expression" dxfId="121" priority="2">
      <formula>ROW()=EVEN(ROW())</formula>
    </cfRule>
  </conditionalFormatting>
  <conditionalFormatting sqref="N44:P55">
    <cfRule type="expression" dxfId="120" priority="1">
      <formula>ROW()=EVEN(ROW())</formula>
    </cfRule>
  </conditionalFormatting>
  <printOptions horizontalCentered="1"/>
  <pageMargins left="0" right="0" top="1.1000000000000001" bottom="0.5" header="0.3" footer="0.3"/>
  <pageSetup scale="85" fitToHeight="0" orientation="landscape" r:id="rId1"/>
  <headerFooter>
    <oddHeader>&amp;C&amp;"-,Bold"&amp;20Funding by Expenditure Code and Revenue Source&amp;"-,Regular"&amp;11
&amp;"-,Bold"&amp;20 2014&amp;"-,Regular"&amp;11
&amp;"-,Bold"&amp;20KITTITAS</oddHeader>
    <oddFooter>&amp;LRevised 11-4-16&amp;CPage &amp;P</oddFooter>
  </headerFooter>
  <rowBreaks count="1" manualBreakCount="1">
    <brk id="44" max="16383" man="1"/>
  </row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8"/>
  <sheetViews>
    <sheetView showZeros="0" zoomScaleNormal="100" workbookViewId="0">
      <pane xSplit="6" ySplit="11" topLeftCell="G72" activePane="bottomRight" state="frozen"/>
      <selection activeCell="J7" sqref="J7"/>
      <selection pane="topRight" activeCell="J7" sqref="J7"/>
      <selection pane="bottomLeft" activeCell="J7" sqref="J7"/>
      <selection pane="bottomRight"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0" x14ac:dyDescent="0.3">
      <c r="A1" s="22" t="s">
        <v>150</v>
      </c>
      <c r="B1" s="6"/>
      <c r="C1" s="31">
        <v>20850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0" x14ac:dyDescent="0.3">
      <c r="A2" s="80" t="s">
        <v>44</v>
      </c>
      <c r="B2" s="5"/>
      <c r="C2" s="83">
        <v>14.4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0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0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</row>
    <row r="5" spans="1:20" ht="15" thickBot="1" x14ac:dyDescent="0.35">
      <c r="A5" s="36">
        <v>562.1</v>
      </c>
      <c r="B5" s="37" t="s">
        <v>47</v>
      </c>
      <c r="C5" s="16">
        <v>612936</v>
      </c>
      <c r="D5" s="14">
        <f>E5+F5+G5+H5+I5+M5+Q5+R5</f>
        <v>447463</v>
      </c>
      <c r="E5" s="236">
        <v>0</v>
      </c>
      <c r="F5" s="275">
        <v>109297</v>
      </c>
      <c r="G5" s="279">
        <f>60780</f>
        <v>60780</v>
      </c>
      <c r="H5" s="236"/>
      <c r="I5" s="241">
        <v>29720</v>
      </c>
      <c r="J5" s="214"/>
      <c r="K5" s="214"/>
      <c r="L5" s="214"/>
      <c r="M5" s="9">
        <f>SUM(J5:L5)</f>
        <v>0</v>
      </c>
      <c r="N5" s="214"/>
      <c r="O5" s="214">
        <f>4850+240000+2816</f>
        <v>247666</v>
      </c>
      <c r="P5" s="214"/>
      <c r="Q5" s="214">
        <f>SUM(N5:P5)</f>
        <v>247666</v>
      </c>
      <c r="R5" s="236">
        <v>0</v>
      </c>
    </row>
    <row r="6" spans="1:20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</row>
    <row r="7" spans="1:20" ht="15" thickBot="1" x14ac:dyDescent="0.35">
      <c r="A7" s="39">
        <v>562.22</v>
      </c>
      <c r="B7" s="82" t="s">
        <v>92</v>
      </c>
      <c r="C7" s="15">
        <v>54102</v>
      </c>
      <c r="D7" s="14">
        <f t="shared" ref="D7:D55" si="2">E7+F7+G7+H7+I7+M7+Q7+R7</f>
        <v>56240</v>
      </c>
      <c r="E7" s="231"/>
      <c r="F7" s="257"/>
      <c r="G7" s="228"/>
      <c r="H7" s="231">
        <v>34330</v>
      </c>
      <c r="I7" s="219"/>
      <c r="J7" s="217"/>
      <c r="K7" s="217"/>
      <c r="L7" s="217"/>
      <c r="M7" s="9">
        <f t="shared" si="0"/>
        <v>0</v>
      </c>
      <c r="N7" s="217"/>
      <c r="O7" s="217">
        <v>21910</v>
      </c>
      <c r="P7" s="217"/>
      <c r="Q7" s="214">
        <f t="shared" si="1"/>
        <v>21910</v>
      </c>
      <c r="R7" s="231"/>
    </row>
    <row r="8" spans="1:20" ht="15" thickBot="1" x14ac:dyDescent="0.35">
      <c r="A8" s="39">
        <v>562.24</v>
      </c>
      <c r="B8" s="40" t="s">
        <v>49</v>
      </c>
      <c r="C8" s="15">
        <v>7797</v>
      </c>
      <c r="D8" s="14">
        <f t="shared" si="2"/>
        <v>9300</v>
      </c>
      <c r="E8" s="231"/>
      <c r="F8" s="257"/>
      <c r="G8" s="228"/>
      <c r="H8" s="231"/>
      <c r="I8" s="219">
        <v>9300</v>
      </c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/>
    </row>
    <row r="9" spans="1:20" ht="15" thickBot="1" x14ac:dyDescent="0.35">
      <c r="A9" s="39">
        <v>562.25</v>
      </c>
      <c r="B9" s="82" t="s">
        <v>93</v>
      </c>
      <c r="C9" s="15">
        <v>504</v>
      </c>
      <c r="D9" s="14">
        <f t="shared" si="2"/>
        <v>325</v>
      </c>
      <c r="E9" s="231"/>
      <c r="F9" s="257"/>
      <c r="G9" s="228"/>
      <c r="H9" s="231"/>
      <c r="I9" s="219"/>
      <c r="J9" s="217"/>
      <c r="K9" s="217"/>
      <c r="L9" s="217"/>
      <c r="M9" s="9">
        <f t="shared" si="0"/>
        <v>0</v>
      </c>
      <c r="N9" s="217"/>
      <c r="O9" s="217">
        <v>325</v>
      </c>
      <c r="P9" s="217"/>
      <c r="Q9" s="214">
        <f t="shared" si="1"/>
        <v>325</v>
      </c>
      <c r="R9" s="231"/>
    </row>
    <row r="10" spans="1:20" ht="15" thickBot="1" x14ac:dyDescent="0.35">
      <c r="A10" s="39">
        <v>562.26</v>
      </c>
      <c r="B10" s="82" t="s">
        <v>84</v>
      </c>
      <c r="C10" s="15">
        <v>100688</v>
      </c>
      <c r="D10" s="14">
        <f t="shared" si="2"/>
        <v>124968</v>
      </c>
      <c r="E10" s="231">
        <v>49255</v>
      </c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>
        <v>71102</v>
      </c>
      <c r="P10" s="217"/>
      <c r="Q10" s="214">
        <f t="shared" si="1"/>
        <v>71102</v>
      </c>
      <c r="R10" s="231">
        <v>4611</v>
      </c>
      <c r="S10" s="199">
        <v>367.2</v>
      </c>
      <c r="T10" s="200">
        <v>4611</v>
      </c>
    </row>
    <row r="11" spans="1:20" ht="15" thickBot="1" x14ac:dyDescent="0.35">
      <c r="A11" s="39">
        <v>562.27</v>
      </c>
      <c r="B11" s="82" t="s">
        <v>85</v>
      </c>
      <c r="C11" s="15">
        <v>38327</v>
      </c>
      <c r="D11" s="14">
        <f t="shared" si="2"/>
        <v>18630</v>
      </c>
      <c r="E11" s="231"/>
      <c r="F11" s="257"/>
      <c r="G11" s="228"/>
      <c r="H11" s="231">
        <v>18630</v>
      </c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</row>
    <row r="12" spans="1:20" ht="15" thickBot="1" x14ac:dyDescent="0.35">
      <c r="A12" s="39">
        <v>562.28</v>
      </c>
      <c r="B12" s="82" t="s">
        <v>94</v>
      </c>
      <c r="C12" s="15">
        <v>111072</v>
      </c>
      <c r="D12" s="14">
        <f t="shared" si="2"/>
        <v>141092</v>
      </c>
      <c r="E12" s="231"/>
      <c r="F12" s="257"/>
      <c r="G12" s="228"/>
      <c r="H12" s="231">
        <f>140932+160</f>
        <v>141092</v>
      </c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</row>
    <row r="13" spans="1:20" ht="15" thickBot="1" x14ac:dyDescent="0.35">
      <c r="A13" s="39">
        <v>562.29</v>
      </c>
      <c r="B13" s="82" t="s">
        <v>86</v>
      </c>
      <c r="C13" s="15"/>
      <c r="D13" s="14">
        <f t="shared" si="2"/>
        <v>0</v>
      </c>
      <c r="E13" s="231"/>
      <c r="F13" s="257"/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/>
      <c r="P13" s="217"/>
      <c r="Q13" s="214">
        <f t="shared" si="1"/>
        <v>0</v>
      </c>
      <c r="R13" s="231"/>
    </row>
    <row r="14" spans="1:20" ht="15" thickBot="1" x14ac:dyDescent="0.35">
      <c r="A14" s="39">
        <v>562.32000000000005</v>
      </c>
      <c r="B14" s="40" t="s">
        <v>50</v>
      </c>
      <c r="C14" s="15">
        <v>53886</v>
      </c>
      <c r="D14" s="14">
        <f t="shared" si="2"/>
        <v>16523</v>
      </c>
      <c r="E14" s="231"/>
      <c r="F14" s="257"/>
      <c r="G14" s="228"/>
      <c r="H14" s="231">
        <f>5662+1262+926</f>
        <v>7850</v>
      </c>
      <c r="I14" s="219"/>
      <c r="J14" s="217"/>
      <c r="K14" s="217"/>
      <c r="L14" s="217"/>
      <c r="M14" s="9">
        <f t="shared" si="0"/>
        <v>0</v>
      </c>
      <c r="N14" s="217"/>
      <c r="O14" s="217">
        <v>6274</v>
      </c>
      <c r="P14" s="217"/>
      <c r="Q14" s="214">
        <f t="shared" si="1"/>
        <v>6274</v>
      </c>
      <c r="R14" s="231">
        <v>2399</v>
      </c>
      <c r="S14" s="199">
        <v>367.2</v>
      </c>
      <c r="T14" s="200">
        <v>2399</v>
      </c>
    </row>
    <row r="15" spans="1:20" ht="15" thickBot="1" x14ac:dyDescent="0.35">
      <c r="A15" s="39">
        <v>562.33000000000004</v>
      </c>
      <c r="B15" s="82" t="s">
        <v>95</v>
      </c>
      <c r="C15" s="15">
        <v>9556</v>
      </c>
      <c r="D15" s="14">
        <f t="shared" si="2"/>
        <v>413</v>
      </c>
      <c r="E15" s="231"/>
      <c r="F15" s="257"/>
      <c r="G15" s="228"/>
      <c r="H15" s="231"/>
      <c r="I15" s="219"/>
      <c r="J15" s="217"/>
      <c r="K15" s="217"/>
      <c r="L15" s="217"/>
      <c r="M15" s="9">
        <f t="shared" si="0"/>
        <v>0</v>
      </c>
      <c r="N15" s="217"/>
      <c r="O15" s="217">
        <v>413</v>
      </c>
      <c r="P15" s="217"/>
      <c r="Q15" s="214">
        <f t="shared" si="1"/>
        <v>413</v>
      </c>
      <c r="R15" s="231"/>
    </row>
    <row r="16" spans="1:20" ht="15" thickBot="1" x14ac:dyDescent="0.35">
      <c r="A16" s="39">
        <v>562.34</v>
      </c>
      <c r="B16" s="40" t="s">
        <v>51</v>
      </c>
      <c r="C16" s="15">
        <v>22785</v>
      </c>
      <c r="D16" s="14">
        <f t="shared" si="2"/>
        <v>1712</v>
      </c>
      <c r="E16" s="231"/>
      <c r="F16" s="257"/>
      <c r="G16" s="228"/>
      <c r="H16" s="231"/>
      <c r="I16" s="219"/>
      <c r="J16" s="217"/>
      <c r="K16" s="217"/>
      <c r="L16" s="217"/>
      <c r="M16" s="9">
        <f t="shared" si="0"/>
        <v>0</v>
      </c>
      <c r="N16" s="217"/>
      <c r="O16" s="217">
        <v>1707</v>
      </c>
      <c r="P16" s="217"/>
      <c r="Q16" s="214">
        <f t="shared" si="1"/>
        <v>1707</v>
      </c>
      <c r="R16" s="231">
        <v>5</v>
      </c>
      <c r="S16" s="199">
        <v>367.2</v>
      </c>
      <c r="T16" s="204">
        <v>5</v>
      </c>
    </row>
    <row r="17" spans="1:18" ht="15" thickBot="1" x14ac:dyDescent="0.35">
      <c r="A17" s="39">
        <v>562.35</v>
      </c>
      <c r="B17" s="40" t="s">
        <v>52</v>
      </c>
      <c r="C17" s="15">
        <v>1862</v>
      </c>
      <c r="D17" s="14">
        <f t="shared" si="2"/>
        <v>0</v>
      </c>
      <c r="E17" s="231"/>
      <c r="F17" s="257"/>
      <c r="G17" s="228"/>
      <c r="H17" s="231"/>
      <c r="I17" s="219"/>
      <c r="J17" s="217"/>
      <c r="K17" s="217"/>
      <c r="L17" s="217"/>
      <c r="M17" s="9">
        <f t="shared" si="0"/>
        <v>0</v>
      </c>
      <c r="N17" s="217"/>
      <c r="O17" s="217"/>
      <c r="P17" s="217"/>
      <c r="Q17" s="214">
        <f t="shared" si="1"/>
        <v>0</v>
      </c>
      <c r="R17" s="231"/>
    </row>
    <row r="18" spans="1:18" ht="15" thickBot="1" x14ac:dyDescent="0.35">
      <c r="A18" s="39">
        <v>562.39</v>
      </c>
      <c r="B18" s="40" t="s">
        <v>53</v>
      </c>
      <c r="C18" s="15">
        <v>13983</v>
      </c>
      <c r="D18" s="14">
        <f t="shared" si="2"/>
        <v>0</v>
      </c>
      <c r="E18" s="231"/>
      <c r="F18" s="257"/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/>
      <c r="P18" s="217"/>
      <c r="Q18" s="214">
        <f t="shared" si="1"/>
        <v>0</v>
      </c>
      <c r="R18" s="231"/>
    </row>
    <row r="19" spans="1:18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</row>
    <row r="20" spans="1:18" ht="15" thickBot="1" x14ac:dyDescent="0.35">
      <c r="A20" s="39">
        <v>562.41999999999996</v>
      </c>
      <c r="B20" s="40" t="s">
        <v>55</v>
      </c>
      <c r="C20" s="15">
        <v>67879</v>
      </c>
      <c r="D20" s="14">
        <f t="shared" si="2"/>
        <v>67879</v>
      </c>
      <c r="E20" s="231"/>
      <c r="F20" s="276">
        <v>44487</v>
      </c>
      <c r="G20" s="228"/>
      <c r="H20" s="231">
        <f>642+22750</f>
        <v>23392</v>
      </c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</row>
    <row r="21" spans="1:18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</row>
    <row r="22" spans="1:18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</row>
    <row r="23" spans="1:18" ht="15" thickBot="1" x14ac:dyDescent="0.35">
      <c r="A23" s="39">
        <v>562.45000000000005</v>
      </c>
      <c r="B23" s="82" t="s">
        <v>98</v>
      </c>
      <c r="C23" s="15">
        <v>12494</v>
      </c>
      <c r="D23" s="14">
        <f t="shared" si="2"/>
        <v>10000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>
        <v>10000</v>
      </c>
      <c r="P23" s="217"/>
      <c r="Q23" s="214">
        <f t="shared" si="1"/>
        <v>10000</v>
      </c>
      <c r="R23" s="231"/>
    </row>
    <row r="24" spans="1:18" ht="15" thickBot="1" x14ac:dyDescent="0.35">
      <c r="A24" s="39">
        <v>562.49</v>
      </c>
      <c r="B24" s="82" t="s">
        <v>87</v>
      </c>
      <c r="C24" s="15">
        <v>240</v>
      </c>
      <c r="D24" s="14">
        <f t="shared" si="2"/>
        <v>0</v>
      </c>
      <c r="E24" s="231"/>
      <c r="F24" s="257"/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</row>
    <row r="25" spans="1:18" ht="15" thickBot="1" x14ac:dyDescent="0.35">
      <c r="A25" s="39">
        <v>562.52</v>
      </c>
      <c r="B25" s="40" t="s">
        <v>56</v>
      </c>
      <c r="C25" s="15">
        <v>17402</v>
      </c>
      <c r="D25" s="14">
        <f t="shared" si="2"/>
        <v>6150</v>
      </c>
      <c r="E25" s="231">
        <v>2200</v>
      </c>
      <c r="F25" s="257"/>
      <c r="G25" s="228"/>
      <c r="H25" s="231"/>
      <c r="I25" s="219">
        <v>3950</v>
      </c>
      <c r="J25" s="217"/>
      <c r="K25" s="217"/>
      <c r="L25" s="217"/>
      <c r="M25" s="9">
        <f t="shared" si="0"/>
        <v>0</v>
      </c>
      <c r="N25" s="217"/>
      <c r="O25" s="217"/>
      <c r="P25" s="217"/>
      <c r="Q25" s="214">
        <f t="shared" si="1"/>
        <v>0</v>
      </c>
      <c r="R25" s="231"/>
    </row>
    <row r="26" spans="1:18" ht="15" thickBot="1" x14ac:dyDescent="0.35">
      <c r="A26" s="39">
        <v>562.53</v>
      </c>
      <c r="B26" s="82" t="s">
        <v>99</v>
      </c>
      <c r="C26" s="15">
        <v>24588</v>
      </c>
      <c r="D26" s="14">
        <f t="shared" si="2"/>
        <v>62500</v>
      </c>
      <c r="E26" s="231"/>
      <c r="F26" s="257"/>
      <c r="G26" s="228"/>
      <c r="H26" s="231"/>
      <c r="I26" s="219"/>
      <c r="J26" s="217"/>
      <c r="K26" s="217"/>
      <c r="L26" s="217"/>
      <c r="M26" s="9">
        <f t="shared" si="0"/>
        <v>0</v>
      </c>
      <c r="N26" s="217">
        <v>62500</v>
      </c>
      <c r="O26" s="217"/>
      <c r="P26" s="217"/>
      <c r="Q26" s="214">
        <f t="shared" si="1"/>
        <v>62500</v>
      </c>
      <c r="R26" s="231"/>
    </row>
    <row r="27" spans="1:18" ht="15" thickBot="1" x14ac:dyDescent="0.35">
      <c r="A27" s="39">
        <v>562.54</v>
      </c>
      <c r="B27" s="82" t="s">
        <v>100</v>
      </c>
      <c r="C27" s="15">
        <v>43335</v>
      </c>
      <c r="D27" s="14">
        <f t="shared" si="2"/>
        <v>58590</v>
      </c>
      <c r="E27" s="231"/>
      <c r="F27" s="257"/>
      <c r="G27" s="228"/>
      <c r="H27" s="231"/>
      <c r="I27" s="219"/>
      <c r="J27" s="217"/>
      <c r="K27" s="217"/>
      <c r="L27" s="217"/>
      <c r="M27" s="9">
        <f t="shared" si="0"/>
        <v>0</v>
      </c>
      <c r="N27" s="217">
        <f>3240+29000+26350</f>
        <v>58590</v>
      </c>
      <c r="O27" s="217"/>
      <c r="P27" s="217"/>
      <c r="Q27" s="214">
        <f t="shared" si="1"/>
        <v>58590</v>
      </c>
      <c r="R27" s="231"/>
    </row>
    <row r="28" spans="1:18" ht="15" thickBot="1" x14ac:dyDescent="0.35">
      <c r="A28" s="39">
        <v>562.54999999999995</v>
      </c>
      <c r="B28" s="40" t="s">
        <v>57</v>
      </c>
      <c r="C28" s="15">
        <v>2040</v>
      </c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</row>
    <row r="29" spans="1:18" ht="15" thickBot="1" x14ac:dyDescent="0.35">
      <c r="A29" s="39">
        <v>562.55999999999995</v>
      </c>
      <c r="B29" s="40" t="s">
        <v>58</v>
      </c>
      <c r="C29" s="15">
        <v>46077</v>
      </c>
      <c r="D29" s="14">
        <f t="shared" si="2"/>
        <v>47271</v>
      </c>
      <c r="E29" s="231"/>
      <c r="F29" s="257"/>
      <c r="G29" s="228"/>
      <c r="H29" s="231"/>
      <c r="I29" s="219"/>
      <c r="J29" s="217"/>
      <c r="K29" s="217"/>
      <c r="L29" s="217"/>
      <c r="M29" s="9">
        <f t="shared" si="0"/>
        <v>0</v>
      </c>
      <c r="N29" s="217">
        <v>41471</v>
      </c>
      <c r="O29" s="217">
        <f>300+5500</f>
        <v>5800</v>
      </c>
      <c r="P29" s="217"/>
      <c r="Q29" s="214">
        <f t="shared" si="1"/>
        <v>47271</v>
      </c>
      <c r="R29" s="231"/>
    </row>
    <row r="30" spans="1:18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</row>
    <row r="31" spans="1:18" ht="15" thickBot="1" x14ac:dyDescent="0.35">
      <c r="A31" s="39">
        <v>562.58000000000004</v>
      </c>
      <c r="B31" s="82" t="s">
        <v>88</v>
      </c>
      <c r="C31" s="15">
        <v>559</v>
      </c>
      <c r="D31" s="14">
        <f t="shared" si="2"/>
        <v>1025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v>1025</v>
      </c>
      <c r="O31" s="217"/>
      <c r="P31" s="217"/>
      <c r="Q31" s="214">
        <f t="shared" si="1"/>
        <v>1025</v>
      </c>
      <c r="R31" s="231"/>
    </row>
    <row r="32" spans="1:18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</row>
    <row r="33" spans="1:18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</row>
    <row r="34" spans="1:18" ht="15" thickBot="1" x14ac:dyDescent="0.35">
      <c r="A34" s="39">
        <v>562.71</v>
      </c>
      <c r="B34" s="40" t="s">
        <v>60</v>
      </c>
      <c r="C34" s="15">
        <v>10026</v>
      </c>
      <c r="D34" s="14">
        <f t="shared" si="2"/>
        <v>6196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6196</v>
      </c>
      <c r="P34" s="217"/>
      <c r="Q34" s="214">
        <f t="shared" si="1"/>
        <v>6196</v>
      </c>
      <c r="R34" s="231"/>
    </row>
    <row r="35" spans="1:18" ht="15" thickBot="1" x14ac:dyDescent="0.35">
      <c r="A35" s="39">
        <v>562.72</v>
      </c>
      <c r="B35" s="40" t="s">
        <v>61</v>
      </c>
      <c r="C35" s="15">
        <v>21481</v>
      </c>
      <c r="D35" s="14">
        <f t="shared" si="2"/>
        <v>41330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>
        <v>41330</v>
      </c>
      <c r="P35" s="217"/>
      <c r="Q35" s="214">
        <f t="shared" si="1"/>
        <v>41330</v>
      </c>
      <c r="R35" s="231"/>
    </row>
    <row r="36" spans="1:18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</row>
    <row r="37" spans="1:18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</row>
    <row r="38" spans="1:18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</row>
    <row r="39" spans="1:18" ht="15" thickBot="1" x14ac:dyDescent="0.35">
      <c r="A39" s="39">
        <v>562.79</v>
      </c>
      <c r="B39" s="40" t="s">
        <v>64</v>
      </c>
      <c r="C39" s="15">
        <v>1052</v>
      </c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</row>
    <row r="40" spans="1:18" ht="15" thickBot="1" x14ac:dyDescent="0.35">
      <c r="A40" s="39">
        <v>562.79999999999995</v>
      </c>
      <c r="B40" s="40" t="s">
        <v>65</v>
      </c>
      <c r="C40" s="15">
        <v>4539</v>
      </c>
      <c r="D40" s="14">
        <f t="shared" si="2"/>
        <v>0</v>
      </c>
      <c r="E40" s="231"/>
      <c r="F40" s="257"/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</row>
    <row r="41" spans="1:18" ht="15" thickBot="1" x14ac:dyDescent="0.35">
      <c r="A41" s="39">
        <v>562.88</v>
      </c>
      <c r="B41" s="82" t="s">
        <v>91</v>
      </c>
      <c r="C41" s="15">
        <v>13710</v>
      </c>
      <c r="D41" s="14">
        <f t="shared" si="2"/>
        <v>12059</v>
      </c>
      <c r="E41" s="231"/>
      <c r="F41" s="257"/>
      <c r="G41" s="228"/>
      <c r="H41" s="231">
        <v>12059</v>
      </c>
      <c r="I41" s="219"/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/>
    </row>
    <row r="42" spans="1:18" ht="15" thickBot="1" x14ac:dyDescent="0.35">
      <c r="A42" s="39">
        <v>562.9</v>
      </c>
      <c r="B42" s="40" t="s">
        <v>66</v>
      </c>
      <c r="C42" s="15">
        <v>518</v>
      </c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</row>
    <row r="43" spans="1:18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</row>
    <row r="44" spans="1:18" x14ac:dyDescent="0.3">
      <c r="A44" s="206" t="s">
        <v>110</v>
      </c>
      <c r="B44" s="207" t="s">
        <v>68</v>
      </c>
      <c r="C44" s="208">
        <f>SUM(C5:C43)</f>
        <v>1293438</v>
      </c>
      <c r="D44" s="205">
        <f>E44+F44+G44+H44+I44+M44+Q44+R44</f>
        <v>1129666</v>
      </c>
      <c r="E44" s="233">
        <f t="shared" ref="E44:R44" si="3">SUM(E5:E43)</f>
        <v>51455</v>
      </c>
      <c r="F44" s="259">
        <f t="shared" si="3"/>
        <v>153784</v>
      </c>
      <c r="G44" s="223">
        <f t="shared" si="3"/>
        <v>60780</v>
      </c>
      <c r="H44" s="233">
        <f t="shared" si="3"/>
        <v>237353</v>
      </c>
      <c r="I44" s="239">
        <f t="shared" si="3"/>
        <v>42970</v>
      </c>
      <c r="J44" s="245">
        <f>SUM(J5:J43)</f>
        <v>0</v>
      </c>
      <c r="K44" s="245">
        <f>SUM(K5:K43)</f>
        <v>0</v>
      </c>
      <c r="L44" s="245">
        <f>SUM(L5:L43)</f>
        <v>0</v>
      </c>
      <c r="M44" s="208">
        <f t="shared" si="3"/>
        <v>0</v>
      </c>
      <c r="N44" s="245">
        <f>SUM(N5:N43)</f>
        <v>163586</v>
      </c>
      <c r="O44" s="245">
        <f>SUM(O5:O43)</f>
        <v>412723</v>
      </c>
      <c r="P44" s="245">
        <f>SUM(P5:P43)</f>
        <v>0</v>
      </c>
      <c r="Q44" s="216">
        <f t="shared" si="3"/>
        <v>576309</v>
      </c>
      <c r="R44" s="233">
        <f t="shared" si="3"/>
        <v>7015</v>
      </c>
    </row>
    <row r="45" spans="1:18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</row>
    <row r="46" spans="1:18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</row>
    <row r="47" spans="1:18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</row>
    <row r="48" spans="1:18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</row>
    <row r="49" spans="1:18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</row>
    <row r="50" spans="1:18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</row>
    <row r="51" spans="1:18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</row>
    <row r="52" spans="1:18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</row>
    <row r="53" spans="1:18" ht="15" thickBot="1" x14ac:dyDescent="0.35">
      <c r="A53" s="39">
        <v>566</v>
      </c>
      <c r="B53" s="40" t="s">
        <v>76</v>
      </c>
      <c r="C53" s="15">
        <v>187170</v>
      </c>
      <c r="D53" s="14">
        <f t="shared" si="2"/>
        <v>169136</v>
      </c>
      <c r="E53" s="231"/>
      <c r="F53" s="257"/>
      <c r="G53" s="228">
        <f>67725+5589</f>
        <v>73314</v>
      </c>
      <c r="H53" s="231">
        <v>54334</v>
      </c>
      <c r="I53" s="219">
        <v>41488</v>
      </c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</row>
    <row r="54" spans="1:18" ht="15" thickBot="1" x14ac:dyDescent="0.35">
      <c r="A54" s="39">
        <v>568</v>
      </c>
      <c r="B54" s="40" t="s">
        <v>77</v>
      </c>
      <c r="C54" s="15">
        <v>67407</v>
      </c>
      <c r="D54" s="14">
        <f t="shared" si="2"/>
        <v>98289</v>
      </c>
      <c r="E54" s="231"/>
      <c r="F54" s="257"/>
      <c r="G54" s="228"/>
      <c r="H54" s="231"/>
      <c r="I54" s="219"/>
      <c r="J54" s="217">
        <v>56271</v>
      </c>
      <c r="K54" s="217"/>
      <c r="L54" s="217"/>
      <c r="M54" s="9">
        <f t="shared" si="0"/>
        <v>56271</v>
      </c>
      <c r="N54" s="217">
        <v>0</v>
      </c>
      <c r="O54" s="217">
        <f>6673+35345</f>
        <v>42018</v>
      </c>
      <c r="P54" s="217"/>
      <c r="Q54" s="214">
        <f t="shared" si="1"/>
        <v>42018</v>
      </c>
      <c r="R54" s="231"/>
    </row>
    <row r="55" spans="1:18" x14ac:dyDescent="0.3">
      <c r="A55" s="41">
        <v>500</v>
      </c>
      <c r="B55" s="32" t="s">
        <v>118</v>
      </c>
      <c r="C55" s="18"/>
      <c r="D55" s="20">
        <f t="shared" si="2"/>
        <v>0</v>
      </c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</row>
    <row r="56" spans="1:18" ht="15" thickBot="1" x14ac:dyDescent="0.35">
      <c r="A56" s="107"/>
      <c r="B56" s="108" t="s">
        <v>80</v>
      </c>
      <c r="C56" s="111">
        <f>SUM(C44:C55)</f>
        <v>1548015</v>
      </c>
      <c r="D56" s="110">
        <f>E56+F56+G56+H56+I56+M56+Q56+R56</f>
        <v>1397091</v>
      </c>
      <c r="E56" s="235">
        <f t="shared" ref="E56:R56" si="4">SUM(E44:E55)</f>
        <v>51455</v>
      </c>
      <c r="F56" s="260">
        <f t="shared" si="4"/>
        <v>153784</v>
      </c>
      <c r="G56" s="225">
        <f t="shared" si="4"/>
        <v>134094</v>
      </c>
      <c r="H56" s="235">
        <f t="shared" si="4"/>
        <v>291687</v>
      </c>
      <c r="I56" s="240">
        <f t="shared" si="4"/>
        <v>84458</v>
      </c>
      <c r="J56" s="218">
        <f>SUM(J44:J55)</f>
        <v>56271</v>
      </c>
      <c r="K56" s="218">
        <f>SUM(K44:K55)</f>
        <v>0</v>
      </c>
      <c r="L56" s="218">
        <f>SUM(L44:L55)</f>
        <v>0</v>
      </c>
      <c r="M56" s="209">
        <f t="shared" si="4"/>
        <v>56271</v>
      </c>
      <c r="N56" s="218">
        <f>SUM(N44:N55)</f>
        <v>163586</v>
      </c>
      <c r="O56" s="218">
        <f>SUM(O44:O55)</f>
        <v>454741</v>
      </c>
      <c r="P56" s="218">
        <f>SUM(P44:P55)</f>
        <v>0</v>
      </c>
      <c r="Q56" s="218">
        <f t="shared" si="4"/>
        <v>618327</v>
      </c>
      <c r="R56" s="235">
        <f t="shared" si="4"/>
        <v>7015</v>
      </c>
    </row>
    <row r="57" spans="1:18" ht="15" thickTop="1" x14ac:dyDescent="0.3"/>
    <row r="58" spans="1:18" ht="15" thickBot="1" x14ac:dyDescent="0.35"/>
    <row r="59" spans="1:18" ht="15" thickBot="1" x14ac:dyDescent="0.35">
      <c r="B59" s="42" t="s">
        <v>109</v>
      </c>
      <c r="C59" s="43"/>
      <c r="D59" s="44"/>
    </row>
    <row r="60" spans="1:18" ht="15" thickTop="1" x14ac:dyDescent="0.3">
      <c r="B60" s="115"/>
      <c r="C60" s="116" t="s">
        <v>82</v>
      </c>
      <c r="D60" s="117" t="s">
        <v>78</v>
      </c>
    </row>
    <row r="61" spans="1:18" x14ac:dyDescent="0.3">
      <c r="B61" s="153" t="s">
        <v>108</v>
      </c>
      <c r="C61" s="45"/>
      <c r="D61" s="46"/>
    </row>
    <row r="62" spans="1:18" x14ac:dyDescent="0.3">
      <c r="B62" s="26" t="s">
        <v>3</v>
      </c>
      <c r="C62" s="47">
        <f>E56</f>
        <v>51455</v>
      </c>
      <c r="D62" s="48">
        <f>E56/D56</f>
        <v>3.6830099113085692E-2</v>
      </c>
    </row>
    <row r="63" spans="1:18" x14ac:dyDescent="0.3">
      <c r="B63" s="26" t="s">
        <v>4</v>
      </c>
      <c r="C63" s="49">
        <f>F56</f>
        <v>153784</v>
      </c>
      <c r="D63" s="48">
        <f>F56/D56</f>
        <v>0.11007443323305353</v>
      </c>
    </row>
    <row r="64" spans="1:18" x14ac:dyDescent="0.3">
      <c r="B64" s="56" t="s">
        <v>79</v>
      </c>
      <c r="C64" s="50">
        <f>G56</f>
        <v>134094</v>
      </c>
      <c r="D64" s="51">
        <f>G56/D56</f>
        <v>9.5980863093384758E-2</v>
      </c>
    </row>
    <row r="65" spans="2:4" ht="15" thickBot="1" x14ac:dyDescent="0.35">
      <c r="B65" s="146" t="s">
        <v>115</v>
      </c>
      <c r="C65" s="52">
        <f>SUM(C62:C64)</f>
        <v>339333</v>
      </c>
      <c r="D65" s="53">
        <f>SUM(D62:D64)</f>
        <v>0.24288539543952398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291687</v>
      </c>
      <c r="D67" s="25">
        <f>H56/D56</f>
        <v>0.20878167563888109</v>
      </c>
    </row>
    <row r="68" spans="2:4" x14ac:dyDescent="0.3">
      <c r="B68" s="57" t="s">
        <v>7</v>
      </c>
      <c r="C68" s="27">
        <f>I56</f>
        <v>84458</v>
      </c>
      <c r="D68" s="28">
        <f>I56/D56</f>
        <v>6.0452755046020622E-2</v>
      </c>
    </row>
    <row r="69" spans="2:4" ht="15" thickBot="1" x14ac:dyDescent="0.35">
      <c r="B69" s="146" t="s">
        <v>116</v>
      </c>
      <c r="C69" s="52">
        <f>SUM(C67:C68)</f>
        <v>376145</v>
      </c>
      <c r="D69" s="53">
        <f>SUM(D67:D68)</f>
        <v>0.26923443068490172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56271</v>
      </c>
      <c r="D71" s="25">
        <f>M56/D56</f>
        <v>4.0277261824748709E-2</v>
      </c>
    </row>
    <row r="72" spans="2:4" x14ac:dyDescent="0.3">
      <c r="B72" s="24" t="s">
        <v>8</v>
      </c>
      <c r="C72" s="23">
        <f>Q56</f>
        <v>618327</v>
      </c>
      <c r="D72" s="25">
        <f>Q56/D56</f>
        <v>0.44258176453788622</v>
      </c>
    </row>
    <row r="73" spans="2:4" x14ac:dyDescent="0.3">
      <c r="B73" s="163" t="s">
        <v>83</v>
      </c>
      <c r="C73" s="27">
        <f>R56</f>
        <v>7015</v>
      </c>
      <c r="D73" s="28">
        <f>R56/D56</f>
        <v>5.0211475129393864E-3</v>
      </c>
    </row>
    <row r="74" spans="2:4" ht="15" thickBot="1" x14ac:dyDescent="0.35">
      <c r="B74" s="146" t="s">
        <v>117</v>
      </c>
      <c r="C74" s="52">
        <f>SUM(C71:C73)</f>
        <v>681613</v>
      </c>
      <c r="D74" s="53">
        <f>SUM(D71:D73)</f>
        <v>0.48788017387557431</v>
      </c>
    </row>
    <row r="75" spans="2:4" ht="15" thickBot="1" x14ac:dyDescent="0.35">
      <c r="B75" s="157" t="s">
        <v>80</v>
      </c>
      <c r="C75" s="158">
        <f>C65+C69+C74</f>
        <v>1397091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119" priority="7">
      <formula>ROW()=EVEN(ROW())</formula>
    </cfRule>
  </conditionalFormatting>
  <conditionalFormatting sqref="A55:B55">
    <cfRule type="expression" dxfId="118" priority="5">
      <formula>ROW()=EVEN(ROW())</formula>
    </cfRule>
  </conditionalFormatting>
  <conditionalFormatting sqref="A54:B54">
    <cfRule type="expression" dxfId="117" priority="4">
      <formula>ROW()=EVEN(ROW())</formula>
    </cfRule>
  </conditionalFormatting>
  <conditionalFormatting sqref="M45:M55">
    <cfRule type="expression" dxfId="116" priority="3">
      <formula>ROW()=EVEN(ROW())</formula>
    </cfRule>
  </conditionalFormatting>
  <conditionalFormatting sqref="D45:D55">
    <cfRule type="expression" dxfId="115" priority="2">
      <formula>ROW()=EVEN(ROW())</formula>
    </cfRule>
  </conditionalFormatting>
  <conditionalFormatting sqref="N44:P55">
    <cfRule type="expression" dxfId="114" priority="1">
      <formula>ROW()=EVEN(ROW())</formula>
    </cfRule>
  </conditionalFormatting>
  <printOptions horizontalCentered="1"/>
  <pageMargins left="0" right="0" top="1.1000000000000001" bottom="0.5" header="0.3" footer="0.3"/>
  <pageSetup scale="85" fitToHeight="0" orientation="landscape" r:id="rId1"/>
  <headerFooter>
    <oddHeader>&amp;C&amp;"-,Bold"&amp;20Funding by Expenditure Code and Revenue Source&amp;"-,Regular"&amp;11
&amp;"-,Bold"&amp;20 2014&amp;"-,Regular"&amp;11
&amp;"-,Bold"&amp;20KLICKITAT</oddHeader>
    <oddFooter>Page &amp;P&amp;R&amp;F</oddFooter>
  </headerFooter>
  <rowBreaks count="1" manualBreakCount="1">
    <brk id="44" max="16383" man="1"/>
  </rowBreaks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88"/>
  <sheetViews>
    <sheetView showZeros="0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6" x14ac:dyDescent="0.3">
      <c r="A1" s="22" t="s">
        <v>150</v>
      </c>
      <c r="B1" s="6"/>
      <c r="C1" s="31">
        <v>76300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6" x14ac:dyDescent="0.3">
      <c r="A2" s="80" t="s">
        <v>44</v>
      </c>
      <c r="B2" s="5"/>
      <c r="C2" s="83">
        <v>27.58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6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6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  <c r="W4" s="202" t="s">
        <v>153</v>
      </c>
      <c r="X4" s="203" t="s">
        <v>82</v>
      </c>
      <c r="Y4" s="202" t="s">
        <v>153</v>
      </c>
      <c r="Z4" s="203" t="s">
        <v>82</v>
      </c>
    </row>
    <row r="5" spans="1:26" ht="15" thickBot="1" x14ac:dyDescent="0.35">
      <c r="A5" s="36">
        <v>562.1</v>
      </c>
      <c r="B5" s="37" t="s">
        <v>47</v>
      </c>
      <c r="C5" s="16">
        <v>828685</v>
      </c>
      <c r="D5" s="14">
        <f>E5+F5+G5+H5+I5+M5+Q5+R5</f>
        <v>1209823</v>
      </c>
      <c r="E5" s="236">
        <v>0</v>
      </c>
      <c r="F5" s="256">
        <v>263134</v>
      </c>
      <c r="G5" s="227">
        <f>1+3</f>
        <v>4</v>
      </c>
      <c r="H5" s="236">
        <v>9592</v>
      </c>
      <c r="I5" s="241">
        <v>124047</v>
      </c>
      <c r="J5" s="214">
        <f>174795+463+17883</f>
        <v>193141</v>
      </c>
      <c r="K5" s="214"/>
      <c r="L5" s="214">
        <f>21539+597456</f>
        <v>618995</v>
      </c>
      <c r="M5" s="9">
        <f>SUM(J5:L5)</f>
        <v>812136</v>
      </c>
      <c r="N5" s="214"/>
      <c r="O5" s="214">
        <v>-59</v>
      </c>
      <c r="P5" s="214"/>
      <c r="Q5" s="214">
        <f>SUM(N5:P5)</f>
        <v>-59</v>
      </c>
      <c r="R5" s="236">
        <f>444+518+1+6</f>
        <v>969</v>
      </c>
      <c r="S5" s="199">
        <v>369.9</v>
      </c>
      <c r="T5" s="199">
        <v>444</v>
      </c>
      <c r="U5" s="211">
        <v>369.9</v>
      </c>
      <c r="V5" s="211">
        <v>518</v>
      </c>
      <c r="W5" s="211">
        <v>361.4</v>
      </c>
      <c r="X5" s="211">
        <v>1</v>
      </c>
      <c r="Y5" s="211">
        <v>362.5</v>
      </c>
      <c r="Z5" s="211">
        <v>6</v>
      </c>
    </row>
    <row r="6" spans="1:26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  <c r="U6" s="211"/>
      <c r="V6" s="211"/>
      <c r="W6" s="211"/>
      <c r="X6" s="211"/>
      <c r="Y6" s="211"/>
      <c r="Z6" s="211"/>
    </row>
    <row r="7" spans="1:26" ht="15" thickBot="1" x14ac:dyDescent="0.35">
      <c r="A7" s="39">
        <v>562.22</v>
      </c>
      <c r="B7" s="82" t="s">
        <v>92</v>
      </c>
      <c r="C7" s="15">
        <v>52221</v>
      </c>
      <c r="D7" s="14">
        <f t="shared" ref="D7:D55" si="2">E7+F7+G7+H7+I7+M7+Q7+R7</f>
        <v>72591</v>
      </c>
      <c r="E7" s="231"/>
      <c r="F7" s="257"/>
      <c r="G7" s="228"/>
      <c r="H7" s="231">
        <f>13100+57359</f>
        <v>70459</v>
      </c>
      <c r="I7" s="219"/>
      <c r="J7" s="217"/>
      <c r="K7" s="217"/>
      <c r="L7" s="217"/>
      <c r="M7" s="9">
        <f t="shared" si="0"/>
        <v>0</v>
      </c>
      <c r="N7" s="217"/>
      <c r="O7" s="217">
        <v>2040</v>
      </c>
      <c r="P7" s="217"/>
      <c r="Q7" s="214">
        <f t="shared" si="1"/>
        <v>2040</v>
      </c>
      <c r="R7" s="231">
        <v>92</v>
      </c>
      <c r="S7" s="199">
        <v>369.9</v>
      </c>
      <c r="T7" s="199">
        <v>92</v>
      </c>
      <c r="U7" s="211"/>
      <c r="V7" s="211"/>
      <c r="W7" s="211"/>
      <c r="X7" s="211"/>
      <c r="Y7" s="211"/>
      <c r="Z7" s="211"/>
    </row>
    <row r="8" spans="1:26" ht="15" thickBot="1" x14ac:dyDescent="0.35">
      <c r="A8" s="39">
        <v>562.24</v>
      </c>
      <c r="B8" s="40" t="s">
        <v>49</v>
      </c>
      <c r="C8" s="15"/>
      <c r="D8" s="14">
        <f t="shared" si="2"/>
        <v>0</v>
      </c>
      <c r="E8" s="231"/>
      <c r="F8" s="257"/>
      <c r="G8" s="228"/>
      <c r="H8" s="231"/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/>
      <c r="T8" s="199"/>
      <c r="U8" s="211"/>
      <c r="V8" s="211"/>
      <c r="W8" s="211"/>
      <c r="X8" s="211"/>
      <c r="Y8" s="211"/>
      <c r="Z8" s="211"/>
    </row>
    <row r="9" spans="1:26" ht="15" thickBot="1" x14ac:dyDescent="0.35">
      <c r="A9" s="39">
        <v>562.25</v>
      </c>
      <c r="B9" s="82" t="s">
        <v>93</v>
      </c>
      <c r="C9" s="15">
        <v>22951</v>
      </c>
      <c r="D9" s="14">
        <f t="shared" si="2"/>
        <v>28147</v>
      </c>
      <c r="E9" s="231"/>
      <c r="F9" s="257"/>
      <c r="G9" s="228">
        <v>4275</v>
      </c>
      <c r="H9" s="231">
        <v>23872</v>
      </c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  <c r="T9" s="199"/>
      <c r="U9" s="211"/>
      <c r="V9" s="211"/>
      <c r="W9" s="211"/>
      <c r="X9" s="211"/>
      <c r="Y9" s="211"/>
      <c r="Z9" s="211"/>
    </row>
    <row r="10" spans="1:26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T10" s="199"/>
      <c r="U10" s="211"/>
      <c r="V10" s="211"/>
      <c r="W10" s="211"/>
      <c r="X10" s="211"/>
      <c r="Y10" s="211"/>
      <c r="Z10" s="211"/>
    </row>
    <row r="11" spans="1:26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T11" s="199"/>
      <c r="U11" s="211"/>
      <c r="V11" s="211"/>
      <c r="W11" s="211"/>
      <c r="X11" s="211"/>
      <c r="Y11" s="211"/>
      <c r="Z11" s="211"/>
    </row>
    <row r="12" spans="1:26" ht="15" thickBot="1" x14ac:dyDescent="0.35">
      <c r="A12" s="39">
        <v>562.28</v>
      </c>
      <c r="B12" s="82" t="s">
        <v>94</v>
      </c>
      <c r="C12" s="15">
        <v>477849</v>
      </c>
      <c r="D12" s="14">
        <f t="shared" si="2"/>
        <v>527819</v>
      </c>
      <c r="E12" s="231"/>
      <c r="F12" s="257"/>
      <c r="G12" s="228"/>
      <c r="H12" s="231">
        <f>508151+11898+7412+358</f>
        <v>527819</v>
      </c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  <c r="T12" s="199"/>
      <c r="U12" s="211"/>
      <c r="V12" s="211"/>
      <c r="W12" s="211"/>
      <c r="X12" s="211"/>
      <c r="Y12" s="211"/>
      <c r="Z12" s="211"/>
    </row>
    <row r="13" spans="1:26" ht="15" thickBot="1" x14ac:dyDescent="0.35">
      <c r="A13" s="39">
        <v>562.29</v>
      </c>
      <c r="B13" s="82" t="s">
        <v>86</v>
      </c>
      <c r="C13" s="15"/>
      <c r="D13" s="14">
        <f t="shared" si="2"/>
        <v>0</v>
      </c>
      <c r="E13" s="231"/>
      <c r="F13" s="257"/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/>
      <c r="P13" s="217"/>
      <c r="Q13" s="214">
        <f t="shared" si="1"/>
        <v>0</v>
      </c>
      <c r="R13" s="231"/>
      <c r="T13" s="199"/>
      <c r="U13" s="211"/>
      <c r="V13" s="211"/>
      <c r="W13" s="211"/>
      <c r="X13" s="211"/>
      <c r="Y13" s="211"/>
      <c r="Z13" s="211"/>
    </row>
    <row r="14" spans="1:26" ht="15" thickBot="1" x14ac:dyDescent="0.35">
      <c r="A14" s="39">
        <v>562.32000000000005</v>
      </c>
      <c r="B14" s="40" t="s">
        <v>50</v>
      </c>
      <c r="C14" s="15">
        <v>125793</v>
      </c>
      <c r="D14" s="14">
        <f t="shared" si="2"/>
        <v>99822</v>
      </c>
      <c r="E14" s="231"/>
      <c r="F14" s="257"/>
      <c r="G14" s="228">
        <v>1141</v>
      </c>
      <c r="H14" s="231">
        <f>30789+16420+1839</f>
        <v>49048</v>
      </c>
      <c r="I14" s="219"/>
      <c r="J14" s="217"/>
      <c r="K14" s="217"/>
      <c r="L14" s="217"/>
      <c r="M14" s="9">
        <f t="shared" si="0"/>
        <v>0</v>
      </c>
      <c r="N14" s="217"/>
      <c r="O14" s="217">
        <v>49633</v>
      </c>
      <c r="P14" s="217"/>
      <c r="Q14" s="214">
        <f t="shared" si="1"/>
        <v>49633</v>
      </c>
      <c r="R14" s="231"/>
      <c r="T14" s="199"/>
      <c r="U14" s="211"/>
      <c r="V14" s="211"/>
      <c r="W14" s="211"/>
      <c r="X14" s="211"/>
      <c r="Y14" s="211"/>
      <c r="Z14" s="211"/>
    </row>
    <row r="15" spans="1:26" ht="15" thickBot="1" x14ac:dyDescent="0.35">
      <c r="A15" s="39">
        <v>562.33000000000004</v>
      </c>
      <c r="B15" s="82" t="s">
        <v>95</v>
      </c>
      <c r="C15" s="15"/>
      <c r="D15" s="14">
        <f t="shared" si="2"/>
        <v>0</v>
      </c>
      <c r="E15" s="231"/>
      <c r="F15" s="257"/>
      <c r="G15" s="228"/>
      <c r="H15" s="231"/>
      <c r="I15" s="219"/>
      <c r="J15" s="217"/>
      <c r="K15" s="217"/>
      <c r="L15" s="217"/>
      <c r="M15" s="9">
        <f t="shared" si="0"/>
        <v>0</v>
      </c>
      <c r="N15" s="217"/>
      <c r="O15" s="217"/>
      <c r="P15" s="217"/>
      <c r="Q15" s="214">
        <f t="shared" si="1"/>
        <v>0</v>
      </c>
      <c r="R15" s="231"/>
      <c r="T15" s="199"/>
      <c r="U15" s="211"/>
      <c r="V15" s="211"/>
      <c r="W15" s="211"/>
      <c r="X15" s="211"/>
      <c r="Y15" s="211"/>
      <c r="Z15" s="211"/>
    </row>
    <row r="16" spans="1:26" ht="15" thickBot="1" x14ac:dyDescent="0.35">
      <c r="A16" s="39">
        <v>562.34</v>
      </c>
      <c r="B16" s="40" t="s">
        <v>51</v>
      </c>
      <c r="C16" s="15">
        <v>10235</v>
      </c>
      <c r="D16" s="14">
        <f t="shared" si="2"/>
        <v>2573</v>
      </c>
      <c r="E16" s="231"/>
      <c r="F16" s="257"/>
      <c r="G16" s="228"/>
      <c r="H16" s="231"/>
      <c r="I16" s="219"/>
      <c r="J16" s="217"/>
      <c r="K16" s="217"/>
      <c r="L16" s="217"/>
      <c r="M16" s="9">
        <f t="shared" si="0"/>
        <v>0</v>
      </c>
      <c r="N16" s="217"/>
      <c r="O16" s="217">
        <v>2573</v>
      </c>
      <c r="P16" s="217"/>
      <c r="Q16" s="214">
        <f t="shared" si="1"/>
        <v>2573</v>
      </c>
      <c r="R16" s="231"/>
      <c r="T16" s="213"/>
      <c r="U16" s="211"/>
      <c r="V16" s="211"/>
      <c r="W16" s="211"/>
      <c r="X16" s="211"/>
      <c r="Y16" s="211"/>
      <c r="Z16" s="211"/>
    </row>
    <row r="17" spans="1:26" ht="15" thickBot="1" x14ac:dyDescent="0.35">
      <c r="A17" s="39">
        <v>562.35</v>
      </c>
      <c r="B17" s="40" t="s">
        <v>52</v>
      </c>
      <c r="C17" s="15"/>
      <c r="D17" s="14">
        <f t="shared" si="2"/>
        <v>0</v>
      </c>
      <c r="E17" s="231"/>
      <c r="F17" s="257"/>
      <c r="G17" s="228"/>
      <c r="H17" s="231"/>
      <c r="I17" s="219"/>
      <c r="J17" s="217"/>
      <c r="K17" s="217"/>
      <c r="L17" s="217"/>
      <c r="M17" s="9">
        <f t="shared" si="0"/>
        <v>0</v>
      </c>
      <c r="N17" s="217"/>
      <c r="O17" s="217"/>
      <c r="P17" s="217"/>
      <c r="Q17" s="214">
        <f t="shared" si="1"/>
        <v>0</v>
      </c>
      <c r="R17" s="231"/>
      <c r="T17" s="199"/>
      <c r="U17" s="211"/>
      <c r="V17" s="211"/>
      <c r="W17" s="211"/>
      <c r="X17" s="211"/>
      <c r="Y17" s="211"/>
      <c r="Z17" s="211"/>
    </row>
    <row r="18" spans="1:26" ht="15" thickBot="1" x14ac:dyDescent="0.35">
      <c r="A18" s="39">
        <v>562.39</v>
      </c>
      <c r="B18" s="40" t="s">
        <v>53</v>
      </c>
      <c r="C18" s="15">
        <v>50180</v>
      </c>
      <c r="D18" s="14">
        <f t="shared" si="2"/>
        <v>752</v>
      </c>
      <c r="E18" s="231"/>
      <c r="F18" s="257"/>
      <c r="G18" s="228">
        <v>752</v>
      </c>
      <c r="H18" s="231"/>
      <c r="I18" s="219"/>
      <c r="J18" s="217"/>
      <c r="K18" s="217"/>
      <c r="L18" s="217"/>
      <c r="M18" s="9">
        <f t="shared" si="0"/>
        <v>0</v>
      </c>
      <c r="N18" s="217"/>
      <c r="O18" s="217"/>
      <c r="P18" s="217"/>
      <c r="Q18" s="214">
        <f t="shared" si="1"/>
        <v>0</v>
      </c>
      <c r="R18" s="231"/>
      <c r="T18" s="199"/>
      <c r="U18" s="211"/>
      <c r="V18" s="211"/>
      <c r="W18" s="211"/>
      <c r="X18" s="211"/>
      <c r="Y18" s="211"/>
      <c r="Z18" s="211"/>
    </row>
    <row r="19" spans="1:26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  <c r="T19" s="199"/>
      <c r="U19" s="211"/>
      <c r="V19" s="211"/>
      <c r="W19" s="211"/>
      <c r="X19" s="211"/>
      <c r="Y19" s="211"/>
      <c r="Z19" s="211"/>
    </row>
    <row r="20" spans="1:26" ht="15" thickBot="1" x14ac:dyDescent="0.35">
      <c r="A20" s="39">
        <v>562.41999999999996</v>
      </c>
      <c r="B20" s="40" t="s">
        <v>55</v>
      </c>
      <c r="C20" s="15">
        <v>178</v>
      </c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  <c r="W20" s="211"/>
      <c r="X20" s="211"/>
      <c r="Y20" s="211"/>
      <c r="Z20" s="211"/>
    </row>
    <row r="21" spans="1:26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  <c r="T21" s="199"/>
      <c r="U21" s="211"/>
      <c r="V21" s="211"/>
      <c r="W21" s="211"/>
      <c r="X21" s="211"/>
      <c r="Y21" s="211"/>
      <c r="Z21" s="211"/>
    </row>
    <row r="22" spans="1:26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  <c r="T22" s="199"/>
      <c r="U22" s="211"/>
      <c r="V22" s="211"/>
      <c r="W22" s="211"/>
      <c r="X22" s="211"/>
      <c r="Y22" s="211"/>
      <c r="Z22" s="211"/>
    </row>
    <row r="23" spans="1:26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  <c r="W23" s="211"/>
      <c r="X23" s="211"/>
      <c r="Y23" s="211"/>
      <c r="Z23" s="211"/>
    </row>
    <row r="24" spans="1:26" ht="15" thickBot="1" x14ac:dyDescent="0.35">
      <c r="A24" s="39">
        <v>562.49</v>
      </c>
      <c r="B24" s="82" t="s">
        <v>87</v>
      </c>
      <c r="C24" s="15">
        <v>50345</v>
      </c>
      <c r="D24" s="14">
        <f t="shared" si="2"/>
        <v>57818</v>
      </c>
      <c r="E24" s="231"/>
      <c r="F24" s="257"/>
      <c r="G24" s="228"/>
      <c r="H24" s="231">
        <v>57818</v>
      </c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  <c r="T24" s="199"/>
      <c r="U24" s="211"/>
      <c r="V24" s="211"/>
      <c r="W24" s="211"/>
      <c r="X24" s="211"/>
      <c r="Y24" s="211"/>
      <c r="Z24" s="211"/>
    </row>
    <row r="25" spans="1:26" ht="15" thickBot="1" x14ac:dyDescent="0.35">
      <c r="A25" s="39">
        <v>562.52</v>
      </c>
      <c r="B25" s="40" t="s">
        <v>56</v>
      </c>
      <c r="C25" s="15">
        <v>107697</v>
      </c>
      <c r="D25" s="14">
        <f t="shared" si="2"/>
        <v>52256</v>
      </c>
      <c r="E25" s="231"/>
      <c r="F25" s="257"/>
      <c r="G25" s="228"/>
      <c r="H25" s="231"/>
      <c r="I25" s="219"/>
      <c r="J25" s="217"/>
      <c r="K25" s="217"/>
      <c r="L25" s="217"/>
      <c r="M25" s="9">
        <f t="shared" si="0"/>
        <v>0</v>
      </c>
      <c r="N25" s="217"/>
      <c r="O25" s="217">
        <f>400+24140+9300+8250+9509+657</f>
        <v>52256</v>
      </c>
      <c r="P25" s="217"/>
      <c r="Q25" s="214">
        <f t="shared" si="1"/>
        <v>52256</v>
      </c>
      <c r="R25" s="231"/>
      <c r="T25" s="199"/>
      <c r="U25" s="211"/>
      <c r="V25" s="211"/>
      <c r="W25" s="211"/>
      <c r="X25" s="211"/>
      <c r="Y25" s="211"/>
      <c r="Z25" s="211"/>
    </row>
    <row r="26" spans="1:26" ht="15" thickBot="1" x14ac:dyDescent="0.35">
      <c r="A26" s="39">
        <v>562.53</v>
      </c>
      <c r="B26" s="82" t="s">
        <v>99</v>
      </c>
      <c r="C26" s="15">
        <v>109184</v>
      </c>
      <c r="D26" s="14">
        <f t="shared" si="2"/>
        <v>123649</v>
      </c>
      <c r="E26" s="231"/>
      <c r="F26" s="257"/>
      <c r="G26" s="228">
        <f>75885+20279</f>
        <v>96164</v>
      </c>
      <c r="H26" s="231"/>
      <c r="I26" s="219"/>
      <c r="J26" s="217"/>
      <c r="K26" s="217"/>
      <c r="L26" s="217"/>
      <c r="M26" s="9">
        <f t="shared" si="0"/>
        <v>0</v>
      </c>
      <c r="N26" s="217">
        <v>2090</v>
      </c>
      <c r="O26" s="217"/>
      <c r="P26" s="217"/>
      <c r="Q26" s="214">
        <f t="shared" si="1"/>
        <v>2090</v>
      </c>
      <c r="R26" s="231">
        <v>25395</v>
      </c>
      <c r="S26" s="199">
        <v>366.9</v>
      </c>
      <c r="T26" s="199">
        <v>25395</v>
      </c>
      <c r="U26" s="211"/>
      <c r="V26" s="211"/>
      <c r="W26" s="211"/>
      <c r="X26" s="211"/>
      <c r="Y26" s="211"/>
      <c r="Z26" s="211"/>
    </row>
    <row r="27" spans="1:26" ht="15" thickBot="1" x14ac:dyDescent="0.35">
      <c r="A27" s="39">
        <v>562.54</v>
      </c>
      <c r="B27" s="82" t="s">
        <v>100</v>
      </c>
      <c r="C27" s="15">
        <v>139237</v>
      </c>
      <c r="D27" s="14">
        <f t="shared" si="2"/>
        <v>116571</v>
      </c>
      <c r="E27" s="231"/>
      <c r="F27" s="257"/>
      <c r="G27" s="228"/>
      <c r="H27" s="231"/>
      <c r="I27" s="219"/>
      <c r="J27" s="217"/>
      <c r="K27" s="217"/>
      <c r="L27" s="217"/>
      <c r="M27" s="9">
        <f t="shared" si="0"/>
        <v>0</v>
      </c>
      <c r="N27" s="217">
        <f>8250+107100</f>
        <v>115350</v>
      </c>
      <c r="O27" s="217"/>
      <c r="P27" s="217"/>
      <c r="Q27" s="214">
        <f t="shared" si="1"/>
        <v>115350</v>
      </c>
      <c r="R27" s="231">
        <v>1221</v>
      </c>
      <c r="S27" s="199">
        <v>369.4</v>
      </c>
      <c r="T27" s="199">
        <v>1221</v>
      </c>
      <c r="U27" s="211"/>
      <c r="V27" s="211"/>
      <c r="W27" s="211"/>
      <c r="X27" s="211"/>
      <c r="Y27" s="211"/>
      <c r="Z27" s="211"/>
    </row>
    <row r="28" spans="1:26" ht="15" thickBot="1" x14ac:dyDescent="0.35">
      <c r="A28" s="39">
        <v>562.54999999999995</v>
      </c>
      <c r="B28" s="40" t="s">
        <v>57</v>
      </c>
      <c r="C28" s="15">
        <v>2658</v>
      </c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  <c r="T28" s="199"/>
      <c r="U28" s="211"/>
      <c r="V28" s="211"/>
      <c r="W28" s="211"/>
      <c r="X28" s="211"/>
      <c r="Y28" s="211"/>
      <c r="Z28" s="211"/>
    </row>
    <row r="29" spans="1:26" ht="15" thickBot="1" x14ac:dyDescent="0.35">
      <c r="A29" s="39">
        <v>562.55999999999995</v>
      </c>
      <c r="B29" s="40" t="s">
        <v>58</v>
      </c>
      <c r="C29" s="15">
        <v>208163</v>
      </c>
      <c r="D29" s="14">
        <f t="shared" si="2"/>
        <v>186377</v>
      </c>
      <c r="E29" s="231"/>
      <c r="F29" s="257"/>
      <c r="G29" s="228"/>
      <c r="H29" s="231"/>
      <c r="I29" s="219"/>
      <c r="J29" s="217"/>
      <c r="K29" s="217"/>
      <c r="L29" s="217"/>
      <c r="M29" s="9">
        <f t="shared" si="0"/>
        <v>0</v>
      </c>
      <c r="N29" s="217">
        <f>145896+25494</f>
        <v>171390</v>
      </c>
      <c r="O29" s="217">
        <f>1381+5858+7700</f>
        <v>14939</v>
      </c>
      <c r="P29" s="217"/>
      <c r="Q29" s="214">
        <f t="shared" si="1"/>
        <v>186329</v>
      </c>
      <c r="R29" s="231">
        <v>48</v>
      </c>
      <c r="S29" s="199">
        <v>369.9</v>
      </c>
      <c r="T29" s="199">
        <v>48</v>
      </c>
      <c r="U29" s="211"/>
      <c r="V29" s="211"/>
      <c r="W29" s="211"/>
      <c r="X29" s="211"/>
      <c r="Y29" s="211"/>
      <c r="Z29" s="211"/>
    </row>
    <row r="30" spans="1:26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  <c r="T30" s="199"/>
      <c r="U30" s="211"/>
      <c r="V30" s="211"/>
      <c r="W30" s="211"/>
      <c r="X30" s="211"/>
      <c r="Y30" s="211"/>
      <c r="Z30" s="211"/>
    </row>
    <row r="31" spans="1:26" ht="15" thickBot="1" x14ac:dyDescent="0.35">
      <c r="A31" s="39">
        <v>562.58000000000004</v>
      </c>
      <c r="B31" s="82" t="s">
        <v>88</v>
      </c>
      <c r="C31" s="15"/>
      <c r="D31" s="14">
        <f t="shared" si="2"/>
        <v>0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/>
      <c r="O31" s="217"/>
      <c r="P31" s="217"/>
      <c r="Q31" s="214">
        <f t="shared" si="1"/>
        <v>0</v>
      </c>
      <c r="R31" s="231"/>
      <c r="T31" s="199"/>
      <c r="U31" s="211"/>
      <c r="V31" s="211"/>
      <c r="W31" s="211"/>
      <c r="X31" s="211"/>
      <c r="Y31" s="211"/>
      <c r="Z31" s="211"/>
    </row>
    <row r="32" spans="1:26" ht="15" thickBot="1" x14ac:dyDescent="0.35">
      <c r="A32" s="39">
        <v>562.59</v>
      </c>
      <c r="B32" s="82" t="s">
        <v>89</v>
      </c>
      <c r="C32" s="15">
        <v>160616</v>
      </c>
      <c r="D32" s="14">
        <f t="shared" si="2"/>
        <v>100000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>
        <v>100000</v>
      </c>
      <c r="P32" s="247"/>
      <c r="Q32" s="214">
        <f t="shared" si="1"/>
        <v>100000</v>
      </c>
      <c r="R32" s="231"/>
      <c r="T32" s="199"/>
      <c r="U32" s="211"/>
      <c r="V32" s="211"/>
      <c r="W32" s="211"/>
      <c r="X32" s="211"/>
      <c r="Y32" s="211"/>
      <c r="Z32" s="211"/>
    </row>
    <row r="33" spans="1:26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  <c r="T33" s="199"/>
      <c r="U33" s="211"/>
      <c r="V33" s="211"/>
      <c r="W33" s="211"/>
      <c r="X33" s="211"/>
      <c r="Y33" s="211"/>
      <c r="Z33" s="211"/>
    </row>
    <row r="34" spans="1:26" ht="15" thickBot="1" x14ac:dyDescent="0.35">
      <c r="A34" s="39">
        <v>562.71</v>
      </c>
      <c r="B34" s="40" t="s">
        <v>60</v>
      </c>
      <c r="C34" s="15">
        <v>34657</v>
      </c>
      <c r="D34" s="14">
        <f t="shared" si="2"/>
        <v>44395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44395</v>
      </c>
      <c r="P34" s="217"/>
      <c r="Q34" s="214">
        <f t="shared" si="1"/>
        <v>44395</v>
      </c>
      <c r="R34" s="231"/>
      <c r="T34" s="199"/>
      <c r="U34" s="211"/>
      <c r="V34" s="211"/>
      <c r="W34" s="211"/>
      <c r="X34" s="211"/>
      <c r="Y34" s="211"/>
      <c r="Z34" s="211"/>
    </row>
    <row r="35" spans="1:26" ht="15" thickBot="1" x14ac:dyDescent="0.35">
      <c r="A35" s="39">
        <v>562.72</v>
      </c>
      <c r="B35" s="40" t="s">
        <v>61</v>
      </c>
      <c r="C35" s="15">
        <v>114677</v>
      </c>
      <c r="D35" s="14">
        <f t="shared" si="2"/>
        <v>104620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>
        <v>104620</v>
      </c>
      <c r="P35" s="217"/>
      <c r="Q35" s="214">
        <f t="shared" si="1"/>
        <v>104620</v>
      </c>
      <c r="R35" s="231"/>
      <c r="T35" s="199"/>
      <c r="U35" s="211"/>
      <c r="V35" s="211"/>
      <c r="W35" s="211"/>
      <c r="X35" s="211"/>
      <c r="Y35" s="211"/>
      <c r="Z35" s="211"/>
    </row>
    <row r="36" spans="1:26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  <c r="T36" s="199"/>
      <c r="U36" s="211"/>
      <c r="V36" s="211"/>
      <c r="W36" s="211"/>
      <c r="X36" s="211"/>
      <c r="Y36" s="211"/>
      <c r="Z36" s="211"/>
    </row>
    <row r="37" spans="1:26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  <c r="U37" s="211"/>
      <c r="V37" s="211"/>
      <c r="W37" s="211"/>
      <c r="X37" s="211"/>
      <c r="Y37" s="211"/>
      <c r="Z37" s="211"/>
    </row>
    <row r="38" spans="1:26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  <c r="W38" s="211"/>
      <c r="X38" s="211"/>
      <c r="Y38" s="211"/>
      <c r="Z38" s="211"/>
    </row>
    <row r="39" spans="1:26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  <c r="W39" s="211"/>
      <c r="X39" s="211"/>
      <c r="Y39" s="211"/>
      <c r="Z39" s="211"/>
    </row>
    <row r="40" spans="1:26" ht="15" thickBot="1" x14ac:dyDescent="0.35">
      <c r="A40" s="39">
        <v>562.79999999999995</v>
      </c>
      <c r="B40" s="40" t="s">
        <v>65</v>
      </c>
      <c r="C40" s="15">
        <v>52688</v>
      </c>
      <c r="D40" s="14">
        <f t="shared" si="2"/>
        <v>0</v>
      </c>
      <c r="E40" s="231"/>
      <c r="F40" s="257"/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  <c r="T40" s="199"/>
      <c r="U40" s="211"/>
      <c r="V40" s="211"/>
      <c r="W40" s="211"/>
      <c r="X40" s="211"/>
      <c r="Y40" s="211"/>
      <c r="Z40" s="211"/>
    </row>
    <row r="41" spans="1:26" ht="15" thickBot="1" x14ac:dyDescent="0.35">
      <c r="A41" s="39">
        <v>562.88</v>
      </c>
      <c r="B41" s="82" t="s">
        <v>91</v>
      </c>
      <c r="C41" s="15">
        <v>68808</v>
      </c>
      <c r="D41" s="14">
        <f t="shared" si="2"/>
        <v>82085</v>
      </c>
      <c r="E41" s="231"/>
      <c r="F41" s="257"/>
      <c r="G41" s="228"/>
      <c r="H41" s="231">
        <f>71045+5817</f>
        <v>76862</v>
      </c>
      <c r="I41" s="219">
        <v>5223</v>
      </c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/>
      <c r="T41" s="199"/>
      <c r="U41" s="211"/>
      <c r="V41" s="211"/>
      <c r="W41" s="211"/>
      <c r="X41" s="211"/>
      <c r="Y41" s="211"/>
      <c r="Z41" s="211"/>
    </row>
    <row r="42" spans="1:26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T42" s="199"/>
      <c r="U42" s="211"/>
      <c r="V42" s="211"/>
      <c r="W42" s="211"/>
      <c r="X42" s="211"/>
      <c r="Y42" s="211"/>
      <c r="Z42" s="211"/>
    </row>
    <row r="43" spans="1:26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  <c r="U43" s="211"/>
      <c r="V43" s="211"/>
      <c r="W43" s="211"/>
      <c r="X43" s="211"/>
      <c r="Y43" s="211"/>
      <c r="Z43" s="211"/>
    </row>
    <row r="44" spans="1:26" x14ac:dyDescent="0.3">
      <c r="A44" s="206" t="s">
        <v>110</v>
      </c>
      <c r="B44" s="207" t="s">
        <v>68</v>
      </c>
      <c r="C44" s="208">
        <f>SUM(C5:C43)</f>
        <v>2616822</v>
      </c>
      <c r="D44" s="205">
        <f>E44+F44+G44+H44+I44+M44+Q44+R44</f>
        <v>2809298</v>
      </c>
      <c r="E44" s="233">
        <f t="shared" ref="E44:R44" si="3">SUM(E5:E43)</f>
        <v>0</v>
      </c>
      <c r="F44" s="259">
        <f t="shared" si="3"/>
        <v>263134</v>
      </c>
      <c r="G44" s="223">
        <f t="shared" si="3"/>
        <v>102336</v>
      </c>
      <c r="H44" s="233">
        <f t="shared" si="3"/>
        <v>815470</v>
      </c>
      <c r="I44" s="239">
        <f t="shared" si="3"/>
        <v>129270</v>
      </c>
      <c r="J44" s="245">
        <f>SUM(J5:J43)</f>
        <v>193141</v>
      </c>
      <c r="K44" s="245">
        <f>SUM(K5:K43)</f>
        <v>0</v>
      </c>
      <c r="L44" s="245">
        <f>SUM(L5:L43)</f>
        <v>618995</v>
      </c>
      <c r="M44" s="208">
        <f t="shared" si="3"/>
        <v>812136</v>
      </c>
      <c r="N44" s="245">
        <f>SUM(N5:N43)</f>
        <v>288830</v>
      </c>
      <c r="O44" s="245">
        <f>SUM(O5:O43)</f>
        <v>370397</v>
      </c>
      <c r="P44" s="245">
        <f>SUM(P5:P43)</f>
        <v>0</v>
      </c>
      <c r="Q44" s="216">
        <f t="shared" si="3"/>
        <v>659227</v>
      </c>
      <c r="R44" s="233">
        <f t="shared" si="3"/>
        <v>27725</v>
      </c>
      <c r="T44" s="199"/>
      <c r="U44" s="211"/>
      <c r="V44" s="211"/>
      <c r="W44" s="211"/>
      <c r="X44" s="211"/>
      <c r="Y44" s="211"/>
      <c r="Z44" s="211"/>
    </row>
    <row r="45" spans="1:26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  <c r="W45" s="211"/>
      <c r="X45" s="211"/>
      <c r="Y45" s="211"/>
      <c r="Z45" s="211"/>
    </row>
    <row r="46" spans="1:26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  <c r="W46" s="211"/>
      <c r="X46" s="211"/>
      <c r="Y46" s="211"/>
      <c r="Z46" s="211"/>
    </row>
    <row r="47" spans="1:26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T47" s="199"/>
      <c r="U47" s="211"/>
      <c r="V47" s="211"/>
      <c r="W47" s="211"/>
      <c r="X47" s="211"/>
      <c r="Y47" s="211"/>
      <c r="Z47" s="211"/>
    </row>
    <row r="48" spans="1:26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  <c r="W48" s="211"/>
      <c r="X48" s="211"/>
      <c r="Y48" s="211"/>
      <c r="Z48" s="211"/>
    </row>
    <row r="49" spans="1:26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T49" s="199"/>
      <c r="U49" s="211"/>
      <c r="V49" s="211"/>
      <c r="W49" s="211"/>
      <c r="X49" s="211"/>
      <c r="Y49" s="211"/>
      <c r="Z49" s="211"/>
    </row>
    <row r="50" spans="1:26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  <c r="W50" s="211"/>
      <c r="X50" s="211"/>
      <c r="Y50" s="211"/>
      <c r="Z50" s="211"/>
    </row>
    <row r="51" spans="1:26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  <c r="W51" s="211"/>
      <c r="X51" s="211"/>
      <c r="Y51" s="211"/>
      <c r="Z51" s="211"/>
    </row>
    <row r="52" spans="1:26" ht="15" thickBot="1" x14ac:dyDescent="0.35">
      <c r="A52" s="39">
        <v>564</v>
      </c>
      <c r="B52" s="40" t="s">
        <v>75</v>
      </c>
      <c r="C52" s="15">
        <v>88852</v>
      </c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  <c r="W52" s="211"/>
      <c r="X52" s="211"/>
      <c r="Y52" s="211"/>
      <c r="Z52" s="211"/>
    </row>
    <row r="53" spans="1:26" ht="15" thickBot="1" x14ac:dyDescent="0.35">
      <c r="A53" s="39">
        <v>566</v>
      </c>
      <c r="B53" s="40" t="s">
        <v>76</v>
      </c>
      <c r="C53" s="15">
        <v>323156</v>
      </c>
      <c r="D53" s="14">
        <f t="shared" si="2"/>
        <v>395808</v>
      </c>
      <c r="E53" s="231"/>
      <c r="F53" s="257"/>
      <c r="G53" s="228">
        <v>219541</v>
      </c>
      <c r="H53" s="231">
        <f>46610+74171</f>
        <v>120781</v>
      </c>
      <c r="I53" s="219"/>
      <c r="J53" s="217"/>
      <c r="K53" s="217"/>
      <c r="L53" s="217">
        <v>47179</v>
      </c>
      <c r="M53" s="9">
        <f t="shared" si="0"/>
        <v>47179</v>
      </c>
      <c r="N53" s="217"/>
      <c r="O53" s="217">
        <v>7807</v>
      </c>
      <c r="P53" s="217"/>
      <c r="Q53" s="214">
        <f t="shared" si="1"/>
        <v>7807</v>
      </c>
      <c r="R53" s="231">
        <v>500</v>
      </c>
      <c r="S53" s="199">
        <v>367.11</v>
      </c>
      <c r="T53" s="199">
        <v>500</v>
      </c>
      <c r="U53" s="211"/>
      <c r="V53" s="211"/>
      <c r="W53" s="211"/>
      <c r="X53" s="211"/>
      <c r="Y53" s="211"/>
      <c r="Z53" s="211"/>
    </row>
    <row r="54" spans="1:26" ht="15" thickBot="1" x14ac:dyDescent="0.35">
      <c r="A54" s="39">
        <v>568</v>
      </c>
      <c r="B54" s="40" t="s">
        <v>77</v>
      </c>
      <c r="C54" s="15">
        <v>868019</v>
      </c>
      <c r="D54" s="14">
        <f t="shared" si="2"/>
        <v>817418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>
        <v>817418</v>
      </c>
      <c r="P54" s="217"/>
      <c r="Q54" s="214">
        <f t="shared" si="1"/>
        <v>817418</v>
      </c>
      <c r="R54" s="231"/>
      <c r="T54" s="199"/>
      <c r="U54" s="211"/>
      <c r="V54" s="211"/>
      <c r="W54" s="211"/>
      <c r="X54" s="211"/>
      <c r="Y54" s="211"/>
      <c r="Z54" s="211"/>
    </row>
    <row r="55" spans="1:26" x14ac:dyDescent="0.3">
      <c r="A55" s="41">
        <v>500</v>
      </c>
      <c r="B55" s="32" t="s">
        <v>118</v>
      </c>
      <c r="C55" s="18">
        <f>1068459+72641+65782</f>
        <v>1206882</v>
      </c>
      <c r="D55" s="20">
        <f t="shared" si="2"/>
        <v>1350829</v>
      </c>
      <c r="E55" s="232">
        <v>18754</v>
      </c>
      <c r="F55" s="258"/>
      <c r="G55" s="229">
        <f>27269+497+3628+694623</f>
        <v>726017</v>
      </c>
      <c r="H55" s="232"/>
      <c r="I55" s="220">
        <f>16526+4406+35196+52277+115600</f>
        <v>224005</v>
      </c>
      <c r="J55" s="244"/>
      <c r="K55" s="244"/>
      <c r="L55" s="244">
        <v>17000</v>
      </c>
      <c r="M55" s="198">
        <f t="shared" si="0"/>
        <v>17000</v>
      </c>
      <c r="N55" s="244"/>
      <c r="O55" s="244">
        <f>302987+58067</f>
        <v>361054</v>
      </c>
      <c r="P55" s="244"/>
      <c r="Q55" s="215">
        <f t="shared" si="1"/>
        <v>361054</v>
      </c>
      <c r="R55" s="232">
        <v>3999</v>
      </c>
      <c r="S55" s="199">
        <v>367.11</v>
      </c>
      <c r="T55" s="199">
        <v>3999</v>
      </c>
      <c r="U55" s="211"/>
      <c r="V55" s="211"/>
      <c r="W55" s="211"/>
      <c r="X55" s="211"/>
      <c r="Y55" s="211"/>
      <c r="Z55" s="211"/>
    </row>
    <row r="56" spans="1:26" ht="15" thickBot="1" x14ac:dyDescent="0.35">
      <c r="A56" s="107"/>
      <c r="B56" s="108" t="s">
        <v>80</v>
      </c>
      <c r="C56" s="111">
        <f>SUM(C44:C55)</f>
        <v>5103731</v>
      </c>
      <c r="D56" s="110">
        <f>E56+F56+G56+H56+I56+M56+Q56+R56</f>
        <v>5373353</v>
      </c>
      <c r="E56" s="235">
        <f t="shared" ref="E56:R56" si="4">SUM(E44:E55)</f>
        <v>18754</v>
      </c>
      <c r="F56" s="260">
        <f t="shared" si="4"/>
        <v>263134</v>
      </c>
      <c r="G56" s="225">
        <f t="shared" si="4"/>
        <v>1047894</v>
      </c>
      <c r="H56" s="235">
        <f t="shared" si="4"/>
        <v>936251</v>
      </c>
      <c r="I56" s="240">
        <f t="shared" si="4"/>
        <v>353275</v>
      </c>
      <c r="J56" s="218">
        <f>SUM(J44:J55)</f>
        <v>193141</v>
      </c>
      <c r="K56" s="218">
        <f>SUM(K44:K55)</f>
        <v>0</v>
      </c>
      <c r="L56" s="218">
        <f>SUM(L44:L55)</f>
        <v>683174</v>
      </c>
      <c r="M56" s="209">
        <f t="shared" si="4"/>
        <v>876315</v>
      </c>
      <c r="N56" s="218">
        <f>SUM(N44:N55)</f>
        <v>288830</v>
      </c>
      <c r="O56" s="218">
        <f>SUM(O44:O55)</f>
        <v>1556676</v>
      </c>
      <c r="P56" s="218">
        <f>SUM(P44:P55)</f>
        <v>0</v>
      </c>
      <c r="Q56" s="218">
        <f t="shared" si="4"/>
        <v>1845506</v>
      </c>
      <c r="R56" s="235">
        <f t="shared" si="4"/>
        <v>32224</v>
      </c>
    </row>
    <row r="57" spans="1:26" ht="15" thickTop="1" x14ac:dyDescent="0.3"/>
    <row r="58" spans="1:26" ht="15" thickBot="1" x14ac:dyDescent="0.35"/>
    <row r="59" spans="1:26" ht="15" thickBot="1" x14ac:dyDescent="0.35">
      <c r="B59" s="42" t="s">
        <v>109</v>
      </c>
      <c r="C59" s="43"/>
      <c r="D59" s="44"/>
    </row>
    <row r="60" spans="1:26" ht="15" thickTop="1" x14ac:dyDescent="0.3">
      <c r="B60" s="115"/>
      <c r="C60" s="116" t="s">
        <v>82</v>
      </c>
      <c r="D60" s="117" t="s">
        <v>78</v>
      </c>
    </row>
    <row r="61" spans="1:26" x14ac:dyDescent="0.3">
      <c r="B61" s="153" t="s">
        <v>108</v>
      </c>
      <c r="C61" s="45"/>
      <c r="D61" s="46"/>
    </row>
    <row r="62" spans="1:26" x14ac:dyDescent="0.3">
      <c r="B62" s="26" t="s">
        <v>3</v>
      </c>
      <c r="C62" s="47">
        <f>E56</f>
        <v>18754</v>
      </c>
      <c r="D62" s="48">
        <f>E56/D56</f>
        <v>3.490185736913246E-3</v>
      </c>
    </row>
    <row r="63" spans="1:26" x14ac:dyDescent="0.3">
      <c r="B63" s="26" t="s">
        <v>4</v>
      </c>
      <c r="C63" s="49">
        <f>F56</f>
        <v>263134</v>
      </c>
      <c r="D63" s="48">
        <f>F56/D56</f>
        <v>4.8970168161295194E-2</v>
      </c>
    </row>
    <row r="64" spans="1:26" x14ac:dyDescent="0.3">
      <c r="B64" s="56" t="s">
        <v>79</v>
      </c>
      <c r="C64" s="50">
        <f>G56</f>
        <v>1047894</v>
      </c>
      <c r="D64" s="51">
        <f>G56/D56</f>
        <v>0.19501678002543291</v>
      </c>
    </row>
    <row r="65" spans="2:4" ht="15" thickBot="1" x14ac:dyDescent="0.35">
      <c r="B65" s="146" t="s">
        <v>115</v>
      </c>
      <c r="C65" s="52">
        <f>SUM(C62:C64)</f>
        <v>1329782</v>
      </c>
      <c r="D65" s="53">
        <f>SUM(D62:D64)</f>
        <v>0.24747713392364135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936251</v>
      </c>
      <c r="D67" s="25">
        <f>H56/D56</f>
        <v>0.17423962282023905</v>
      </c>
    </row>
    <row r="68" spans="2:4" x14ac:dyDescent="0.3">
      <c r="B68" s="57" t="s">
        <v>7</v>
      </c>
      <c r="C68" s="27">
        <f>I56</f>
        <v>353275</v>
      </c>
      <c r="D68" s="28">
        <f>I56/D56</f>
        <v>6.5745727109311453E-2</v>
      </c>
    </row>
    <row r="69" spans="2:4" ht="15" thickBot="1" x14ac:dyDescent="0.35">
      <c r="B69" s="146" t="s">
        <v>116</v>
      </c>
      <c r="C69" s="52">
        <f>SUM(C67:C68)</f>
        <v>1289526</v>
      </c>
      <c r="D69" s="53">
        <f>SUM(D67:D68)</f>
        <v>0.23998534992955051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876315</v>
      </c>
      <c r="D71" s="25">
        <f>M56/D56</f>
        <v>0.16308532121377473</v>
      </c>
    </row>
    <row r="72" spans="2:4" x14ac:dyDescent="0.3">
      <c r="B72" s="24" t="s">
        <v>8</v>
      </c>
      <c r="C72" s="23">
        <f>Q56</f>
        <v>1845506</v>
      </c>
      <c r="D72" s="25">
        <f>Q56/D56</f>
        <v>0.34345519454984624</v>
      </c>
    </row>
    <row r="73" spans="2:4" x14ac:dyDescent="0.3">
      <c r="B73" s="163" t="s">
        <v>83</v>
      </c>
      <c r="C73" s="27">
        <f>R56</f>
        <v>32224</v>
      </c>
      <c r="D73" s="28">
        <f>R56/D56</f>
        <v>5.9970003831871831E-3</v>
      </c>
    </row>
    <row r="74" spans="2:4" ht="15" thickBot="1" x14ac:dyDescent="0.35">
      <c r="B74" s="146" t="s">
        <v>117</v>
      </c>
      <c r="C74" s="52">
        <f>SUM(C71:C73)</f>
        <v>2754045</v>
      </c>
      <c r="D74" s="53">
        <f>SUM(D71:D73)</f>
        <v>0.51253751614680809</v>
      </c>
    </row>
    <row r="75" spans="2:4" ht="15" thickBot="1" x14ac:dyDescent="0.35">
      <c r="B75" s="157" t="s">
        <v>80</v>
      </c>
      <c r="C75" s="158">
        <f>C65+C69+C74</f>
        <v>5373353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113" priority="7">
      <formula>ROW()=EVEN(ROW())</formula>
    </cfRule>
  </conditionalFormatting>
  <conditionalFormatting sqref="A55:B55">
    <cfRule type="expression" dxfId="112" priority="5">
      <formula>ROW()=EVEN(ROW())</formula>
    </cfRule>
  </conditionalFormatting>
  <conditionalFormatting sqref="A54:B54">
    <cfRule type="expression" dxfId="111" priority="4">
      <formula>ROW()=EVEN(ROW())</formula>
    </cfRule>
  </conditionalFormatting>
  <conditionalFormatting sqref="M45:M55">
    <cfRule type="expression" dxfId="110" priority="3">
      <formula>ROW()=EVEN(ROW())</formula>
    </cfRule>
  </conditionalFormatting>
  <conditionalFormatting sqref="D45:D55">
    <cfRule type="expression" dxfId="109" priority="2">
      <formula>ROW()=EVEN(ROW())</formula>
    </cfRule>
  </conditionalFormatting>
  <conditionalFormatting sqref="N44:P55">
    <cfRule type="expression" dxfId="108" priority="1">
      <formula>ROW()=EVEN(ROW())</formula>
    </cfRule>
  </conditionalFormatting>
  <printOptions horizontalCentered="1"/>
  <pageMargins left="0" right="0" top="1.1000000000000001" bottom="0.5" header="0.3" footer="0.3"/>
  <pageSetup scale="59" fitToHeight="0" orientation="landscape" r:id="rId1"/>
  <headerFooter>
    <oddHeader>&amp;C&amp;"-,Bold"&amp;20Funding by Expenditure Code and Revenue Source&amp;"-,Regular"&amp;11
&amp;"-,Bold"&amp;20 2014&amp;"-,Regular"&amp;11
&amp;"-,Bold"&amp;20LEWIS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8"/>
  <sheetViews>
    <sheetView showZeros="0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0" x14ac:dyDescent="0.3">
      <c r="A1" s="22" t="s">
        <v>150</v>
      </c>
      <c r="B1" s="6"/>
      <c r="C1" s="31">
        <v>10700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0" x14ac:dyDescent="0.3">
      <c r="A2" s="80" t="s">
        <v>44</v>
      </c>
      <c r="B2" s="5"/>
      <c r="C2" s="83">
        <v>6.3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0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0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</row>
    <row r="5" spans="1:20" ht="15" thickBot="1" x14ac:dyDescent="0.35">
      <c r="A5" s="36">
        <v>562.1</v>
      </c>
      <c r="B5" s="37" t="s">
        <v>47</v>
      </c>
      <c r="C5" s="16">
        <v>8679</v>
      </c>
      <c r="D5" s="14">
        <f>E5+F5+G5+H5+I5+M5+Q5+R5</f>
        <v>8679</v>
      </c>
      <c r="E5" s="236">
        <v>0</v>
      </c>
      <c r="F5" s="256">
        <v>0</v>
      </c>
      <c r="G5" s="227">
        <f>120+3</f>
        <v>123</v>
      </c>
      <c r="H5" s="236">
        <v>0</v>
      </c>
      <c r="I5" s="241">
        <v>0</v>
      </c>
      <c r="J5" s="214">
        <v>679</v>
      </c>
      <c r="K5" s="214"/>
      <c r="L5" s="214"/>
      <c r="M5" s="9">
        <f>SUM(J5:L5)</f>
        <v>679</v>
      </c>
      <c r="N5" s="214"/>
      <c r="O5" s="214"/>
      <c r="P5" s="214"/>
      <c r="Q5" s="214">
        <f>SUM(N5:P5)</f>
        <v>0</v>
      </c>
      <c r="R5" s="236">
        <v>7877</v>
      </c>
      <c r="S5" s="199" t="s">
        <v>156</v>
      </c>
      <c r="T5" s="199">
        <v>7877</v>
      </c>
    </row>
    <row r="6" spans="1:20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</row>
    <row r="7" spans="1:20" ht="15" thickBot="1" x14ac:dyDescent="0.35">
      <c r="A7" s="39">
        <v>562.22</v>
      </c>
      <c r="B7" s="82" t="s">
        <v>92</v>
      </c>
      <c r="C7" s="15">
        <v>64323</v>
      </c>
      <c r="D7" s="14">
        <f t="shared" ref="D7:D55" si="2">E7+F7+G7+H7+I7+M7+Q7+R7</f>
        <v>64323</v>
      </c>
      <c r="E7" s="231"/>
      <c r="F7" s="257">
        <v>39104</v>
      </c>
      <c r="G7" s="228"/>
      <c r="H7" s="231">
        <v>391</v>
      </c>
      <c r="I7" s="219">
        <v>24828</v>
      </c>
      <c r="J7" s="217"/>
      <c r="K7" s="217"/>
      <c r="L7" s="217"/>
      <c r="M7" s="9">
        <f t="shared" si="0"/>
        <v>0</v>
      </c>
      <c r="N7" s="217"/>
      <c r="O7" s="217"/>
      <c r="P7" s="217"/>
      <c r="Q7" s="214">
        <f t="shared" si="1"/>
        <v>0</v>
      </c>
      <c r="R7" s="231"/>
      <c r="T7" s="199"/>
    </row>
    <row r="8" spans="1:20" ht="15" thickBot="1" x14ac:dyDescent="0.35">
      <c r="A8" s="39">
        <v>562.24</v>
      </c>
      <c r="B8" s="40" t="s">
        <v>49</v>
      </c>
      <c r="C8" s="15"/>
      <c r="D8" s="14">
        <f t="shared" si="2"/>
        <v>0</v>
      </c>
      <c r="E8" s="231"/>
      <c r="F8" s="257"/>
      <c r="G8" s="228"/>
      <c r="H8" s="231"/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/>
      <c r="T8" s="199"/>
    </row>
    <row r="9" spans="1:20" ht="15" thickBot="1" x14ac:dyDescent="0.35">
      <c r="A9" s="39">
        <v>562.25</v>
      </c>
      <c r="B9" s="82" t="s">
        <v>93</v>
      </c>
      <c r="C9" s="15">
        <v>36459</v>
      </c>
      <c r="D9" s="14">
        <f t="shared" si="2"/>
        <v>36459</v>
      </c>
      <c r="E9" s="231"/>
      <c r="F9" s="257">
        <v>10358</v>
      </c>
      <c r="G9" s="228"/>
      <c r="H9" s="231"/>
      <c r="I9" s="219">
        <v>26101</v>
      </c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  <c r="T9" s="199"/>
    </row>
    <row r="10" spans="1:20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T10" s="199"/>
    </row>
    <row r="11" spans="1:20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T11" s="199"/>
    </row>
    <row r="12" spans="1:20" ht="15" thickBot="1" x14ac:dyDescent="0.35">
      <c r="A12" s="39">
        <v>562.28</v>
      </c>
      <c r="B12" s="82" t="s">
        <v>94</v>
      </c>
      <c r="C12" s="15">
        <v>86751</v>
      </c>
      <c r="D12" s="14">
        <f t="shared" si="2"/>
        <v>86751</v>
      </c>
      <c r="E12" s="231"/>
      <c r="F12" s="257"/>
      <c r="G12" s="228"/>
      <c r="H12" s="231">
        <f>123+56753+12200+979</f>
        <v>70055</v>
      </c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>
        <v>16696</v>
      </c>
      <c r="S12" s="199" t="s">
        <v>156</v>
      </c>
      <c r="T12" s="199">
        <v>16696</v>
      </c>
    </row>
    <row r="13" spans="1:20" ht="15" thickBot="1" x14ac:dyDescent="0.35">
      <c r="A13" s="39">
        <v>562.29</v>
      </c>
      <c r="B13" s="82" t="s">
        <v>86</v>
      </c>
      <c r="C13" s="15">
        <v>20761</v>
      </c>
      <c r="D13" s="14">
        <f t="shared" si="2"/>
        <v>20761</v>
      </c>
      <c r="E13" s="231"/>
      <c r="F13" s="257"/>
      <c r="G13" s="228">
        <v>2949</v>
      </c>
      <c r="H13" s="231"/>
      <c r="I13" s="219"/>
      <c r="J13" s="217"/>
      <c r="K13" s="217"/>
      <c r="L13" s="217"/>
      <c r="M13" s="9">
        <f t="shared" si="0"/>
        <v>0</v>
      </c>
      <c r="N13" s="217"/>
      <c r="O13" s="217">
        <v>11444</v>
      </c>
      <c r="P13" s="217"/>
      <c r="Q13" s="214">
        <f t="shared" si="1"/>
        <v>11444</v>
      </c>
      <c r="R13" s="231">
        <v>6368</v>
      </c>
      <c r="S13" s="199" t="s">
        <v>156</v>
      </c>
      <c r="T13" s="199">
        <v>6368</v>
      </c>
    </row>
    <row r="14" spans="1:20" ht="15" thickBot="1" x14ac:dyDescent="0.35">
      <c r="A14" s="39">
        <v>562.32000000000005</v>
      </c>
      <c r="B14" s="40" t="s">
        <v>50</v>
      </c>
      <c r="C14" s="15">
        <v>50108</v>
      </c>
      <c r="D14" s="14">
        <f t="shared" si="2"/>
        <v>50108</v>
      </c>
      <c r="E14" s="231"/>
      <c r="F14" s="257"/>
      <c r="G14" s="228"/>
      <c r="H14" s="231">
        <f>1067+4333+1902+451</f>
        <v>7753</v>
      </c>
      <c r="I14" s="219"/>
      <c r="J14" s="217">
        <v>24177</v>
      </c>
      <c r="K14" s="217"/>
      <c r="L14" s="217"/>
      <c r="M14" s="9">
        <f t="shared" si="0"/>
        <v>24177</v>
      </c>
      <c r="N14" s="217"/>
      <c r="O14" s="217">
        <f>1269+1702+5610</f>
        <v>8581</v>
      </c>
      <c r="P14" s="217"/>
      <c r="Q14" s="214">
        <f t="shared" si="1"/>
        <v>8581</v>
      </c>
      <c r="R14" s="231">
        <v>9597</v>
      </c>
      <c r="S14" s="199" t="s">
        <v>156</v>
      </c>
      <c r="T14" s="199">
        <v>9597</v>
      </c>
    </row>
    <row r="15" spans="1:20" ht="15" thickBot="1" x14ac:dyDescent="0.35">
      <c r="A15" s="39">
        <v>562.33000000000004</v>
      </c>
      <c r="B15" s="82" t="s">
        <v>95</v>
      </c>
      <c r="C15" s="15"/>
      <c r="D15" s="14">
        <f t="shared" si="2"/>
        <v>0</v>
      </c>
      <c r="E15" s="231"/>
      <c r="F15" s="257"/>
      <c r="G15" s="228"/>
      <c r="H15" s="231"/>
      <c r="I15" s="219"/>
      <c r="J15" s="217"/>
      <c r="K15" s="217"/>
      <c r="L15" s="217"/>
      <c r="M15" s="9">
        <f t="shared" si="0"/>
        <v>0</v>
      </c>
      <c r="N15" s="217"/>
      <c r="O15" s="217"/>
      <c r="P15" s="217"/>
      <c r="Q15" s="214">
        <f t="shared" si="1"/>
        <v>0</v>
      </c>
      <c r="R15" s="231"/>
      <c r="T15" s="199"/>
    </row>
    <row r="16" spans="1:20" ht="15" thickBot="1" x14ac:dyDescent="0.35">
      <c r="A16" s="39">
        <v>562.34</v>
      </c>
      <c r="B16" s="40" t="s">
        <v>51</v>
      </c>
      <c r="C16" s="15">
        <v>4860</v>
      </c>
      <c r="D16" s="14">
        <f t="shared" si="2"/>
        <v>4860</v>
      </c>
      <c r="E16" s="231"/>
      <c r="F16" s="257">
        <v>275</v>
      </c>
      <c r="G16" s="228"/>
      <c r="H16" s="231"/>
      <c r="I16" s="219"/>
      <c r="J16" s="217">
        <v>3850</v>
      </c>
      <c r="K16" s="217"/>
      <c r="L16" s="217"/>
      <c r="M16" s="9">
        <f t="shared" si="0"/>
        <v>3850</v>
      </c>
      <c r="N16" s="217"/>
      <c r="O16" s="217">
        <v>735</v>
      </c>
      <c r="P16" s="217"/>
      <c r="Q16" s="214">
        <f t="shared" si="1"/>
        <v>735</v>
      </c>
      <c r="R16" s="231"/>
      <c r="T16" s="213"/>
    </row>
    <row r="17" spans="1:20" ht="15" thickBot="1" x14ac:dyDescent="0.35">
      <c r="A17" s="39">
        <v>562.35</v>
      </c>
      <c r="B17" s="40" t="s">
        <v>52</v>
      </c>
      <c r="C17" s="15"/>
      <c r="D17" s="14">
        <f t="shared" si="2"/>
        <v>0</v>
      </c>
      <c r="E17" s="231"/>
      <c r="F17" s="257"/>
      <c r="G17" s="228"/>
      <c r="H17" s="231"/>
      <c r="I17" s="219"/>
      <c r="J17" s="217"/>
      <c r="K17" s="217"/>
      <c r="L17" s="217"/>
      <c r="M17" s="9">
        <f t="shared" si="0"/>
        <v>0</v>
      </c>
      <c r="N17" s="217"/>
      <c r="O17" s="217"/>
      <c r="P17" s="217"/>
      <c r="Q17" s="214">
        <f t="shared" si="1"/>
        <v>0</v>
      </c>
      <c r="R17" s="231"/>
      <c r="T17" s="199"/>
    </row>
    <row r="18" spans="1:20" ht="15" thickBot="1" x14ac:dyDescent="0.35">
      <c r="A18" s="39">
        <v>562.39</v>
      </c>
      <c r="B18" s="40" t="s">
        <v>53</v>
      </c>
      <c r="C18" s="15">
        <v>32704</v>
      </c>
      <c r="D18" s="14">
        <f t="shared" si="2"/>
        <v>32704</v>
      </c>
      <c r="E18" s="231"/>
      <c r="F18" s="276">
        <v>32704</v>
      </c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/>
      <c r="P18" s="217"/>
      <c r="Q18" s="214">
        <f t="shared" si="1"/>
        <v>0</v>
      </c>
      <c r="R18" s="231"/>
      <c r="T18" s="199"/>
    </row>
    <row r="19" spans="1:20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  <c r="T19" s="199"/>
    </row>
    <row r="20" spans="1:20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</row>
    <row r="21" spans="1:20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  <c r="T21" s="199"/>
    </row>
    <row r="22" spans="1:20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  <c r="T22" s="199"/>
    </row>
    <row r="23" spans="1:20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</row>
    <row r="24" spans="1:20" ht="15" thickBot="1" x14ac:dyDescent="0.35">
      <c r="A24" s="39">
        <v>562.49</v>
      </c>
      <c r="B24" s="82" t="s">
        <v>87</v>
      </c>
      <c r="C24" s="15">
        <v>91195</v>
      </c>
      <c r="D24" s="14">
        <f t="shared" si="2"/>
        <v>91195</v>
      </c>
      <c r="E24" s="231"/>
      <c r="F24" s="257">
        <v>19469</v>
      </c>
      <c r="G24" s="228"/>
      <c r="H24" s="231">
        <f>7730+4000+15147+6991</f>
        <v>33868</v>
      </c>
      <c r="I24" s="219"/>
      <c r="J24" s="217"/>
      <c r="K24" s="217"/>
      <c r="L24" s="217">
        <f>6000+54</f>
        <v>6054</v>
      </c>
      <c r="M24" s="9">
        <f t="shared" si="0"/>
        <v>6054</v>
      </c>
      <c r="N24" s="217"/>
      <c r="O24" s="217"/>
      <c r="P24" s="217"/>
      <c r="Q24" s="214">
        <f t="shared" si="1"/>
        <v>0</v>
      </c>
      <c r="R24" s="231">
        <f>4900+9654+17250</f>
        <v>31804</v>
      </c>
      <c r="S24" s="199" t="s">
        <v>157</v>
      </c>
      <c r="T24" s="199">
        <f>4900+9654+17250</f>
        <v>31804</v>
      </c>
    </row>
    <row r="25" spans="1:20" ht="15" thickBot="1" x14ac:dyDescent="0.35">
      <c r="A25" s="39">
        <v>562.52</v>
      </c>
      <c r="B25" s="40" t="s">
        <v>56</v>
      </c>
      <c r="C25" s="15">
        <v>6559</v>
      </c>
      <c r="D25" s="14">
        <f t="shared" si="2"/>
        <v>6559</v>
      </c>
      <c r="E25" s="231"/>
      <c r="F25" s="257"/>
      <c r="G25" s="228"/>
      <c r="H25" s="231"/>
      <c r="I25" s="219"/>
      <c r="J25" s="217">
        <v>4409</v>
      </c>
      <c r="K25" s="217"/>
      <c r="L25" s="217"/>
      <c r="M25" s="9">
        <f t="shared" si="0"/>
        <v>4409</v>
      </c>
      <c r="N25" s="217"/>
      <c r="O25" s="217">
        <f>150+1000+1000</f>
        <v>2150</v>
      </c>
      <c r="P25" s="217"/>
      <c r="Q25" s="214">
        <f t="shared" si="1"/>
        <v>2150</v>
      </c>
      <c r="R25" s="231"/>
      <c r="T25" s="199"/>
    </row>
    <row r="26" spans="1:20" ht="15" thickBot="1" x14ac:dyDescent="0.35">
      <c r="A26" s="39">
        <v>562.53</v>
      </c>
      <c r="B26" s="82" t="s">
        <v>99</v>
      </c>
      <c r="C26" s="15">
        <v>7477</v>
      </c>
      <c r="D26" s="14">
        <f t="shared" si="2"/>
        <v>7477</v>
      </c>
      <c r="E26" s="231"/>
      <c r="F26" s="257"/>
      <c r="G26" s="228">
        <v>6532</v>
      </c>
      <c r="H26" s="231"/>
      <c r="I26" s="219"/>
      <c r="J26" s="217">
        <v>20</v>
      </c>
      <c r="K26" s="217"/>
      <c r="L26" s="217"/>
      <c r="M26" s="9">
        <f t="shared" si="0"/>
        <v>20</v>
      </c>
      <c r="N26" s="217">
        <v>925</v>
      </c>
      <c r="O26" s="217"/>
      <c r="P26" s="217"/>
      <c r="Q26" s="214">
        <f t="shared" si="1"/>
        <v>925</v>
      </c>
      <c r="R26" s="231"/>
      <c r="T26" s="199"/>
    </row>
    <row r="27" spans="1:20" ht="15" thickBot="1" x14ac:dyDescent="0.35">
      <c r="A27" s="39">
        <v>562.54</v>
      </c>
      <c r="B27" s="82" t="s">
        <v>100</v>
      </c>
      <c r="C27" s="15">
        <v>49510</v>
      </c>
      <c r="D27" s="14">
        <f t="shared" si="2"/>
        <v>49510</v>
      </c>
      <c r="E27" s="231"/>
      <c r="F27" s="257"/>
      <c r="G27" s="228"/>
      <c r="H27" s="231"/>
      <c r="I27" s="219"/>
      <c r="J27" s="217">
        <v>22830</v>
      </c>
      <c r="K27" s="217"/>
      <c r="L27" s="217"/>
      <c r="M27" s="9">
        <f t="shared" si="0"/>
        <v>22830</v>
      </c>
      <c r="N27" s="217">
        <f>2825+500+16630</f>
        <v>19955</v>
      </c>
      <c r="O27" s="217">
        <v>6725</v>
      </c>
      <c r="P27" s="217"/>
      <c r="Q27" s="214">
        <f t="shared" si="1"/>
        <v>26680</v>
      </c>
      <c r="R27" s="231"/>
      <c r="T27" s="199"/>
    </row>
    <row r="28" spans="1:20" ht="15" thickBot="1" x14ac:dyDescent="0.35">
      <c r="A28" s="39">
        <v>562.54999999999995</v>
      </c>
      <c r="B28" s="40" t="s">
        <v>57</v>
      </c>
      <c r="C28" s="15">
        <v>2133</v>
      </c>
      <c r="D28" s="14">
        <f t="shared" si="2"/>
        <v>2133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>
        <v>2133</v>
      </c>
      <c r="S28" s="199" t="s">
        <v>156</v>
      </c>
      <c r="T28" s="199">
        <v>2133</v>
      </c>
    </row>
    <row r="29" spans="1:20" ht="15" thickBot="1" x14ac:dyDescent="0.35">
      <c r="A29" s="39">
        <v>562.55999999999995</v>
      </c>
      <c r="B29" s="40" t="s">
        <v>58</v>
      </c>
      <c r="C29" s="15">
        <v>49629</v>
      </c>
      <c r="D29" s="14">
        <f t="shared" si="2"/>
        <v>49629</v>
      </c>
      <c r="E29" s="231"/>
      <c r="F29" s="257"/>
      <c r="G29" s="228"/>
      <c r="H29" s="231"/>
      <c r="I29" s="219">
        <v>163</v>
      </c>
      <c r="J29" s="217">
        <v>27978</v>
      </c>
      <c r="K29" s="217"/>
      <c r="L29" s="217"/>
      <c r="M29" s="9">
        <f t="shared" si="0"/>
        <v>27978</v>
      </c>
      <c r="N29" s="217">
        <f>12165+6740+2583</f>
        <v>21488</v>
      </c>
      <c r="O29" s="217"/>
      <c r="P29" s="217"/>
      <c r="Q29" s="214">
        <f t="shared" si="1"/>
        <v>21488</v>
      </c>
      <c r="R29" s="231"/>
      <c r="T29" s="199"/>
    </row>
    <row r="30" spans="1:20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  <c r="T30" s="199"/>
    </row>
    <row r="31" spans="1:20" ht="15" thickBot="1" x14ac:dyDescent="0.35">
      <c r="A31" s="39">
        <v>562.58000000000004</v>
      </c>
      <c r="B31" s="82" t="s">
        <v>88</v>
      </c>
      <c r="C31" s="15">
        <v>1352</v>
      </c>
      <c r="D31" s="14">
        <f t="shared" si="2"/>
        <v>1352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v>1352</v>
      </c>
      <c r="O31" s="217"/>
      <c r="P31" s="217"/>
      <c r="Q31" s="214">
        <f t="shared" si="1"/>
        <v>1352</v>
      </c>
      <c r="R31" s="231"/>
      <c r="T31" s="199"/>
    </row>
    <row r="32" spans="1:20" ht="15" thickBot="1" x14ac:dyDescent="0.35">
      <c r="A32" s="39">
        <v>562.59</v>
      </c>
      <c r="B32" s="82" t="s">
        <v>89</v>
      </c>
      <c r="C32" s="15">
        <v>563</v>
      </c>
      <c r="D32" s="14">
        <f t="shared" si="2"/>
        <v>563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>
        <v>563</v>
      </c>
      <c r="S32" s="199" t="s">
        <v>156</v>
      </c>
      <c r="T32" s="199">
        <v>563</v>
      </c>
    </row>
    <row r="33" spans="1:20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  <c r="T33" s="199"/>
    </row>
    <row r="34" spans="1:20" ht="15" thickBot="1" x14ac:dyDescent="0.35">
      <c r="A34" s="39">
        <v>562.71</v>
      </c>
      <c r="B34" s="40" t="s">
        <v>60</v>
      </c>
      <c r="C34" s="15">
        <v>14293</v>
      </c>
      <c r="D34" s="14">
        <f t="shared" si="2"/>
        <v>14293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f>1780+2375</f>
        <v>4155</v>
      </c>
      <c r="P34" s="217"/>
      <c r="Q34" s="214">
        <f t="shared" si="1"/>
        <v>4155</v>
      </c>
      <c r="R34" s="231">
        <v>10138</v>
      </c>
      <c r="S34" s="199" t="s">
        <v>156</v>
      </c>
      <c r="T34" s="199">
        <v>10138</v>
      </c>
    </row>
    <row r="35" spans="1:20" ht="15" thickBot="1" x14ac:dyDescent="0.35">
      <c r="A35" s="39">
        <v>562.72</v>
      </c>
      <c r="B35" s="40" t="s">
        <v>61</v>
      </c>
      <c r="C35" s="15">
        <v>31158</v>
      </c>
      <c r="D35" s="14">
        <f t="shared" si="2"/>
        <v>31157</v>
      </c>
      <c r="E35" s="231"/>
      <c r="F35" s="257"/>
      <c r="G35" s="228"/>
      <c r="H35" s="231"/>
      <c r="I35" s="219"/>
      <c r="J35" s="217"/>
      <c r="K35" s="217"/>
      <c r="L35" s="217">
        <v>378</v>
      </c>
      <c r="M35" s="9">
        <f t="shared" si="0"/>
        <v>378</v>
      </c>
      <c r="N35" s="217"/>
      <c r="O35" s="217">
        <f>25680+140+30</f>
        <v>25850</v>
      </c>
      <c r="P35" s="217"/>
      <c r="Q35" s="214">
        <f t="shared" si="1"/>
        <v>25850</v>
      </c>
      <c r="R35" s="231">
        <v>4929</v>
      </c>
      <c r="S35" s="199" t="s">
        <v>156</v>
      </c>
      <c r="T35" s="199">
        <v>4292</v>
      </c>
    </row>
    <row r="36" spans="1:20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  <c r="T36" s="199"/>
    </row>
    <row r="37" spans="1:20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</row>
    <row r="38" spans="1:20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</row>
    <row r="39" spans="1:20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T39" s="199"/>
    </row>
    <row r="40" spans="1:20" ht="15" thickBot="1" x14ac:dyDescent="0.35">
      <c r="A40" s="39">
        <v>562.79999999999995</v>
      </c>
      <c r="B40" s="40" t="s">
        <v>65</v>
      </c>
      <c r="C40" s="15">
        <v>12007</v>
      </c>
      <c r="D40" s="14">
        <f t="shared" si="2"/>
        <v>12007</v>
      </c>
      <c r="E40" s="231"/>
      <c r="F40" s="257">
        <v>12007</v>
      </c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  <c r="T40" s="199"/>
    </row>
    <row r="41" spans="1:20" ht="15" thickBot="1" x14ac:dyDescent="0.35">
      <c r="A41" s="39">
        <v>562.88</v>
      </c>
      <c r="B41" s="82" t="s">
        <v>91</v>
      </c>
      <c r="C41" s="15">
        <v>78736</v>
      </c>
      <c r="D41" s="14">
        <f t="shared" si="2"/>
        <v>78736</v>
      </c>
      <c r="E41" s="231"/>
      <c r="F41" s="257"/>
      <c r="G41" s="228"/>
      <c r="H41" s="231">
        <f>21087+42895+318+9685</f>
        <v>73985</v>
      </c>
      <c r="I41" s="219"/>
      <c r="J41" s="217">
        <v>4751</v>
      </c>
      <c r="K41" s="217"/>
      <c r="L41" s="217"/>
      <c r="M41" s="9">
        <f t="shared" si="0"/>
        <v>4751</v>
      </c>
      <c r="N41" s="217"/>
      <c r="O41" s="217"/>
      <c r="P41" s="217"/>
      <c r="Q41" s="214">
        <f t="shared" si="1"/>
        <v>0</v>
      </c>
      <c r="R41" s="231"/>
      <c r="T41" s="199"/>
    </row>
    <row r="42" spans="1:20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T42" s="199"/>
    </row>
    <row r="43" spans="1:20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</row>
    <row r="44" spans="1:20" x14ac:dyDescent="0.3">
      <c r="A44" s="206" t="s">
        <v>110</v>
      </c>
      <c r="B44" s="207" t="s">
        <v>68</v>
      </c>
      <c r="C44" s="208">
        <f>SUM(C5:C43)</f>
        <v>649257</v>
      </c>
      <c r="D44" s="205">
        <f>E44+F44+G44+H44+I44+M44+Q44+R44</f>
        <v>649256</v>
      </c>
      <c r="E44" s="233">
        <f t="shared" ref="E44:R44" si="3">SUM(E5:E43)</f>
        <v>0</v>
      </c>
      <c r="F44" s="259">
        <f t="shared" si="3"/>
        <v>113917</v>
      </c>
      <c r="G44" s="223">
        <f t="shared" si="3"/>
        <v>9604</v>
      </c>
      <c r="H44" s="233">
        <f t="shared" si="3"/>
        <v>186052</v>
      </c>
      <c r="I44" s="239">
        <f t="shared" si="3"/>
        <v>51092</v>
      </c>
      <c r="J44" s="245">
        <f>SUM(J5:J43)</f>
        <v>88694</v>
      </c>
      <c r="K44" s="245">
        <f>SUM(K5:K43)</f>
        <v>0</v>
      </c>
      <c r="L44" s="245">
        <f>SUM(L5:L43)</f>
        <v>6432</v>
      </c>
      <c r="M44" s="208">
        <f t="shared" si="3"/>
        <v>95126</v>
      </c>
      <c r="N44" s="245">
        <f>SUM(N5:N43)</f>
        <v>43720</v>
      </c>
      <c r="O44" s="245">
        <f>SUM(O5:O43)</f>
        <v>59640</v>
      </c>
      <c r="P44" s="245">
        <f>SUM(P5:P43)</f>
        <v>0</v>
      </c>
      <c r="Q44" s="216">
        <f t="shared" si="3"/>
        <v>103360</v>
      </c>
      <c r="R44" s="233">
        <f t="shared" si="3"/>
        <v>90105</v>
      </c>
      <c r="T44" s="199"/>
    </row>
    <row r="45" spans="1:20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</row>
    <row r="46" spans="1:20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</row>
    <row r="47" spans="1:20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T47" s="199"/>
    </row>
    <row r="48" spans="1:20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</row>
    <row r="49" spans="1:20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T49" s="199"/>
    </row>
    <row r="50" spans="1:20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</row>
    <row r="51" spans="1:20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</row>
    <row r="52" spans="1:20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</row>
    <row r="53" spans="1:20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  <c r="T53" s="199"/>
    </row>
    <row r="54" spans="1:20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</row>
    <row r="55" spans="1:20" x14ac:dyDescent="0.3">
      <c r="A55" s="41">
        <v>500</v>
      </c>
      <c r="B55" s="32" t="s">
        <v>118</v>
      </c>
      <c r="C55" s="18"/>
      <c r="D55" s="20">
        <f t="shared" si="2"/>
        <v>0</v>
      </c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T55" s="199"/>
    </row>
    <row r="56" spans="1:20" ht="15" thickBot="1" x14ac:dyDescent="0.35">
      <c r="A56" s="107"/>
      <c r="B56" s="108" t="s">
        <v>80</v>
      </c>
      <c r="C56" s="111">
        <f>SUM(C44:C55)</f>
        <v>649257</v>
      </c>
      <c r="D56" s="110">
        <f>E56+F56+G56+H56+I56+M56+Q56+R56</f>
        <v>649256</v>
      </c>
      <c r="E56" s="235">
        <f t="shared" ref="E56:R56" si="4">SUM(E44:E55)</f>
        <v>0</v>
      </c>
      <c r="F56" s="260">
        <f t="shared" si="4"/>
        <v>113917</v>
      </c>
      <c r="G56" s="225">
        <f t="shared" si="4"/>
        <v>9604</v>
      </c>
      <c r="H56" s="235">
        <f t="shared" si="4"/>
        <v>186052</v>
      </c>
      <c r="I56" s="240">
        <f t="shared" si="4"/>
        <v>51092</v>
      </c>
      <c r="J56" s="218">
        <f>SUM(J44:J55)</f>
        <v>88694</v>
      </c>
      <c r="K56" s="218">
        <f>SUM(K44:K55)</f>
        <v>0</v>
      </c>
      <c r="L56" s="218">
        <f>SUM(L44:L55)</f>
        <v>6432</v>
      </c>
      <c r="M56" s="209">
        <f t="shared" si="4"/>
        <v>95126</v>
      </c>
      <c r="N56" s="218">
        <f>SUM(N44:N55)</f>
        <v>43720</v>
      </c>
      <c r="O56" s="218">
        <f>SUM(O44:O55)</f>
        <v>59640</v>
      </c>
      <c r="P56" s="218">
        <f>SUM(P44:P55)</f>
        <v>0</v>
      </c>
      <c r="Q56" s="218">
        <f t="shared" si="4"/>
        <v>103360</v>
      </c>
      <c r="R56" s="235">
        <f t="shared" si="4"/>
        <v>90105</v>
      </c>
    </row>
    <row r="57" spans="1:20" ht="15" thickTop="1" x14ac:dyDescent="0.3"/>
    <row r="58" spans="1:20" ht="15" thickBot="1" x14ac:dyDescent="0.35"/>
    <row r="59" spans="1:20" ht="15" thickBot="1" x14ac:dyDescent="0.35">
      <c r="B59" s="42" t="s">
        <v>109</v>
      </c>
      <c r="C59" s="43"/>
      <c r="D59" s="44"/>
    </row>
    <row r="60" spans="1:20" ht="15" thickTop="1" x14ac:dyDescent="0.3">
      <c r="B60" s="115"/>
      <c r="C60" s="116" t="s">
        <v>82</v>
      </c>
      <c r="D60" s="117" t="s">
        <v>78</v>
      </c>
    </row>
    <row r="61" spans="1:20" x14ac:dyDescent="0.3">
      <c r="B61" s="153" t="s">
        <v>108</v>
      </c>
      <c r="C61" s="45"/>
      <c r="D61" s="46"/>
    </row>
    <row r="62" spans="1:20" x14ac:dyDescent="0.3">
      <c r="B62" s="26" t="s">
        <v>3</v>
      </c>
      <c r="C62" s="47">
        <f>E56</f>
        <v>0</v>
      </c>
      <c r="D62" s="48">
        <f>E56/D56</f>
        <v>0</v>
      </c>
    </row>
    <row r="63" spans="1:20" x14ac:dyDescent="0.3">
      <c r="B63" s="26" t="s">
        <v>4</v>
      </c>
      <c r="C63" s="49">
        <f>F56</f>
        <v>113917</v>
      </c>
      <c r="D63" s="48">
        <f>F56/D56</f>
        <v>0.17545775472232833</v>
      </c>
    </row>
    <row r="64" spans="1:20" x14ac:dyDescent="0.3">
      <c r="B64" s="56" t="s">
        <v>79</v>
      </c>
      <c r="C64" s="50">
        <f>G56</f>
        <v>9604</v>
      </c>
      <c r="D64" s="51">
        <f>G56/D56</f>
        <v>1.4792316127998818E-2</v>
      </c>
    </row>
    <row r="65" spans="2:4" ht="15" thickBot="1" x14ac:dyDescent="0.35">
      <c r="B65" s="146" t="s">
        <v>115</v>
      </c>
      <c r="C65" s="52">
        <f>SUM(C62:C64)</f>
        <v>123521</v>
      </c>
      <c r="D65" s="53">
        <f>SUM(D62:D64)</f>
        <v>0.19025007085032714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186052</v>
      </c>
      <c r="D67" s="25">
        <f>H56/D56</f>
        <v>0.28656184925514744</v>
      </c>
    </row>
    <row r="68" spans="2:4" x14ac:dyDescent="0.3">
      <c r="B68" s="57" t="s">
        <v>7</v>
      </c>
      <c r="C68" s="27">
        <f>I56</f>
        <v>51092</v>
      </c>
      <c r="D68" s="28">
        <f>I56/D56</f>
        <v>7.8693150313589713E-2</v>
      </c>
    </row>
    <row r="69" spans="2:4" ht="15" thickBot="1" x14ac:dyDescent="0.35">
      <c r="B69" s="146" t="s">
        <v>116</v>
      </c>
      <c r="C69" s="52">
        <f>SUM(C67:C68)</f>
        <v>237144</v>
      </c>
      <c r="D69" s="53">
        <f>SUM(D67:D68)</f>
        <v>0.36525499956873714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95126</v>
      </c>
      <c r="D71" s="25">
        <f>M56/D56</f>
        <v>0.14651539608413322</v>
      </c>
    </row>
    <row r="72" spans="2:4" x14ac:dyDescent="0.3">
      <c r="B72" s="24" t="s">
        <v>8</v>
      </c>
      <c r="C72" s="23">
        <f>Q56</f>
        <v>103360</v>
      </c>
      <c r="D72" s="25">
        <f>Q56/D56</f>
        <v>0.15919760464285274</v>
      </c>
    </row>
    <row r="73" spans="2:4" x14ac:dyDescent="0.3">
      <c r="B73" s="163" t="s">
        <v>83</v>
      </c>
      <c r="C73" s="27">
        <f>R56</f>
        <v>90105</v>
      </c>
      <c r="D73" s="28">
        <f>R56/D56</f>
        <v>0.13878192885394974</v>
      </c>
    </row>
    <row r="74" spans="2:4" ht="15" thickBot="1" x14ac:dyDescent="0.35">
      <c r="B74" s="146" t="s">
        <v>117</v>
      </c>
      <c r="C74" s="52">
        <f>SUM(C71:C73)</f>
        <v>288591</v>
      </c>
      <c r="D74" s="53">
        <f>SUM(D71:D73)</f>
        <v>0.44449492958093567</v>
      </c>
    </row>
    <row r="75" spans="2:4" ht="15" thickBot="1" x14ac:dyDescent="0.35">
      <c r="B75" s="157" t="s">
        <v>80</v>
      </c>
      <c r="C75" s="158">
        <f>C65+C69+C74</f>
        <v>649256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107" priority="7">
      <formula>ROW()=EVEN(ROW())</formula>
    </cfRule>
  </conditionalFormatting>
  <conditionalFormatting sqref="A55:B55">
    <cfRule type="expression" dxfId="106" priority="5">
      <formula>ROW()=EVEN(ROW())</formula>
    </cfRule>
  </conditionalFormatting>
  <conditionalFormatting sqref="A54:B54">
    <cfRule type="expression" dxfId="105" priority="4">
      <formula>ROW()=EVEN(ROW())</formula>
    </cfRule>
  </conditionalFormatting>
  <conditionalFormatting sqref="M45:M55">
    <cfRule type="expression" dxfId="104" priority="3">
      <formula>ROW()=EVEN(ROW())</formula>
    </cfRule>
  </conditionalFormatting>
  <conditionalFormatting sqref="D45:D55">
    <cfRule type="expression" dxfId="103" priority="2">
      <formula>ROW()=EVEN(ROW())</formula>
    </cfRule>
  </conditionalFormatting>
  <conditionalFormatting sqref="N44:P55">
    <cfRule type="expression" dxfId="102" priority="1">
      <formula>ROW()=EVEN(ROW())</formula>
    </cfRule>
  </conditionalFormatting>
  <printOptions horizontalCentered="1"/>
  <pageMargins left="0" right="0" top="1.1000000000000001" bottom="0.5" header="0.3" footer="0.3"/>
  <pageSetup scale="59" fitToHeight="0" orientation="landscape" r:id="rId1"/>
  <headerFooter>
    <oddHeader>&amp;C&amp;"-,Bold"&amp;20Funding by Expenditure Code and Revenue Source&amp;"-,Regular"&amp;11
&amp;"-,Bold"&amp;20 2014&amp;"-,Regular"&amp;11
&amp;"-,Bold"&amp;20LINCOLN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88"/>
  <sheetViews>
    <sheetView showZeros="0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4" x14ac:dyDescent="0.3">
      <c r="A1" s="22" t="s">
        <v>150</v>
      </c>
      <c r="B1" s="6"/>
      <c r="C1" s="31">
        <v>62000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4" x14ac:dyDescent="0.3">
      <c r="A2" s="80" t="s">
        <v>44</v>
      </c>
      <c r="B2" s="5"/>
      <c r="C2" s="83">
        <v>21.6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4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4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  <c r="W4" s="202" t="s">
        <v>153</v>
      </c>
      <c r="X4" s="203" t="s">
        <v>82</v>
      </c>
    </row>
    <row r="5" spans="1:24" ht="15" thickBot="1" x14ac:dyDescent="0.35">
      <c r="A5" s="36">
        <v>562.1</v>
      </c>
      <c r="B5" s="37" t="s">
        <v>47</v>
      </c>
      <c r="C5" s="16">
        <v>292076</v>
      </c>
      <c r="D5" s="14">
        <f>E5+F5+G5+H5+I5+M5+Q5+R5</f>
        <v>292076</v>
      </c>
      <c r="E5" s="236">
        <v>0</v>
      </c>
      <c r="F5" s="256">
        <v>0</v>
      </c>
      <c r="G5" s="227">
        <v>0</v>
      </c>
      <c r="H5" s="236">
        <v>0</v>
      </c>
      <c r="I5" s="241">
        <v>0</v>
      </c>
      <c r="J5" s="214"/>
      <c r="K5" s="214"/>
      <c r="L5" s="214">
        <f>20000+256641</f>
        <v>276641</v>
      </c>
      <c r="M5" s="9">
        <f>SUM(J5:L5)</f>
        <v>276641</v>
      </c>
      <c r="N5" s="214"/>
      <c r="O5" s="214">
        <v>15000</v>
      </c>
      <c r="P5" s="214"/>
      <c r="Q5" s="214">
        <f>SUM(N5:P5)</f>
        <v>15000</v>
      </c>
      <c r="R5" s="236">
        <f>410+25</f>
        <v>435</v>
      </c>
      <c r="S5" s="199">
        <v>367.11</v>
      </c>
      <c r="T5" s="199">
        <v>410</v>
      </c>
      <c r="U5" s="211">
        <v>389</v>
      </c>
      <c r="V5" s="211">
        <v>25</v>
      </c>
      <c r="W5" s="211"/>
      <c r="X5" s="211"/>
    </row>
    <row r="6" spans="1:24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  <c r="U6" s="211"/>
      <c r="V6" s="211"/>
      <c r="W6" s="211"/>
      <c r="X6" s="211"/>
    </row>
    <row r="7" spans="1:24" ht="15" thickBot="1" x14ac:dyDescent="0.35">
      <c r="A7" s="39">
        <v>562.22</v>
      </c>
      <c r="B7" s="82" t="s">
        <v>92</v>
      </c>
      <c r="C7" s="15">
        <v>345107</v>
      </c>
      <c r="D7" s="14">
        <f t="shared" ref="D7:D55" si="2">E7+F7+G7+H7+I7+M7+Q7+R7</f>
        <v>345107</v>
      </c>
      <c r="E7" s="231"/>
      <c r="F7" s="257">
        <v>50000</v>
      </c>
      <c r="G7" s="228">
        <v>100941</v>
      </c>
      <c r="H7" s="231">
        <v>24607</v>
      </c>
      <c r="I7" s="219">
        <v>128434</v>
      </c>
      <c r="J7" s="217"/>
      <c r="K7" s="217"/>
      <c r="L7" s="217">
        <v>2350</v>
      </c>
      <c r="M7" s="9">
        <f t="shared" si="0"/>
        <v>2350</v>
      </c>
      <c r="N7" s="217"/>
      <c r="O7" s="217">
        <v>36900</v>
      </c>
      <c r="P7" s="217"/>
      <c r="Q7" s="214">
        <f t="shared" si="1"/>
        <v>36900</v>
      </c>
      <c r="R7" s="231">
        <v>1875</v>
      </c>
      <c r="S7" s="199">
        <v>367.11</v>
      </c>
      <c r="T7" s="199">
        <v>1875</v>
      </c>
      <c r="U7" s="211"/>
      <c r="V7" s="211"/>
      <c r="W7" s="211"/>
      <c r="X7" s="211"/>
    </row>
    <row r="8" spans="1:24" ht="15" thickBot="1" x14ac:dyDescent="0.35">
      <c r="A8" s="39">
        <v>562.24</v>
      </c>
      <c r="B8" s="40" t="s">
        <v>49</v>
      </c>
      <c r="C8" s="15">
        <v>25634</v>
      </c>
      <c r="D8" s="14">
        <f t="shared" si="2"/>
        <v>25634</v>
      </c>
      <c r="E8" s="231"/>
      <c r="F8" s="257">
        <v>6034</v>
      </c>
      <c r="G8" s="228"/>
      <c r="H8" s="231">
        <v>19600</v>
      </c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/>
      <c r="T8" s="199"/>
      <c r="U8" s="211"/>
      <c r="V8" s="211"/>
      <c r="W8" s="211"/>
      <c r="X8" s="211"/>
    </row>
    <row r="9" spans="1:24" ht="15" thickBot="1" x14ac:dyDescent="0.35">
      <c r="A9" s="39">
        <v>562.25</v>
      </c>
      <c r="B9" s="82" t="s">
        <v>93</v>
      </c>
      <c r="C9" s="15">
        <v>48573</v>
      </c>
      <c r="D9" s="14">
        <f t="shared" si="2"/>
        <v>48573</v>
      </c>
      <c r="E9" s="231"/>
      <c r="F9" s="257">
        <v>11305</v>
      </c>
      <c r="G9" s="228"/>
      <c r="H9" s="231">
        <f>2600+34668</f>
        <v>37268</v>
      </c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  <c r="T9" s="199"/>
      <c r="U9" s="211"/>
      <c r="V9" s="211"/>
      <c r="W9" s="211"/>
      <c r="X9" s="211"/>
    </row>
    <row r="10" spans="1:24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T10" s="199"/>
      <c r="U10" s="211"/>
      <c r="V10" s="211"/>
      <c r="W10" s="211"/>
      <c r="X10" s="211"/>
    </row>
    <row r="11" spans="1:24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T11" s="199"/>
      <c r="U11" s="211"/>
      <c r="V11" s="211"/>
      <c r="W11" s="211"/>
      <c r="X11" s="211"/>
    </row>
    <row r="12" spans="1:24" ht="15" thickBot="1" x14ac:dyDescent="0.35">
      <c r="A12" s="39">
        <v>562.28</v>
      </c>
      <c r="B12" s="82" t="s">
        <v>94</v>
      </c>
      <c r="C12" s="15"/>
      <c r="D12" s="14">
        <f t="shared" si="2"/>
        <v>0</v>
      </c>
      <c r="E12" s="231"/>
      <c r="F12" s="257"/>
      <c r="G12" s="228"/>
      <c r="H12" s="231"/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  <c r="T12" s="199"/>
      <c r="U12" s="211"/>
      <c r="V12" s="211"/>
      <c r="W12" s="211"/>
      <c r="X12" s="211"/>
    </row>
    <row r="13" spans="1:24" ht="15" thickBot="1" x14ac:dyDescent="0.35">
      <c r="A13" s="39">
        <v>562.29</v>
      </c>
      <c r="B13" s="82" t="s">
        <v>86</v>
      </c>
      <c r="C13" s="15"/>
      <c r="D13" s="14">
        <f t="shared" si="2"/>
        <v>0</v>
      </c>
      <c r="E13" s="231"/>
      <c r="F13" s="257"/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/>
      <c r="P13" s="217"/>
      <c r="Q13" s="214">
        <f t="shared" si="1"/>
        <v>0</v>
      </c>
      <c r="R13" s="231"/>
      <c r="T13" s="199"/>
      <c r="U13" s="211"/>
      <c r="V13" s="211"/>
      <c r="W13" s="211"/>
      <c r="X13" s="211"/>
    </row>
    <row r="14" spans="1:24" ht="15" thickBot="1" x14ac:dyDescent="0.35">
      <c r="A14" s="39">
        <v>562.32000000000005</v>
      </c>
      <c r="B14" s="40" t="s">
        <v>50</v>
      </c>
      <c r="C14" s="15">
        <v>22781</v>
      </c>
      <c r="D14" s="14">
        <f t="shared" si="2"/>
        <v>22781</v>
      </c>
      <c r="E14" s="231"/>
      <c r="F14" s="257">
        <v>6616</v>
      </c>
      <c r="G14" s="228"/>
      <c r="H14" s="231">
        <f>16151+14</f>
        <v>16165</v>
      </c>
      <c r="I14" s="219"/>
      <c r="J14" s="217"/>
      <c r="K14" s="217"/>
      <c r="L14" s="217"/>
      <c r="M14" s="9">
        <f t="shared" si="0"/>
        <v>0</v>
      </c>
      <c r="N14" s="217"/>
      <c r="O14" s="217"/>
      <c r="P14" s="217"/>
      <c r="Q14" s="214">
        <f t="shared" si="1"/>
        <v>0</v>
      </c>
      <c r="R14" s="231"/>
      <c r="T14" s="199"/>
      <c r="U14" s="211"/>
      <c r="V14" s="211"/>
      <c r="W14" s="211"/>
      <c r="X14" s="211"/>
    </row>
    <row r="15" spans="1:24" ht="15" thickBot="1" x14ac:dyDescent="0.35">
      <c r="A15" s="39">
        <v>562.33000000000004</v>
      </c>
      <c r="B15" s="82" t="s">
        <v>95</v>
      </c>
      <c r="C15" s="15">
        <v>2274</v>
      </c>
      <c r="D15" s="14">
        <f t="shared" si="2"/>
        <v>2274</v>
      </c>
      <c r="E15" s="231"/>
      <c r="F15" s="257"/>
      <c r="G15" s="228"/>
      <c r="H15" s="231"/>
      <c r="I15" s="219"/>
      <c r="J15" s="217"/>
      <c r="K15" s="217"/>
      <c r="L15" s="217">
        <v>2274</v>
      </c>
      <c r="M15" s="9">
        <f t="shared" si="0"/>
        <v>2274</v>
      </c>
      <c r="N15" s="217"/>
      <c r="O15" s="217"/>
      <c r="P15" s="217"/>
      <c r="Q15" s="214">
        <f t="shared" si="1"/>
        <v>0</v>
      </c>
      <c r="R15" s="231"/>
      <c r="T15" s="199"/>
      <c r="U15" s="211"/>
      <c r="V15" s="211"/>
      <c r="W15" s="211"/>
      <c r="X15" s="211"/>
    </row>
    <row r="16" spans="1:24" ht="15" thickBot="1" x14ac:dyDescent="0.35">
      <c r="A16" s="39">
        <v>562.34</v>
      </c>
      <c r="B16" s="40" t="s">
        <v>51</v>
      </c>
      <c r="C16" s="15">
        <v>7359</v>
      </c>
      <c r="D16" s="14">
        <f t="shared" si="2"/>
        <v>7359</v>
      </c>
      <c r="E16" s="231"/>
      <c r="F16" s="257"/>
      <c r="G16" s="228"/>
      <c r="H16" s="231"/>
      <c r="I16" s="219"/>
      <c r="J16" s="217"/>
      <c r="K16" s="217"/>
      <c r="L16" s="217">
        <v>7359</v>
      </c>
      <c r="M16" s="9">
        <f t="shared" si="0"/>
        <v>7359</v>
      </c>
      <c r="N16" s="217"/>
      <c r="O16" s="217"/>
      <c r="P16" s="217"/>
      <c r="Q16" s="214">
        <f t="shared" si="1"/>
        <v>0</v>
      </c>
      <c r="R16" s="231"/>
      <c r="T16" s="213"/>
      <c r="U16" s="211"/>
      <c r="V16" s="211"/>
      <c r="W16" s="211"/>
      <c r="X16" s="211"/>
    </row>
    <row r="17" spans="1:24" ht="15" thickBot="1" x14ac:dyDescent="0.35">
      <c r="A17" s="39">
        <v>562.35</v>
      </c>
      <c r="B17" s="40" t="s">
        <v>52</v>
      </c>
      <c r="C17" s="15">
        <v>51924</v>
      </c>
      <c r="D17" s="14">
        <f t="shared" si="2"/>
        <v>51924</v>
      </c>
      <c r="E17" s="231"/>
      <c r="F17" s="257"/>
      <c r="G17" s="228"/>
      <c r="H17" s="231">
        <v>41814</v>
      </c>
      <c r="I17" s="219"/>
      <c r="J17" s="217"/>
      <c r="K17" s="217"/>
      <c r="L17" s="217">
        <v>5941</v>
      </c>
      <c r="M17" s="9">
        <f t="shared" si="0"/>
        <v>5941</v>
      </c>
      <c r="N17" s="217"/>
      <c r="O17" s="217">
        <v>4169</v>
      </c>
      <c r="P17" s="217"/>
      <c r="Q17" s="214">
        <f t="shared" si="1"/>
        <v>4169</v>
      </c>
      <c r="R17" s="231"/>
      <c r="T17" s="199"/>
      <c r="U17" s="211"/>
      <c r="V17" s="211"/>
      <c r="W17" s="211"/>
      <c r="X17" s="211"/>
    </row>
    <row r="18" spans="1:24" ht="15" thickBot="1" x14ac:dyDescent="0.35">
      <c r="A18" s="39">
        <v>562.39</v>
      </c>
      <c r="B18" s="40" t="s">
        <v>53</v>
      </c>
      <c r="C18" s="15">
        <v>39779</v>
      </c>
      <c r="D18" s="14">
        <f t="shared" si="2"/>
        <v>39779</v>
      </c>
      <c r="E18" s="231"/>
      <c r="F18" s="257"/>
      <c r="G18" s="228"/>
      <c r="H18" s="231"/>
      <c r="I18" s="219"/>
      <c r="J18" s="217"/>
      <c r="K18" s="217"/>
      <c r="L18" s="217">
        <v>39779</v>
      </c>
      <c r="M18" s="9">
        <f t="shared" si="0"/>
        <v>39779</v>
      </c>
      <c r="N18" s="217"/>
      <c r="O18" s="217"/>
      <c r="P18" s="217"/>
      <c r="Q18" s="214">
        <f t="shared" si="1"/>
        <v>0</v>
      </c>
      <c r="R18" s="231"/>
      <c r="T18" s="199"/>
      <c r="U18" s="211"/>
      <c r="V18" s="211"/>
      <c r="W18" s="211"/>
      <c r="X18" s="211"/>
    </row>
    <row r="19" spans="1:24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  <c r="T19" s="199"/>
      <c r="U19" s="211"/>
      <c r="V19" s="211"/>
      <c r="W19" s="211"/>
      <c r="X19" s="211"/>
    </row>
    <row r="20" spans="1:24" ht="15" thickBot="1" x14ac:dyDescent="0.35">
      <c r="A20" s="39">
        <v>562.41999999999996</v>
      </c>
      <c r="B20" s="40" t="s">
        <v>55</v>
      </c>
      <c r="C20" s="15">
        <v>38093</v>
      </c>
      <c r="D20" s="14">
        <f t="shared" si="2"/>
        <v>38093</v>
      </c>
      <c r="E20" s="231"/>
      <c r="F20" s="257">
        <v>38093</v>
      </c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  <c r="W20" s="211"/>
      <c r="X20" s="211"/>
    </row>
    <row r="21" spans="1:24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  <c r="T21" s="199"/>
      <c r="U21" s="211"/>
      <c r="V21" s="211"/>
      <c r="W21" s="211"/>
      <c r="X21" s="211"/>
    </row>
    <row r="22" spans="1:24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  <c r="T22" s="199"/>
      <c r="U22" s="211"/>
      <c r="V22" s="211"/>
      <c r="W22" s="211"/>
      <c r="X22" s="211"/>
    </row>
    <row r="23" spans="1:24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  <c r="W23" s="211"/>
      <c r="X23" s="211"/>
    </row>
    <row r="24" spans="1:24" ht="15" thickBot="1" x14ac:dyDescent="0.35">
      <c r="A24" s="39">
        <v>562.49</v>
      </c>
      <c r="B24" s="82" t="s">
        <v>87</v>
      </c>
      <c r="C24" s="15"/>
      <c r="D24" s="14">
        <f t="shared" si="2"/>
        <v>0</v>
      </c>
      <c r="E24" s="231"/>
      <c r="F24" s="257"/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  <c r="T24" s="199"/>
      <c r="U24" s="211"/>
      <c r="V24" s="211"/>
      <c r="W24" s="211"/>
      <c r="X24" s="211"/>
    </row>
    <row r="25" spans="1:24" ht="15" thickBot="1" x14ac:dyDescent="0.35">
      <c r="A25" s="39">
        <v>562.52</v>
      </c>
      <c r="B25" s="40" t="s">
        <v>56</v>
      </c>
      <c r="C25" s="15">
        <v>77222</v>
      </c>
      <c r="D25" s="14">
        <f t="shared" si="2"/>
        <v>77222</v>
      </c>
      <c r="E25" s="231"/>
      <c r="F25" s="257"/>
      <c r="G25" s="228"/>
      <c r="H25" s="231"/>
      <c r="I25" s="219"/>
      <c r="J25" s="217"/>
      <c r="K25" s="217"/>
      <c r="L25" s="217">
        <v>8343</v>
      </c>
      <c r="M25" s="9">
        <f t="shared" si="0"/>
        <v>8343</v>
      </c>
      <c r="N25" s="217"/>
      <c r="O25" s="217">
        <f>14600+14600+1750+37929</f>
        <v>68879</v>
      </c>
      <c r="P25" s="217"/>
      <c r="Q25" s="214">
        <f t="shared" si="1"/>
        <v>68879</v>
      </c>
      <c r="R25" s="231"/>
      <c r="T25" s="199"/>
      <c r="U25" s="211"/>
      <c r="V25" s="211"/>
      <c r="W25" s="211"/>
      <c r="X25" s="211"/>
    </row>
    <row r="26" spans="1:24" ht="15" thickBot="1" x14ac:dyDescent="0.35">
      <c r="A26" s="39">
        <v>562.53</v>
      </c>
      <c r="B26" s="82" t="s">
        <v>99</v>
      </c>
      <c r="C26" s="15">
        <v>120124</v>
      </c>
      <c r="D26" s="14">
        <f t="shared" si="2"/>
        <v>120124</v>
      </c>
      <c r="E26" s="231"/>
      <c r="F26" s="257"/>
      <c r="G26" s="228">
        <v>76530</v>
      </c>
      <c r="H26" s="231"/>
      <c r="I26" s="219"/>
      <c r="J26" s="217"/>
      <c r="K26" s="217"/>
      <c r="L26" s="217">
        <v>32643</v>
      </c>
      <c r="M26" s="9">
        <f t="shared" si="0"/>
        <v>32643</v>
      </c>
      <c r="N26" s="217">
        <v>2600</v>
      </c>
      <c r="O26" s="217">
        <v>8251</v>
      </c>
      <c r="P26" s="217">
        <v>100</v>
      </c>
      <c r="Q26" s="214">
        <f t="shared" si="1"/>
        <v>10951</v>
      </c>
      <c r="R26" s="231"/>
      <c r="T26" s="199"/>
      <c r="U26" s="211"/>
      <c r="V26" s="211"/>
      <c r="W26" s="211"/>
      <c r="X26" s="211"/>
    </row>
    <row r="27" spans="1:24" ht="15" thickBot="1" x14ac:dyDescent="0.35">
      <c r="A27" s="39">
        <v>562.54</v>
      </c>
      <c r="B27" s="82" t="s">
        <v>100</v>
      </c>
      <c r="C27" s="15">
        <v>452141</v>
      </c>
      <c r="D27" s="14">
        <f t="shared" si="2"/>
        <v>452141</v>
      </c>
      <c r="E27" s="231">
        <v>41279</v>
      </c>
      <c r="F27" s="257"/>
      <c r="G27" s="228"/>
      <c r="H27" s="231">
        <v>168270</v>
      </c>
      <c r="I27" s="219"/>
      <c r="J27" s="217"/>
      <c r="K27" s="217"/>
      <c r="L27" s="217">
        <v>3354</v>
      </c>
      <c r="M27" s="9">
        <f t="shared" si="0"/>
        <v>3354</v>
      </c>
      <c r="N27" s="217">
        <f>34380+89064</f>
        <v>123444</v>
      </c>
      <c r="O27" s="217">
        <v>115794</v>
      </c>
      <c r="P27" s="217"/>
      <c r="Q27" s="214">
        <f t="shared" si="1"/>
        <v>239238</v>
      </c>
      <c r="R27" s="231"/>
      <c r="T27" s="199"/>
      <c r="U27" s="211"/>
      <c r="V27" s="211"/>
      <c r="W27" s="211"/>
      <c r="X27" s="211"/>
    </row>
    <row r="28" spans="1:24" ht="15" thickBot="1" x14ac:dyDescent="0.35">
      <c r="A28" s="39">
        <v>562.54999999999995</v>
      </c>
      <c r="B28" s="40" t="s">
        <v>57</v>
      </c>
      <c r="C28" s="15">
        <v>5276</v>
      </c>
      <c r="D28" s="14">
        <f t="shared" si="2"/>
        <v>5276</v>
      </c>
      <c r="E28" s="231"/>
      <c r="F28" s="257"/>
      <c r="G28" s="228"/>
      <c r="H28" s="231"/>
      <c r="I28" s="219"/>
      <c r="J28" s="217"/>
      <c r="K28" s="217"/>
      <c r="L28" s="217">
        <v>5276</v>
      </c>
      <c r="M28" s="9">
        <f t="shared" si="0"/>
        <v>5276</v>
      </c>
      <c r="N28" s="217"/>
      <c r="O28" s="217"/>
      <c r="P28" s="217"/>
      <c r="Q28" s="214">
        <f t="shared" si="1"/>
        <v>0</v>
      </c>
      <c r="R28" s="231"/>
      <c r="T28" s="199"/>
      <c r="U28" s="211"/>
      <c r="V28" s="211"/>
      <c r="W28" s="211"/>
      <c r="X28" s="211"/>
    </row>
    <row r="29" spans="1:24" ht="15" thickBot="1" x14ac:dyDescent="0.35">
      <c r="A29" s="39">
        <v>562.55999999999995</v>
      </c>
      <c r="B29" s="40" t="s">
        <v>58</v>
      </c>
      <c r="C29" s="15">
        <v>127413</v>
      </c>
      <c r="D29" s="14">
        <f t="shared" si="2"/>
        <v>127413</v>
      </c>
      <c r="E29" s="231"/>
      <c r="F29" s="257"/>
      <c r="G29" s="228"/>
      <c r="H29" s="231"/>
      <c r="I29" s="219"/>
      <c r="J29" s="217"/>
      <c r="K29" s="217"/>
      <c r="L29" s="217">
        <v>11949</v>
      </c>
      <c r="M29" s="9">
        <f t="shared" si="0"/>
        <v>11949</v>
      </c>
      <c r="N29" s="217">
        <f>97407+17934</f>
        <v>115341</v>
      </c>
      <c r="O29" s="217">
        <v>123</v>
      </c>
      <c r="P29" s="217"/>
      <c r="Q29" s="214">
        <f t="shared" si="1"/>
        <v>115464</v>
      </c>
      <c r="R29" s="231"/>
      <c r="T29" s="199"/>
      <c r="U29" s="211"/>
      <c r="V29" s="211"/>
      <c r="W29" s="211"/>
      <c r="X29" s="211"/>
    </row>
    <row r="30" spans="1:24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  <c r="T30" s="199"/>
      <c r="U30" s="211"/>
      <c r="V30" s="211"/>
      <c r="W30" s="211"/>
      <c r="X30" s="211"/>
    </row>
    <row r="31" spans="1:24" ht="15" thickBot="1" x14ac:dyDescent="0.35">
      <c r="A31" s="39">
        <v>562.58000000000004</v>
      </c>
      <c r="B31" s="82" t="s">
        <v>88</v>
      </c>
      <c r="C31" s="15">
        <v>4500</v>
      </c>
      <c r="D31" s="14">
        <f t="shared" si="2"/>
        <v>4655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v>4655</v>
      </c>
      <c r="O31" s="217"/>
      <c r="P31" s="217"/>
      <c r="Q31" s="214">
        <f t="shared" si="1"/>
        <v>4655</v>
      </c>
      <c r="R31" s="231"/>
      <c r="T31" s="199"/>
      <c r="U31" s="211"/>
      <c r="V31" s="211"/>
      <c r="W31" s="211"/>
      <c r="X31" s="211"/>
    </row>
    <row r="32" spans="1:24" ht="15" thickBot="1" x14ac:dyDescent="0.35">
      <c r="A32" s="39">
        <v>562.59</v>
      </c>
      <c r="B32" s="82" t="s">
        <v>89</v>
      </c>
      <c r="C32" s="15">
        <v>649</v>
      </c>
      <c r="D32" s="14">
        <f t="shared" si="2"/>
        <v>649</v>
      </c>
      <c r="E32" s="231"/>
      <c r="F32" s="257"/>
      <c r="G32" s="228"/>
      <c r="H32" s="231"/>
      <c r="I32" s="219"/>
      <c r="J32" s="247"/>
      <c r="K32" s="247"/>
      <c r="L32" s="247">
        <v>649</v>
      </c>
      <c r="M32" s="9">
        <f t="shared" si="0"/>
        <v>649</v>
      </c>
      <c r="N32" s="247"/>
      <c r="O32" s="247"/>
      <c r="P32" s="247"/>
      <c r="Q32" s="214">
        <f t="shared" si="1"/>
        <v>0</v>
      </c>
      <c r="R32" s="231"/>
      <c r="T32" s="199"/>
      <c r="U32" s="211"/>
      <c r="V32" s="211"/>
      <c r="W32" s="211"/>
      <c r="X32" s="211"/>
    </row>
    <row r="33" spans="1:24" ht="15" thickBot="1" x14ac:dyDescent="0.35">
      <c r="A33" s="39">
        <v>562.6</v>
      </c>
      <c r="B33" s="40" t="s">
        <v>59</v>
      </c>
      <c r="C33" s="15">
        <v>336638</v>
      </c>
      <c r="D33" s="14">
        <f t="shared" si="2"/>
        <v>336638</v>
      </c>
      <c r="E33" s="231">
        <v>3967</v>
      </c>
      <c r="F33" s="257">
        <v>43970</v>
      </c>
      <c r="G33" s="228"/>
      <c r="H33" s="231">
        <v>281783</v>
      </c>
      <c r="I33" s="219"/>
      <c r="J33" s="217"/>
      <c r="K33" s="217"/>
      <c r="L33" s="217">
        <v>6868</v>
      </c>
      <c r="M33" s="9">
        <f t="shared" si="0"/>
        <v>6868</v>
      </c>
      <c r="N33" s="217"/>
      <c r="O33" s="217">
        <v>50</v>
      </c>
      <c r="P33" s="217"/>
      <c r="Q33" s="214">
        <f t="shared" si="1"/>
        <v>50</v>
      </c>
      <c r="R33" s="231"/>
      <c r="T33" s="199"/>
      <c r="U33" s="211"/>
      <c r="V33" s="211"/>
      <c r="W33" s="211"/>
      <c r="X33" s="211"/>
    </row>
    <row r="34" spans="1:24" ht="15" thickBot="1" x14ac:dyDescent="0.35">
      <c r="A34" s="39">
        <v>562.71</v>
      </c>
      <c r="B34" s="40" t="s">
        <v>60</v>
      </c>
      <c r="C34" s="15">
        <v>41811</v>
      </c>
      <c r="D34" s="14">
        <f t="shared" si="2"/>
        <v>41811</v>
      </c>
      <c r="E34" s="231"/>
      <c r="F34" s="257"/>
      <c r="G34" s="228"/>
      <c r="H34" s="231"/>
      <c r="I34" s="219"/>
      <c r="J34" s="217"/>
      <c r="K34" s="217"/>
      <c r="L34" s="217">
        <v>20079</v>
      </c>
      <c r="M34" s="9">
        <f t="shared" si="0"/>
        <v>20079</v>
      </c>
      <c r="N34" s="217"/>
      <c r="O34" s="217">
        <v>21732</v>
      </c>
      <c r="P34" s="217"/>
      <c r="Q34" s="214">
        <f t="shared" si="1"/>
        <v>21732</v>
      </c>
      <c r="R34" s="231"/>
      <c r="T34" s="199"/>
      <c r="U34" s="211"/>
      <c r="V34" s="211"/>
      <c r="W34" s="211"/>
      <c r="X34" s="211"/>
    </row>
    <row r="35" spans="1:24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T35" s="199"/>
      <c r="U35" s="211"/>
      <c r="V35" s="211"/>
      <c r="W35" s="211"/>
      <c r="X35" s="211"/>
    </row>
    <row r="36" spans="1:24" ht="15" thickBot="1" x14ac:dyDescent="0.35">
      <c r="A36" s="39">
        <v>562.73</v>
      </c>
      <c r="B36" s="40" t="s">
        <v>62</v>
      </c>
      <c r="C36" s="15">
        <v>12514</v>
      </c>
      <c r="D36" s="14">
        <f t="shared" si="2"/>
        <v>12514</v>
      </c>
      <c r="E36" s="231"/>
      <c r="F36" s="257">
        <v>12514</v>
      </c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  <c r="T36" s="199"/>
      <c r="U36" s="211"/>
      <c r="V36" s="211"/>
      <c r="W36" s="211"/>
      <c r="X36" s="211"/>
    </row>
    <row r="37" spans="1:24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  <c r="U37" s="211"/>
      <c r="V37" s="211"/>
      <c r="W37" s="211"/>
      <c r="X37" s="211"/>
    </row>
    <row r="38" spans="1:24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  <c r="W38" s="211"/>
      <c r="X38" s="211"/>
    </row>
    <row r="39" spans="1:24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  <c r="W39" s="211"/>
      <c r="X39" s="211"/>
    </row>
    <row r="40" spans="1:24" ht="15" thickBot="1" x14ac:dyDescent="0.35">
      <c r="A40" s="39">
        <v>562.79999999999995</v>
      </c>
      <c r="B40" s="40" t="s">
        <v>65</v>
      </c>
      <c r="C40" s="15">
        <v>48508</v>
      </c>
      <c r="D40" s="14">
        <f t="shared" si="2"/>
        <v>48508</v>
      </c>
      <c r="E40" s="231"/>
      <c r="F40" s="257">
        <v>48508</v>
      </c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  <c r="T40" s="199"/>
      <c r="U40" s="211"/>
      <c r="V40" s="211"/>
      <c r="W40" s="211"/>
      <c r="X40" s="211"/>
    </row>
    <row r="41" spans="1:24" ht="15" thickBot="1" x14ac:dyDescent="0.35">
      <c r="A41" s="39">
        <v>562.88</v>
      </c>
      <c r="B41" s="82" t="s">
        <v>91</v>
      </c>
      <c r="C41" s="15">
        <v>68953</v>
      </c>
      <c r="D41" s="14">
        <f t="shared" si="2"/>
        <v>68953</v>
      </c>
      <c r="E41" s="231"/>
      <c r="F41" s="257">
        <v>6265</v>
      </c>
      <c r="G41" s="228"/>
      <c r="H41" s="231">
        <v>59188</v>
      </c>
      <c r="I41" s="219">
        <v>3500</v>
      </c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/>
      <c r="T41" s="199"/>
      <c r="U41" s="211"/>
      <c r="V41" s="211"/>
      <c r="W41" s="211"/>
      <c r="X41" s="211"/>
    </row>
    <row r="42" spans="1:24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T42" s="199"/>
      <c r="U42" s="211"/>
      <c r="V42" s="211"/>
      <c r="W42" s="211"/>
      <c r="X42" s="211"/>
    </row>
    <row r="43" spans="1:24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  <c r="U43" s="211"/>
      <c r="V43" s="211"/>
      <c r="W43" s="211"/>
      <c r="X43" s="211"/>
    </row>
    <row r="44" spans="1:24" x14ac:dyDescent="0.3">
      <c r="A44" s="206" t="s">
        <v>110</v>
      </c>
      <c r="B44" s="207" t="s">
        <v>68</v>
      </c>
      <c r="C44" s="208">
        <f>SUM(C5:C43)</f>
        <v>2169349</v>
      </c>
      <c r="D44" s="205">
        <f>E44+F44+G44+H44+I44+M44+Q44+R44</f>
        <v>2169504</v>
      </c>
      <c r="E44" s="233">
        <f t="shared" ref="E44:R44" si="3">SUM(E5:E43)</f>
        <v>45246</v>
      </c>
      <c r="F44" s="259">
        <f t="shared" si="3"/>
        <v>223305</v>
      </c>
      <c r="G44" s="223">
        <f t="shared" si="3"/>
        <v>177471</v>
      </c>
      <c r="H44" s="233">
        <f t="shared" si="3"/>
        <v>648695</v>
      </c>
      <c r="I44" s="239">
        <f t="shared" si="3"/>
        <v>131934</v>
      </c>
      <c r="J44" s="245">
        <f>SUM(J5:J43)</f>
        <v>0</v>
      </c>
      <c r="K44" s="245">
        <f>SUM(K5:K43)</f>
        <v>0</v>
      </c>
      <c r="L44" s="245">
        <f>SUM(L5:L43)</f>
        <v>423505</v>
      </c>
      <c r="M44" s="208">
        <f t="shared" si="3"/>
        <v>423505</v>
      </c>
      <c r="N44" s="245">
        <f>SUM(N5:N43)</f>
        <v>246040</v>
      </c>
      <c r="O44" s="245">
        <f>SUM(O5:O43)</f>
        <v>270898</v>
      </c>
      <c r="P44" s="245">
        <f>SUM(P5:P43)</f>
        <v>100</v>
      </c>
      <c r="Q44" s="216">
        <f t="shared" si="3"/>
        <v>517038</v>
      </c>
      <c r="R44" s="233">
        <f t="shared" si="3"/>
        <v>2310</v>
      </c>
      <c r="T44" s="199"/>
      <c r="U44" s="211"/>
      <c r="V44" s="211"/>
      <c r="W44" s="211"/>
      <c r="X44" s="211"/>
    </row>
    <row r="45" spans="1:24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  <c r="W45" s="211"/>
      <c r="X45" s="211"/>
    </row>
    <row r="46" spans="1:24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  <c r="W46" s="211"/>
      <c r="X46" s="211"/>
    </row>
    <row r="47" spans="1:24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T47" s="199"/>
      <c r="U47" s="211"/>
      <c r="V47" s="211"/>
      <c r="W47" s="211"/>
      <c r="X47" s="211"/>
    </row>
    <row r="48" spans="1:24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  <c r="W48" s="211"/>
      <c r="X48" s="211"/>
    </row>
    <row r="49" spans="1:24" ht="15" thickBot="1" x14ac:dyDescent="0.35">
      <c r="A49" s="39">
        <v>554</v>
      </c>
      <c r="B49" s="82" t="s">
        <v>102</v>
      </c>
      <c r="C49" s="15">
        <v>20007</v>
      </c>
      <c r="D49" s="14">
        <f t="shared" si="2"/>
        <v>20007</v>
      </c>
      <c r="E49" s="231"/>
      <c r="F49" s="257">
        <v>4143</v>
      </c>
      <c r="G49" s="228"/>
      <c r="H49" s="231">
        <v>15864</v>
      </c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T49" s="199"/>
      <c r="U49" s="211"/>
      <c r="V49" s="211"/>
      <c r="W49" s="211"/>
      <c r="X49" s="211"/>
    </row>
    <row r="50" spans="1:24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  <c r="W50" s="211"/>
      <c r="X50" s="211"/>
    </row>
    <row r="51" spans="1:24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  <c r="W51" s="211"/>
      <c r="X51" s="211"/>
    </row>
    <row r="52" spans="1:24" ht="15" thickBot="1" x14ac:dyDescent="0.35">
      <c r="A52" s="39">
        <v>564</v>
      </c>
      <c r="B52" s="40" t="s">
        <v>75</v>
      </c>
      <c r="C52" s="15">
        <v>21085</v>
      </c>
      <c r="D52" s="14">
        <f t="shared" si="2"/>
        <v>21085</v>
      </c>
      <c r="E52" s="231"/>
      <c r="F52" s="257"/>
      <c r="G52" s="228"/>
      <c r="H52" s="231"/>
      <c r="I52" s="219"/>
      <c r="J52" s="217"/>
      <c r="K52" s="217"/>
      <c r="L52" s="217">
        <f>18111+2974</f>
        <v>21085</v>
      </c>
      <c r="M52" s="9">
        <f t="shared" si="0"/>
        <v>21085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  <c r="W52" s="211"/>
      <c r="X52" s="211"/>
    </row>
    <row r="53" spans="1:24" ht="15" thickBot="1" x14ac:dyDescent="0.35">
      <c r="A53" s="39">
        <v>566</v>
      </c>
      <c r="B53" s="40" t="s">
        <v>76</v>
      </c>
      <c r="C53" s="15">
        <v>81885</v>
      </c>
      <c r="D53" s="14">
        <f t="shared" si="2"/>
        <v>81885</v>
      </c>
      <c r="E53" s="231"/>
      <c r="F53" s="257"/>
      <c r="G53" s="228"/>
      <c r="H53" s="231">
        <v>65956</v>
      </c>
      <c r="I53" s="219"/>
      <c r="J53" s="217"/>
      <c r="K53" s="217"/>
      <c r="L53" s="217">
        <v>15929</v>
      </c>
      <c r="M53" s="9">
        <f t="shared" si="0"/>
        <v>15929</v>
      </c>
      <c r="N53" s="217"/>
      <c r="O53" s="217"/>
      <c r="P53" s="217"/>
      <c r="Q53" s="214">
        <f t="shared" si="1"/>
        <v>0</v>
      </c>
      <c r="R53" s="231"/>
      <c r="T53" s="199"/>
      <c r="U53" s="211"/>
      <c r="V53" s="211"/>
      <c r="W53" s="211"/>
      <c r="X53" s="211"/>
    </row>
    <row r="54" spans="1:24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  <c r="U54" s="211"/>
      <c r="V54" s="211"/>
      <c r="W54" s="211"/>
      <c r="X54" s="211"/>
    </row>
    <row r="55" spans="1:24" x14ac:dyDescent="0.3">
      <c r="A55" s="41">
        <v>500</v>
      </c>
      <c r="B55" s="32" t="s">
        <v>118</v>
      </c>
      <c r="C55" s="18"/>
      <c r="D55" s="20">
        <f t="shared" si="2"/>
        <v>0</v>
      </c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T55" s="199"/>
      <c r="U55" s="211"/>
      <c r="V55" s="211"/>
      <c r="W55" s="211"/>
      <c r="X55" s="211"/>
    </row>
    <row r="56" spans="1:24" ht="15" thickBot="1" x14ac:dyDescent="0.35">
      <c r="A56" s="107"/>
      <c r="B56" s="108" t="s">
        <v>80</v>
      </c>
      <c r="C56" s="111">
        <f>SUM(C44:C55)</f>
        <v>2292326</v>
      </c>
      <c r="D56" s="110">
        <f>E56+F56+G56+H56+I56+M56+Q56+R56</f>
        <v>2292481</v>
      </c>
      <c r="E56" s="235">
        <f t="shared" ref="E56:R56" si="4">SUM(E44:E55)</f>
        <v>45246</v>
      </c>
      <c r="F56" s="260">
        <f t="shared" si="4"/>
        <v>227448</v>
      </c>
      <c r="G56" s="225">
        <f t="shared" si="4"/>
        <v>177471</v>
      </c>
      <c r="H56" s="235">
        <f t="shared" si="4"/>
        <v>730515</v>
      </c>
      <c r="I56" s="240">
        <f t="shared" si="4"/>
        <v>131934</v>
      </c>
      <c r="J56" s="218">
        <f>SUM(J44:J55)</f>
        <v>0</v>
      </c>
      <c r="K56" s="218">
        <f>SUM(K44:K55)</f>
        <v>0</v>
      </c>
      <c r="L56" s="218">
        <f>SUM(L44:L55)</f>
        <v>460519</v>
      </c>
      <c r="M56" s="209">
        <f t="shared" si="4"/>
        <v>460519</v>
      </c>
      <c r="N56" s="218">
        <f>SUM(N44:N55)</f>
        <v>246040</v>
      </c>
      <c r="O56" s="218">
        <f>SUM(O44:O55)</f>
        <v>270898</v>
      </c>
      <c r="P56" s="218">
        <f>SUM(P44:P55)</f>
        <v>100</v>
      </c>
      <c r="Q56" s="218">
        <f t="shared" si="4"/>
        <v>517038</v>
      </c>
      <c r="R56" s="235">
        <f t="shared" si="4"/>
        <v>2310</v>
      </c>
    </row>
    <row r="57" spans="1:24" ht="15" thickTop="1" x14ac:dyDescent="0.3"/>
    <row r="58" spans="1:24" ht="15" thickBot="1" x14ac:dyDescent="0.35"/>
    <row r="59" spans="1:24" ht="15" thickBot="1" x14ac:dyDescent="0.35">
      <c r="B59" s="42" t="s">
        <v>109</v>
      </c>
      <c r="C59" s="43"/>
      <c r="D59" s="44"/>
    </row>
    <row r="60" spans="1:24" ht="15" thickTop="1" x14ac:dyDescent="0.3">
      <c r="B60" s="115"/>
      <c r="C60" s="116" t="s">
        <v>82</v>
      </c>
      <c r="D60" s="117" t="s">
        <v>78</v>
      </c>
    </row>
    <row r="61" spans="1:24" x14ac:dyDescent="0.3">
      <c r="B61" s="153" t="s">
        <v>108</v>
      </c>
      <c r="C61" s="45"/>
      <c r="D61" s="46"/>
    </row>
    <row r="62" spans="1:24" x14ac:dyDescent="0.3">
      <c r="B62" s="26" t="s">
        <v>3</v>
      </c>
      <c r="C62" s="47">
        <f>E56</f>
        <v>45246</v>
      </c>
      <c r="D62" s="48">
        <f>E56/D56</f>
        <v>1.9736695745788079E-2</v>
      </c>
    </row>
    <row r="63" spans="1:24" x14ac:dyDescent="0.3">
      <c r="B63" s="26" t="s">
        <v>4</v>
      </c>
      <c r="C63" s="49">
        <f>F56</f>
        <v>227448</v>
      </c>
      <c r="D63" s="48">
        <f>F56/D56</f>
        <v>9.9214780842240349E-2</v>
      </c>
    </row>
    <row r="64" spans="1:24" x14ac:dyDescent="0.3">
      <c r="B64" s="56" t="s">
        <v>79</v>
      </c>
      <c r="C64" s="50">
        <f>G56</f>
        <v>177471</v>
      </c>
      <c r="D64" s="51">
        <f>G56/D56</f>
        <v>7.7414382060309331E-2</v>
      </c>
    </row>
    <row r="65" spans="2:4" ht="15" thickBot="1" x14ac:dyDescent="0.35">
      <c r="B65" s="146" t="s">
        <v>115</v>
      </c>
      <c r="C65" s="52">
        <f>SUM(C62:C64)</f>
        <v>450165</v>
      </c>
      <c r="D65" s="53">
        <f>SUM(D62:D64)</f>
        <v>0.19636585864833778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730515</v>
      </c>
      <c r="D67" s="25">
        <f>H56/D56</f>
        <v>0.3186569485199659</v>
      </c>
    </row>
    <row r="68" spans="2:4" x14ac:dyDescent="0.3">
      <c r="B68" s="57" t="s">
        <v>7</v>
      </c>
      <c r="C68" s="27">
        <f>I56</f>
        <v>131934</v>
      </c>
      <c r="D68" s="28">
        <f>I56/D56</f>
        <v>5.7550749602722988E-2</v>
      </c>
    </row>
    <row r="69" spans="2:4" ht="15" thickBot="1" x14ac:dyDescent="0.35">
      <c r="B69" s="146" t="s">
        <v>116</v>
      </c>
      <c r="C69" s="52">
        <f>SUM(C67:C68)</f>
        <v>862449</v>
      </c>
      <c r="D69" s="53">
        <f>SUM(D67:D68)</f>
        <v>0.37620769812268889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460519</v>
      </c>
      <c r="D71" s="25">
        <f>M56/D56</f>
        <v>0.20088236282001901</v>
      </c>
    </row>
    <row r="72" spans="2:4" x14ac:dyDescent="0.3">
      <c r="B72" s="24" t="s">
        <v>8</v>
      </c>
      <c r="C72" s="23">
        <f>Q56</f>
        <v>517038</v>
      </c>
      <c r="D72" s="25">
        <f>Q56/D56</f>
        <v>0.22553643846993715</v>
      </c>
    </row>
    <row r="73" spans="2:4" x14ac:dyDescent="0.3">
      <c r="B73" s="163" t="s">
        <v>83</v>
      </c>
      <c r="C73" s="27">
        <f>R56</f>
        <v>2310</v>
      </c>
      <c r="D73" s="28">
        <f>R56/D56</f>
        <v>1.0076419390171608E-3</v>
      </c>
    </row>
    <row r="74" spans="2:4" ht="15" thickBot="1" x14ac:dyDescent="0.35">
      <c r="B74" s="146" t="s">
        <v>117</v>
      </c>
      <c r="C74" s="52">
        <f>SUM(C71:C73)</f>
        <v>979867</v>
      </c>
      <c r="D74" s="53">
        <f>SUM(D71:D73)</f>
        <v>0.42742644322897327</v>
      </c>
    </row>
    <row r="75" spans="2:4" ht="15" thickBot="1" x14ac:dyDescent="0.35">
      <c r="B75" s="157" t="s">
        <v>80</v>
      </c>
      <c r="C75" s="158">
        <f>C65+C69+C74</f>
        <v>2292481</v>
      </c>
      <c r="D75" s="159">
        <f>D65+D69+D74</f>
        <v>0.99999999999999989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101" priority="7">
      <formula>ROW()=EVEN(ROW())</formula>
    </cfRule>
  </conditionalFormatting>
  <conditionalFormatting sqref="A55:B55">
    <cfRule type="expression" dxfId="100" priority="5">
      <formula>ROW()=EVEN(ROW())</formula>
    </cfRule>
  </conditionalFormatting>
  <conditionalFormatting sqref="A54:B54">
    <cfRule type="expression" dxfId="99" priority="4">
      <formula>ROW()=EVEN(ROW())</formula>
    </cfRule>
  </conditionalFormatting>
  <conditionalFormatting sqref="M45:M55">
    <cfRule type="expression" dxfId="98" priority="3">
      <formula>ROW()=EVEN(ROW())</formula>
    </cfRule>
  </conditionalFormatting>
  <conditionalFormatting sqref="D45:D55">
    <cfRule type="expression" dxfId="97" priority="2">
      <formula>ROW()=EVEN(ROW())</formula>
    </cfRule>
  </conditionalFormatting>
  <conditionalFormatting sqref="N44:P55">
    <cfRule type="expression" dxfId="96" priority="1">
      <formula>ROW()=EVEN(ROW())</formula>
    </cfRule>
  </conditionalFormatting>
  <printOptions horizontalCentered="1"/>
  <pageMargins left="0" right="0" top="1.1000000000000001" bottom="0.5" header="0.3" footer="0.3"/>
  <pageSetup scale="59" fitToHeight="0" orientation="landscape" r:id="rId1"/>
  <headerFooter>
    <oddHeader>&amp;C&amp;"-,Bold"&amp;20Funding by Expenditure Code and Revenue Source&amp;"-,Regular"&amp;11
&amp;"-,Bold"&amp;20 2014&amp;"-,Regular"&amp;11
&amp;"-,Bold"&amp;20MASON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88"/>
  <sheetViews>
    <sheetView showZeros="0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4" x14ac:dyDescent="0.3">
      <c r="A1" s="22" t="s">
        <v>150</v>
      </c>
      <c r="B1" s="6"/>
      <c r="C1" s="31">
        <v>64770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4" x14ac:dyDescent="0.3">
      <c r="A2" s="80" t="s">
        <v>44</v>
      </c>
      <c r="B2" s="5"/>
      <c r="C2" s="83">
        <v>23.45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4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4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  <c r="W4" s="202" t="s">
        <v>153</v>
      </c>
      <c r="X4" s="203" t="s">
        <v>82</v>
      </c>
    </row>
    <row r="5" spans="1:24" ht="15" thickBot="1" x14ac:dyDescent="0.35">
      <c r="A5" s="36">
        <v>562.1</v>
      </c>
      <c r="B5" s="37" t="s">
        <v>47</v>
      </c>
      <c r="C5" s="16">
        <v>315375</v>
      </c>
      <c r="D5" s="14">
        <f>E5+F5+G5+H5+I5+M5+Q5+R5</f>
        <v>315375</v>
      </c>
      <c r="E5" s="236">
        <v>0</v>
      </c>
      <c r="F5" s="256">
        <v>53134</v>
      </c>
      <c r="G5" s="227">
        <v>0</v>
      </c>
      <c r="H5" s="236"/>
      <c r="I5" s="241">
        <v>61030</v>
      </c>
      <c r="J5" s="214"/>
      <c r="K5" s="214"/>
      <c r="L5" s="214"/>
      <c r="M5" s="9">
        <f>SUM(J5:L5)</f>
        <v>0</v>
      </c>
      <c r="N5" s="214"/>
      <c r="O5" s="214">
        <v>169702</v>
      </c>
      <c r="P5" s="214"/>
      <c r="Q5" s="214">
        <f>SUM(N5:P5)</f>
        <v>169702</v>
      </c>
      <c r="R5" s="236">
        <f>586+9892+21031</f>
        <v>31509</v>
      </c>
      <c r="S5" s="199">
        <v>361.11</v>
      </c>
      <c r="T5" s="199">
        <v>586</v>
      </c>
      <c r="U5" s="211">
        <v>369.9</v>
      </c>
      <c r="V5" s="211">
        <v>9892</v>
      </c>
      <c r="W5" s="211">
        <v>308</v>
      </c>
      <c r="X5" s="211">
        <v>21031</v>
      </c>
    </row>
    <row r="6" spans="1:24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  <c r="U6" s="211"/>
      <c r="V6" s="211"/>
      <c r="W6" s="211"/>
      <c r="X6" s="211"/>
    </row>
    <row r="7" spans="1:24" ht="15" thickBot="1" x14ac:dyDescent="0.35">
      <c r="A7" s="39">
        <v>562.22</v>
      </c>
      <c r="B7" s="82" t="s">
        <v>92</v>
      </c>
      <c r="C7" s="15">
        <v>108044</v>
      </c>
      <c r="D7" s="14">
        <f>E7+F7+G7+H7+I7+M7+Q7+R7</f>
        <v>108044</v>
      </c>
      <c r="E7" s="231"/>
      <c r="F7" s="257">
        <v>12179</v>
      </c>
      <c r="G7" s="228"/>
      <c r="H7" s="231">
        <v>49630</v>
      </c>
      <c r="I7" s="219">
        <v>2519</v>
      </c>
      <c r="J7" s="217"/>
      <c r="K7" s="217"/>
      <c r="L7" s="217"/>
      <c r="M7" s="9">
        <f t="shared" si="0"/>
        <v>0</v>
      </c>
      <c r="N7" s="217"/>
      <c r="O7" s="217">
        <v>38897</v>
      </c>
      <c r="P7" s="217"/>
      <c r="Q7" s="214">
        <f t="shared" si="1"/>
        <v>38897</v>
      </c>
      <c r="R7" s="231">
        <v>4819</v>
      </c>
      <c r="S7" s="199">
        <v>308</v>
      </c>
      <c r="T7" s="199">
        <v>4819</v>
      </c>
      <c r="U7" s="211"/>
      <c r="V7" s="211"/>
      <c r="W7" s="211"/>
      <c r="X7" s="211"/>
    </row>
    <row r="8" spans="1:24" ht="15" thickBot="1" x14ac:dyDescent="0.35">
      <c r="A8" s="39">
        <v>562.24</v>
      </c>
      <c r="B8" s="40" t="s">
        <v>49</v>
      </c>
      <c r="C8" s="15">
        <v>6949</v>
      </c>
      <c r="D8" s="14">
        <f t="shared" ref="D8:D55" si="2">E8+F8+G8+H8+I8+M8+Q8+R8</f>
        <v>6949</v>
      </c>
      <c r="E8" s="231"/>
      <c r="F8" s="257">
        <v>1514</v>
      </c>
      <c r="G8" s="228"/>
      <c r="H8" s="231"/>
      <c r="I8" s="219"/>
      <c r="J8" s="217"/>
      <c r="K8" s="217"/>
      <c r="L8" s="217"/>
      <c r="M8" s="9">
        <f t="shared" si="0"/>
        <v>0</v>
      </c>
      <c r="N8" s="217"/>
      <c r="O8" s="217">
        <v>4836</v>
      </c>
      <c r="P8" s="217"/>
      <c r="Q8" s="214">
        <f t="shared" si="1"/>
        <v>4836</v>
      </c>
      <c r="R8" s="231">
        <v>599</v>
      </c>
      <c r="S8" s="199">
        <v>308</v>
      </c>
      <c r="T8" s="199">
        <v>599</v>
      </c>
      <c r="U8" s="211"/>
      <c r="V8" s="211"/>
      <c r="W8" s="211"/>
      <c r="X8" s="211"/>
    </row>
    <row r="9" spans="1:24" ht="15" thickBot="1" x14ac:dyDescent="0.35">
      <c r="A9" s="39">
        <v>562.25</v>
      </c>
      <c r="B9" s="82" t="s">
        <v>93</v>
      </c>
      <c r="C9" s="15">
        <v>43060</v>
      </c>
      <c r="D9" s="14">
        <f t="shared" si="2"/>
        <v>43060</v>
      </c>
      <c r="E9" s="231"/>
      <c r="F9" s="257">
        <v>4578</v>
      </c>
      <c r="G9" s="228"/>
      <c r="H9" s="231">
        <v>22048</v>
      </c>
      <c r="I9" s="219"/>
      <c r="J9" s="217"/>
      <c r="K9" s="217"/>
      <c r="L9" s="217"/>
      <c r="M9" s="9">
        <f t="shared" si="0"/>
        <v>0</v>
      </c>
      <c r="N9" s="217"/>
      <c r="O9" s="217">
        <v>14622</v>
      </c>
      <c r="P9" s="217"/>
      <c r="Q9" s="214">
        <f t="shared" si="1"/>
        <v>14622</v>
      </c>
      <c r="R9" s="231">
        <v>1812</v>
      </c>
      <c r="S9" s="199">
        <v>308</v>
      </c>
      <c r="T9" s="199">
        <v>1812</v>
      </c>
      <c r="U9" s="211"/>
      <c r="V9" s="211"/>
      <c r="W9" s="211"/>
      <c r="X9" s="211"/>
    </row>
    <row r="10" spans="1:24" ht="15" thickBot="1" x14ac:dyDescent="0.35">
      <c r="A10" s="39">
        <v>562.26</v>
      </c>
      <c r="B10" s="82" t="s">
        <v>84</v>
      </c>
      <c r="C10" s="15">
        <v>214953</v>
      </c>
      <c r="D10" s="14">
        <f t="shared" si="2"/>
        <v>214953</v>
      </c>
      <c r="E10" s="231">
        <v>66204</v>
      </c>
      <c r="F10" s="257">
        <v>22195</v>
      </c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>
        <f>46881+70888</f>
        <v>117769</v>
      </c>
      <c r="P10" s="217"/>
      <c r="Q10" s="214">
        <f t="shared" si="1"/>
        <v>117769</v>
      </c>
      <c r="R10" s="231">
        <v>8785</v>
      </c>
      <c r="S10" s="199">
        <v>308</v>
      </c>
      <c r="T10" s="199">
        <v>8785</v>
      </c>
      <c r="U10" s="211"/>
      <c r="V10" s="211"/>
      <c r="W10" s="211"/>
      <c r="X10" s="211"/>
    </row>
    <row r="11" spans="1:24" ht="15" thickBot="1" x14ac:dyDescent="0.35">
      <c r="A11" s="39">
        <v>562.27</v>
      </c>
      <c r="B11" s="82" t="s">
        <v>85</v>
      </c>
      <c r="C11" s="15">
        <v>58163</v>
      </c>
      <c r="D11" s="14">
        <f t="shared" si="2"/>
        <v>58163</v>
      </c>
      <c r="E11" s="231"/>
      <c r="F11" s="257">
        <v>4870</v>
      </c>
      <c r="G11" s="228"/>
      <c r="H11" s="231">
        <v>25038</v>
      </c>
      <c r="I11" s="219"/>
      <c r="J11" s="217"/>
      <c r="K11" s="217"/>
      <c r="L11" s="217"/>
      <c r="M11" s="9">
        <f t="shared" si="0"/>
        <v>0</v>
      </c>
      <c r="N11" s="217"/>
      <c r="O11" s="217">
        <f>10775+15553</f>
        <v>26328</v>
      </c>
      <c r="P11" s="217"/>
      <c r="Q11" s="214">
        <f t="shared" si="1"/>
        <v>26328</v>
      </c>
      <c r="R11" s="231">
        <v>1927</v>
      </c>
      <c r="S11" s="199">
        <v>308</v>
      </c>
      <c r="T11" s="199">
        <v>1927</v>
      </c>
      <c r="U11" s="211"/>
      <c r="V11" s="211"/>
      <c r="W11" s="211"/>
      <c r="X11" s="211"/>
    </row>
    <row r="12" spans="1:24" ht="15" thickBot="1" x14ac:dyDescent="0.35">
      <c r="A12" s="39">
        <v>562.28</v>
      </c>
      <c r="B12" s="82" t="s">
        <v>94</v>
      </c>
      <c r="C12" s="15">
        <v>256275</v>
      </c>
      <c r="D12" s="14">
        <f t="shared" si="2"/>
        <v>256275</v>
      </c>
      <c r="E12" s="231"/>
      <c r="F12" s="257"/>
      <c r="G12" s="228"/>
      <c r="H12" s="231">
        <f>21405+234685+185</f>
        <v>256275</v>
      </c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  <c r="T12" s="199"/>
      <c r="U12" s="211"/>
      <c r="V12" s="211"/>
      <c r="W12" s="211"/>
      <c r="X12" s="211"/>
    </row>
    <row r="13" spans="1:24" ht="15" thickBot="1" x14ac:dyDescent="0.35">
      <c r="A13" s="39">
        <v>562.29</v>
      </c>
      <c r="B13" s="82" t="s">
        <v>86</v>
      </c>
      <c r="C13" s="15">
        <v>5205</v>
      </c>
      <c r="D13" s="14">
        <f t="shared" si="2"/>
        <v>5205</v>
      </c>
      <c r="E13" s="231"/>
      <c r="F13" s="257">
        <v>1135</v>
      </c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>
        <v>3624</v>
      </c>
      <c r="P13" s="217"/>
      <c r="Q13" s="214">
        <f t="shared" si="1"/>
        <v>3624</v>
      </c>
      <c r="R13" s="231">
        <v>446</v>
      </c>
      <c r="S13" s="199">
        <v>308</v>
      </c>
      <c r="T13" s="199">
        <v>446</v>
      </c>
      <c r="U13" s="211"/>
      <c r="V13" s="211"/>
      <c r="W13" s="211"/>
      <c r="X13" s="211"/>
    </row>
    <row r="14" spans="1:24" ht="15" thickBot="1" x14ac:dyDescent="0.35">
      <c r="A14" s="39">
        <v>562.32000000000005</v>
      </c>
      <c r="B14" s="40" t="s">
        <v>50</v>
      </c>
      <c r="C14" s="15">
        <v>163086</v>
      </c>
      <c r="D14" s="14">
        <f t="shared" si="2"/>
        <v>163086</v>
      </c>
      <c r="E14" s="231"/>
      <c r="F14" s="257">
        <v>23033</v>
      </c>
      <c r="G14" s="228"/>
      <c r="H14" s="231">
        <f>6124+13167+8749+2676</f>
        <v>30716</v>
      </c>
      <c r="I14" s="219"/>
      <c r="J14" s="217"/>
      <c r="K14" s="217"/>
      <c r="L14" s="217"/>
      <c r="M14" s="9">
        <f t="shared" si="0"/>
        <v>0</v>
      </c>
      <c r="N14" s="217"/>
      <c r="O14" s="217">
        <f>26659+73562</f>
        <v>100221</v>
      </c>
      <c r="P14" s="217"/>
      <c r="Q14" s="214">
        <f t="shared" si="1"/>
        <v>100221</v>
      </c>
      <c r="R14" s="231">
        <v>9116</v>
      </c>
      <c r="S14" s="199">
        <v>308</v>
      </c>
      <c r="T14" s="199">
        <v>9116</v>
      </c>
      <c r="U14" s="211"/>
      <c r="V14" s="211"/>
      <c r="W14" s="211"/>
      <c r="X14" s="211"/>
    </row>
    <row r="15" spans="1:24" ht="15" thickBot="1" x14ac:dyDescent="0.35">
      <c r="A15" s="39">
        <v>562.33000000000004</v>
      </c>
      <c r="B15" s="82" t="s">
        <v>95</v>
      </c>
      <c r="C15" s="15">
        <v>23403</v>
      </c>
      <c r="D15" s="14">
        <f t="shared" si="2"/>
        <v>23403</v>
      </c>
      <c r="E15" s="231"/>
      <c r="F15" s="257">
        <v>5099</v>
      </c>
      <c r="G15" s="228"/>
      <c r="H15" s="231"/>
      <c r="I15" s="219"/>
      <c r="J15" s="217"/>
      <c r="K15" s="217"/>
      <c r="L15" s="217"/>
      <c r="M15" s="9">
        <f t="shared" si="0"/>
        <v>0</v>
      </c>
      <c r="N15" s="217"/>
      <c r="O15" s="217">
        <v>16286</v>
      </c>
      <c r="P15" s="217"/>
      <c r="Q15" s="214">
        <f t="shared" si="1"/>
        <v>16286</v>
      </c>
      <c r="R15" s="231">
        <v>2018</v>
      </c>
      <c r="S15" s="199">
        <v>308</v>
      </c>
      <c r="T15" s="199">
        <v>2018</v>
      </c>
      <c r="U15" s="211"/>
      <c r="V15" s="211"/>
      <c r="W15" s="211"/>
      <c r="X15" s="211"/>
    </row>
    <row r="16" spans="1:24" ht="15" thickBot="1" x14ac:dyDescent="0.35">
      <c r="A16" s="39">
        <v>562.34</v>
      </c>
      <c r="B16" s="40" t="s">
        <v>51</v>
      </c>
      <c r="C16" s="15">
        <v>11150</v>
      </c>
      <c r="D16" s="14">
        <f t="shared" si="2"/>
        <v>11150</v>
      </c>
      <c r="E16" s="231"/>
      <c r="F16" s="257">
        <v>1975</v>
      </c>
      <c r="G16" s="228">
        <v>6307</v>
      </c>
      <c r="H16" s="231"/>
      <c r="I16" s="219"/>
      <c r="J16" s="217"/>
      <c r="K16" s="217"/>
      <c r="L16" s="217"/>
      <c r="M16" s="9">
        <f t="shared" si="0"/>
        <v>0</v>
      </c>
      <c r="N16" s="217"/>
      <c r="O16" s="217">
        <v>2086</v>
      </c>
      <c r="P16" s="217"/>
      <c r="Q16" s="214">
        <f t="shared" si="1"/>
        <v>2086</v>
      </c>
      <c r="R16" s="231">
        <v>782</v>
      </c>
      <c r="S16" s="199">
        <v>308</v>
      </c>
      <c r="T16" s="213">
        <v>782</v>
      </c>
      <c r="U16" s="211"/>
      <c r="V16" s="211"/>
      <c r="W16" s="211"/>
      <c r="X16" s="211"/>
    </row>
    <row r="17" spans="1:24" ht="15" thickBot="1" x14ac:dyDescent="0.35">
      <c r="A17" s="39">
        <v>562.35</v>
      </c>
      <c r="B17" s="40" t="s">
        <v>52</v>
      </c>
      <c r="C17" s="15">
        <v>2613</v>
      </c>
      <c r="D17" s="14">
        <f t="shared" si="2"/>
        <v>2613</v>
      </c>
      <c r="E17" s="231"/>
      <c r="F17" s="257">
        <v>569</v>
      </c>
      <c r="G17" s="228"/>
      <c r="H17" s="231"/>
      <c r="I17" s="219"/>
      <c r="J17" s="217"/>
      <c r="K17" s="217"/>
      <c r="L17" s="217"/>
      <c r="M17" s="9">
        <f t="shared" si="0"/>
        <v>0</v>
      </c>
      <c r="N17" s="217"/>
      <c r="O17" s="217">
        <v>1818</v>
      </c>
      <c r="P17" s="217"/>
      <c r="Q17" s="214">
        <f t="shared" si="1"/>
        <v>1818</v>
      </c>
      <c r="R17" s="231">
        <v>226</v>
      </c>
      <c r="S17" s="199">
        <v>308</v>
      </c>
      <c r="T17" s="199">
        <v>226</v>
      </c>
      <c r="U17" s="211"/>
      <c r="V17" s="211"/>
      <c r="W17" s="211"/>
      <c r="X17" s="211"/>
    </row>
    <row r="18" spans="1:24" ht="15" thickBot="1" x14ac:dyDescent="0.35">
      <c r="A18" s="39">
        <v>562.39</v>
      </c>
      <c r="B18" s="40" t="s">
        <v>53</v>
      </c>
      <c r="C18" s="15">
        <v>54874</v>
      </c>
      <c r="D18" s="14">
        <f t="shared" si="2"/>
        <v>54874</v>
      </c>
      <c r="E18" s="231"/>
      <c r="F18" s="257">
        <v>11956</v>
      </c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>
        <v>38186</v>
      </c>
      <c r="P18" s="217"/>
      <c r="Q18" s="214">
        <f t="shared" si="1"/>
        <v>38186</v>
      </c>
      <c r="R18" s="231">
        <v>4732</v>
      </c>
      <c r="S18" s="199">
        <v>308</v>
      </c>
      <c r="T18" s="199">
        <v>4732</v>
      </c>
      <c r="U18" s="211"/>
      <c r="V18" s="211"/>
      <c r="W18" s="211"/>
      <c r="X18" s="211"/>
    </row>
    <row r="19" spans="1:24" ht="15" thickBot="1" x14ac:dyDescent="0.35">
      <c r="A19" s="39">
        <v>562.41</v>
      </c>
      <c r="B19" s="40" t="s">
        <v>54</v>
      </c>
      <c r="C19" s="15">
        <v>14</v>
      </c>
      <c r="D19" s="14">
        <f t="shared" si="2"/>
        <v>14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>
        <v>14</v>
      </c>
      <c r="S19" s="199">
        <v>308</v>
      </c>
      <c r="T19" s="199">
        <v>14</v>
      </c>
      <c r="U19" s="211"/>
      <c r="V19" s="211"/>
      <c r="W19" s="211"/>
      <c r="X19" s="211"/>
    </row>
    <row r="20" spans="1:24" ht="15" thickBot="1" x14ac:dyDescent="0.35">
      <c r="A20" s="39">
        <v>562.41999999999996</v>
      </c>
      <c r="B20" s="40" t="s">
        <v>55</v>
      </c>
      <c r="C20" s="15">
        <v>0</v>
      </c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  <c r="W20" s="211"/>
      <c r="X20" s="211"/>
    </row>
    <row r="21" spans="1:24" ht="15" thickBot="1" x14ac:dyDescent="0.35">
      <c r="A21" s="39">
        <v>562.42999999999995</v>
      </c>
      <c r="B21" s="82" t="s">
        <v>96</v>
      </c>
      <c r="C21" s="15">
        <v>7332</v>
      </c>
      <c r="D21" s="14">
        <f t="shared" si="2"/>
        <v>7332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>
        <f>6282+1050</f>
        <v>7332</v>
      </c>
      <c r="S21" s="199">
        <v>367</v>
      </c>
      <c r="T21" s="199">
        <v>6282</v>
      </c>
      <c r="U21" s="211">
        <v>308</v>
      </c>
      <c r="V21" s="211">
        <v>1050</v>
      </c>
      <c r="W21" s="211"/>
      <c r="X21" s="211"/>
    </row>
    <row r="22" spans="1:24" ht="15" thickBot="1" x14ac:dyDescent="0.35">
      <c r="A22" s="39">
        <v>562.44000000000005</v>
      </c>
      <c r="B22" s="82" t="s">
        <v>97</v>
      </c>
      <c r="C22" s="15">
        <v>2776</v>
      </c>
      <c r="D22" s="14">
        <f t="shared" si="2"/>
        <v>2776</v>
      </c>
      <c r="E22" s="231"/>
      <c r="F22" s="257">
        <v>605</v>
      </c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>
        <v>1932</v>
      </c>
      <c r="P22" s="217"/>
      <c r="Q22" s="214">
        <f t="shared" si="1"/>
        <v>1932</v>
      </c>
      <c r="R22" s="231">
        <v>239</v>
      </c>
      <c r="S22" s="199">
        <v>308</v>
      </c>
      <c r="T22" s="199">
        <v>239</v>
      </c>
      <c r="U22" s="211"/>
      <c r="V22" s="211"/>
      <c r="W22" s="211"/>
      <c r="X22" s="211"/>
    </row>
    <row r="23" spans="1:24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  <c r="W23" s="211"/>
      <c r="X23" s="211"/>
    </row>
    <row r="24" spans="1:24" ht="15" thickBot="1" x14ac:dyDescent="0.35">
      <c r="A24" s="39">
        <v>562.49</v>
      </c>
      <c r="B24" s="82" t="s">
        <v>87</v>
      </c>
      <c r="C24" s="15">
        <v>16170</v>
      </c>
      <c r="D24" s="14">
        <f t="shared" si="2"/>
        <v>16170</v>
      </c>
      <c r="E24" s="231"/>
      <c r="F24" s="257">
        <v>3523</v>
      </c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>
        <v>11252</v>
      </c>
      <c r="P24" s="217"/>
      <c r="Q24" s="214">
        <f t="shared" si="1"/>
        <v>11252</v>
      </c>
      <c r="R24" s="231">
        <v>1395</v>
      </c>
      <c r="S24" s="199">
        <v>308</v>
      </c>
      <c r="T24" s="199">
        <v>1395</v>
      </c>
      <c r="U24" s="211"/>
      <c r="V24" s="211"/>
      <c r="W24" s="211"/>
      <c r="X24" s="211"/>
    </row>
    <row r="25" spans="1:24" ht="15" thickBot="1" x14ac:dyDescent="0.35">
      <c r="A25" s="39">
        <v>562.52</v>
      </c>
      <c r="B25" s="40" t="s">
        <v>56</v>
      </c>
      <c r="C25" s="15">
        <v>26934</v>
      </c>
      <c r="D25" s="14">
        <f t="shared" si="2"/>
        <v>26934</v>
      </c>
      <c r="E25" s="231"/>
      <c r="F25" s="257">
        <v>2840</v>
      </c>
      <c r="G25" s="228"/>
      <c r="H25" s="231"/>
      <c r="I25" s="219"/>
      <c r="J25" s="217"/>
      <c r="K25" s="217"/>
      <c r="L25" s="217"/>
      <c r="M25" s="9">
        <f t="shared" si="0"/>
        <v>0</v>
      </c>
      <c r="N25" s="217"/>
      <c r="O25" s="217">
        <f>3450+3450+5250+1750+9070</f>
        <v>22970</v>
      </c>
      <c r="P25" s="217"/>
      <c r="Q25" s="214">
        <f t="shared" si="1"/>
        <v>22970</v>
      </c>
      <c r="R25" s="231">
        <v>1124</v>
      </c>
      <c r="S25" s="199">
        <v>308</v>
      </c>
      <c r="T25" s="199">
        <v>1124</v>
      </c>
      <c r="U25" s="211"/>
      <c r="V25" s="211"/>
      <c r="W25" s="211"/>
      <c r="X25" s="211"/>
    </row>
    <row r="26" spans="1:24" ht="15" thickBot="1" x14ac:dyDescent="0.35">
      <c r="A26" s="39">
        <v>562.53</v>
      </c>
      <c r="B26" s="82" t="s">
        <v>99</v>
      </c>
      <c r="C26" s="15">
        <v>61248</v>
      </c>
      <c r="D26" s="14">
        <f t="shared" si="2"/>
        <v>61248</v>
      </c>
      <c r="E26" s="231"/>
      <c r="F26" s="257">
        <v>6719</v>
      </c>
      <c r="G26" s="228">
        <v>28062</v>
      </c>
      <c r="H26" s="231"/>
      <c r="I26" s="219"/>
      <c r="J26" s="217"/>
      <c r="K26" s="217"/>
      <c r="L26" s="217"/>
      <c r="M26" s="9">
        <f t="shared" si="0"/>
        <v>0</v>
      </c>
      <c r="N26" s="217">
        <v>1000</v>
      </c>
      <c r="O26" s="217">
        <f>1350+21458</f>
        <v>22808</v>
      </c>
      <c r="P26" s="217"/>
      <c r="Q26" s="214">
        <f t="shared" si="1"/>
        <v>23808</v>
      </c>
      <c r="R26" s="231">
        <v>2659</v>
      </c>
      <c r="S26" s="199">
        <v>308</v>
      </c>
      <c r="T26" s="199">
        <v>2659</v>
      </c>
      <c r="U26" s="211"/>
      <c r="V26" s="211"/>
      <c r="W26" s="211"/>
      <c r="X26" s="211"/>
    </row>
    <row r="27" spans="1:24" ht="15" thickBot="1" x14ac:dyDescent="0.35">
      <c r="A27" s="39">
        <v>562.54</v>
      </c>
      <c r="B27" s="82" t="s">
        <v>100</v>
      </c>
      <c r="C27" s="15">
        <v>395160</v>
      </c>
      <c r="D27" s="14">
        <f t="shared" si="2"/>
        <v>395160</v>
      </c>
      <c r="E27" s="231"/>
      <c r="F27" s="257">
        <v>53873</v>
      </c>
      <c r="G27" s="228">
        <v>1237</v>
      </c>
      <c r="H27" s="231"/>
      <c r="I27" s="219"/>
      <c r="J27" s="217"/>
      <c r="K27" s="217"/>
      <c r="L27" s="217"/>
      <c r="M27" s="9">
        <f t="shared" si="0"/>
        <v>0</v>
      </c>
      <c r="N27" s="217">
        <f>6342+130679</f>
        <v>137021</v>
      </c>
      <c r="O27" s="217">
        <f>9645+172061</f>
        <v>181706</v>
      </c>
      <c r="P27" s="217"/>
      <c r="Q27" s="214">
        <f t="shared" si="1"/>
        <v>318727</v>
      </c>
      <c r="R27" s="231">
        <v>21323</v>
      </c>
      <c r="S27" s="199">
        <v>308</v>
      </c>
      <c r="T27" s="199">
        <v>21323</v>
      </c>
      <c r="U27" s="211"/>
      <c r="V27" s="211"/>
      <c r="W27" s="211"/>
      <c r="X27" s="211"/>
    </row>
    <row r="28" spans="1:24" ht="15" thickBot="1" x14ac:dyDescent="0.35">
      <c r="A28" s="39">
        <v>562.54999999999995</v>
      </c>
      <c r="B28" s="40" t="s">
        <v>57</v>
      </c>
      <c r="C28" s="15"/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  <c r="T28" s="199"/>
      <c r="U28" s="211"/>
      <c r="V28" s="211"/>
      <c r="W28" s="211"/>
      <c r="X28" s="211"/>
    </row>
    <row r="29" spans="1:24" ht="15" thickBot="1" x14ac:dyDescent="0.35">
      <c r="A29" s="39">
        <v>562.55999999999995</v>
      </c>
      <c r="B29" s="40" t="s">
        <v>58</v>
      </c>
      <c r="C29" s="15">
        <v>158909</v>
      </c>
      <c r="D29" s="14">
        <f t="shared" si="2"/>
        <v>158909</v>
      </c>
      <c r="E29" s="231"/>
      <c r="F29" s="257">
        <v>18496</v>
      </c>
      <c r="G29" s="228"/>
      <c r="H29" s="231"/>
      <c r="I29" s="219"/>
      <c r="J29" s="217"/>
      <c r="K29" s="217"/>
      <c r="L29" s="217"/>
      <c r="M29" s="9">
        <f t="shared" si="0"/>
        <v>0</v>
      </c>
      <c r="N29" s="217">
        <v>73267</v>
      </c>
      <c r="O29" s="217">
        <f>750+59074</f>
        <v>59824</v>
      </c>
      <c r="P29" s="217"/>
      <c r="Q29" s="214">
        <f t="shared" si="1"/>
        <v>133091</v>
      </c>
      <c r="R29" s="231">
        <v>7322</v>
      </c>
      <c r="S29" s="199">
        <v>308</v>
      </c>
      <c r="T29" s="199">
        <v>7322</v>
      </c>
      <c r="U29" s="211"/>
      <c r="V29" s="211"/>
      <c r="W29" s="211"/>
      <c r="X29" s="211"/>
    </row>
    <row r="30" spans="1:24" ht="15" thickBot="1" x14ac:dyDescent="0.35">
      <c r="A30" s="39">
        <v>562.57000000000005</v>
      </c>
      <c r="B30" s="82" t="s">
        <v>101</v>
      </c>
      <c r="C30" s="15">
        <v>15320</v>
      </c>
      <c r="D30" s="14">
        <f t="shared" si="2"/>
        <v>15320</v>
      </c>
      <c r="E30" s="231"/>
      <c r="F30" s="257">
        <v>466</v>
      </c>
      <c r="G30" s="228">
        <v>13182</v>
      </c>
      <c r="H30" s="231"/>
      <c r="I30" s="219"/>
      <c r="J30" s="217"/>
      <c r="K30" s="217"/>
      <c r="L30" s="217"/>
      <c r="M30" s="9">
        <f t="shared" si="0"/>
        <v>0</v>
      </c>
      <c r="N30" s="217"/>
      <c r="O30" s="217">
        <v>1488</v>
      </c>
      <c r="P30" s="217"/>
      <c r="Q30" s="214">
        <f t="shared" si="1"/>
        <v>1488</v>
      </c>
      <c r="R30" s="231">
        <v>184</v>
      </c>
      <c r="S30" s="199">
        <v>308</v>
      </c>
      <c r="T30" s="199">
        <v>184</v>
      </c>
      <c r="U30" s="211"/>
      <c r="V30" s="211"/>
      <c r="W30" s="211"/>
      <c r="X30" s="211"/>
    </row>
    <row r="31" spans="1:24" ht="15" thickBot="1" x14ac:dyDescent="0.35">
      <c r="A31" s="39">
        <v>562.58000000000004</v>
      </c>
      <c r="B31" s="82" t="s">
        <v>88</v>
      </c>
      <c r="C31" s="15">
        <v>15634</v>
      </c>
      <c r="D31" s="14">
        <f t="shared" si="2"/>
        <v>15634</v>
      </c>
      <c r="E31" s="231"/>
      <c r="F31" s="257">
        <v>2754</v>
      </c>
      <c r="G31" s="228"/>
      <c r="H31" s="231"/>
      <c r="I31" s="219"/>
      <c r="J31" s="217"/>
      <c r="K31" s="217"/>
      <c r="L31" s="217"/>
      <c r="M31" s="9">
        <f t="shared" si="0"/>
        <v>0</v>
      </c>
      <c r="N31" s="217"/>
      <c r="O31" s="217">
        <f>2992+8797</f>
        <v>11789</v>
      </c>
      <c r="P31" s="217"/>
      <c r="Q31" s="214">
        <f t="shared" si="1"/>
        <v>11789</v>
      </c>
      <c r="R31" s="231">
        <v>1091</v>
      </c>
      <c r="S31" s="199">
        <v>308</v>
      </c>
      <c r="T31" s="199">
        <v>1091</v>
      </c>
      <c r="U31" s="211"/>
      <c r="V31" s="211"/>
      <c r="W31" s="211"/>
      <c r="X31" s="211"/>
    </row>
    <row r="32" spans="1:24" ht="15" thickBot="1" x14ac:dyDescent="0.35">
      <c r="A32" s="39">
        <v>562.59</v>
      </c>
      <c r="B32" s="82" t="s">
        <v>89</v>
      </c>
      <c r="C32" s="15">
        <v>1714</v>
      </c>
      <c r="D32" s="14">
        <f t="shared" si="2"/>
        <v>1714</v>
      </c>
      <c r="E32" s="231"/>
      <c r="F32" s="257"/>
      <c r="G32" s="228"/>
      <c r="H32" s="231">
        <v>373</v>
      </c>
      <c r="I32" s="219"/>
      <c r="J32" s="247"/>
      <c r="K32" s="247"/>
      <c r="L32" s="247"/>
      <c r="M32" s="9">
        <f t="shared" si="0"/>
        <v>0</v>
      </c>
      <c r="N32" s="247"/>
      <c r="O32" s="247">
        <v>1193</v>
      </c>
      <c r="P32" s="247"/>
      <c r="Q32" s="214">
        <f t="shared" si="1"/>
        <v>1193</v>
      </c>
      <c r="R32" s="231">
        <v>148</v>
      </c>
      <c r="S32" s="199">
        <v>308</v>
      </c>
      <c r="T32" s="199">
        <v>148</v>
      </c>
      <c r="U32" s="211"/>
      <c r="V32" s="211"/>
      <c r="W32" s="211"/>
      <c r="X32" s="211"/>
    </row>
    <row r="33" spans="1:24" ht="15" thickBot="1" x14ac:dyDescent="0.35">
      <c r="A33" s="39">
        <v>562.6</v>
      </c>
      <c r="B33" s="40" t="s">
        <v>59</v>
      </c>
      <c r="C33" s="15">
        <v>7266</v>
      </c>
      <c r="D33" s="14">
        <f t="shared" si="2"/>
        <v>7266</v>
      </c>
      <c r="E33" s="231"/>
      <c r="F33" s="257">
        <v>924</v>
      </c>
      <c r="G33" s="228"/>
      <c r="H33" s="231"/>
      <c r="I33" s="219"/>
      <c r="J33" s="217"/>
      <c r="K33" s="217"/>
      <c r="L33" s="217"/>
      <c r="M33" s="9">
        <f t="shared" si="0"/>
        <v>0</v>
      </c>
      <c r="N33" s="217">
        <v>3025</v>
      </c>
      <c r="O33" s="217">
        <v>2951</v>
      </c>
      <c r="P33" s="217"/>
      <c r="Q33" s="214">
        <f t="shared" si="1"/>
        <v>5976</v>
      </c>
      <c r="R33" s="231">
        <v>366</v>
      </c>
      <c r="S33" s="199">
        <v>308</v>
      </c>
      <c r="T33" s="199">
        <v>366</v>
      </c>
      <c r="U33" s="211"/>
      <c r="V33" s="211"/>
      <c r="W33" s="211"/>
      <c r="X33" s="211"/>
    </row>
    <row r="34" spans="1:24" ht="15" thickBot="1" x14ac:dyDescent="0.35">
      <c r="A34" s="39">
        <v>562.71</v>
      </c>
      <c r="B34" s="40" t="s">
        <v>60</v>
      </c>
      <c r="C34" s="15">
        <v>26681</v>
      </c>
      <c r="D34" s="14">
        <f t="shared" si="2"/>
        <v>26681</v>
      </c>
      <c r="E34" s="231"/>
      <c r="F34" s="257">
        <v>1829</v>
      </c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f>18285+5843</f>
        <v>24128</v>
      </c>
      <c r="P34" s="217"/>
      <c r="Q34" s="214">
        <f t="shared" si="1"/>
        <v>24128</v>
      </c>
      <c r="R34" s="231">
        <v>724</v>
      </c>
      <c r="S34" s="199">
        <v>308</v>
      </c>
      <c r="T34" s="199">
        <v>724</v>
      </c>
      <c r="U34" s="211"/>
      <c r="V34" s="211"/>
      <c r="W34" s="211"/>
      <c r="X34" s="211"/>
    </row>
    <row r="35" spans="1:24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T35" s="199"/>
      <c r="U35" s="211"/>
      <c r="V35" s="211"/>
      <c r="W35" s="211"/>
      <c r="X35" s="211"/>
    </row>
    <row r="36" spans="1:24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  <c r="T36" s="199"/>
      <c r="U36" s="211"/>
      <c r="V36" s="211"/>
      <c r="W36" s="211"/>
      <c r="X36" s="211"/>
    </row>
    <row r="37" spans="1:24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  <c r="U37" s="211"/>
      <c r="V37" s="211"/>
      <c r="W37" s="211"/>
      <c r="X37" s="211"/>
    </row>
    <row r="38" spans="1:24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  <c r="W38" s="211"/>
      <c r="X38" s="211"/>
    </row>
    <row r="39" spans="1:24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  <c r="W39" s="211"/>
      <c r="X39" s="211"/>
    </row>
    <row r="40" spans="1:24" ht="15" thickBot="1" x14ac:dyDescent="0.35">
      <c r="A40" s="39">
        <v>562.79999999999995</v>
      </c>
      <c r="B40" s="40" t="s">
        <v>65</v>
      </c>
      <c r="C40" s="15">
        <v>32963</v>
      </c>
      <c r="D40" s="14">
        <f t="shared" si="2"/>
        <v>32963</v>
      </c>
      <c r="E40" s="231"/>
      <c r="F40" s="257">
        <v>7182</v>
      </c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>
        <v>22938</v>
      </c>
      <c r="P40" s="217"/>
      <c r="Q40" s="214">
        <f t="shared" si="1"/>
        <v>22938</v>
      </c>
      <c r="R40" s="231">
        <v>2843</v>
      </c>
      <c r="S40" s="199">
        <v>308</v>
      </c>
      <c r="T40" s="199">
        <v>2843</v>
      </c>
      <c r="U40" s="211"/>
      <c r="V40" s="211"/>
      <c r="W40" s="211"/>
      <c r="X40" s="211"/>
    </row>
    <row r="41" spans="1:24" ht="15" thickBot="1" x14ac:dyDescent="0.35">
      <c r="A41" s="39">
        <v>562.88</v>
      </c>
      <c r="B41" s="82" t="s">
        <v>91</v>
      </c>
      <c r="C41" s="15">
        <v>58834</v>
      </c>
      <c r="D41" s="14">
        <f t="shared" si="2"/>
        <v>58834</v>
      </c>
      <c r="E41" s="231"/>
      <c r="F41" s="257">
        <v>2617</v>
      </c>
      <c r="G41" s="228"/>
      <c r="H41" s="231">
        <v>46823</v>
      </c>
      <c r="I41" s="219"/>
      <c r="J41" s="217"/>
      <c r="K41" s="217"/>
      <c r="L41" s="217"/>
      <c r="M41" s="9">
        <f t="shared" si="0"/>
        <v>0</v>
      </c>
      <c r="N41" s="217"/>
      <c r="O41" s="217">
        <v>8358</v>
      </c>
      <c r="P41" s="217"/>
      <c r="Q41" s="214">
        <f t="shared" si="1"/>
        <v>8358</v>
      </c>
      <c r="R41" s="231">
        <v>1036</v>
      </c>
      <c r="S41" s="199">
        <v>308</v>
      </c>
      <c r="T41" s="199">
        <v>1036</v>
      </c>
      <c r="U41" s="211"/>
      <c r="V41" s="211"/>
      <c r="W41" s="211"/>
      <c r="X41" s="211"/>
    </row>
    <row r="42" spans="1:24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T42" s="199"/>
      <c r="U42" s="211"/>
      <c r="V42" s="211"/>
      <c r="W42" s="211"/>
      <c r="X42" s="211"/>
    </row>
    <row r="43" spans="1:24" x14ac:dyDescent="0.3">
      <c r="A43" s="41">
        <v>562.99</v>
      </c>
      <c r="B43" s="32" t="s">
        <v>67</v>
      </c>
      <c r="C43" s="18">
        <v>22323</v>
      </c>
      <c r="D43" s="20">
        <f t="shared" si="2"/>
        <v>22323</v>
      </c>
      <c r="E43" s="232"/>
      <c r="F43" s="258">
        <v>4864</v>
      </c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>
        <v>15534</v>
      </c>
      <c r="P43" s="244"/>
      <c r="Q43" s="215">
        <f t="shared" si="1"/>
        <v>15534</v>
      </c>
      <c r="R43" s="232">
        <v>1925</v>
      </c>
      <c r="S43" s="199">
        <v>308</v>
      </c>
      <c r="T43" s="199">
        <v>1925</v>
      </c>
      <c r="U43" s="211"/>
      <c r="V43" s="211"/>
      <c r="W43" s="211"/>
      <c r="X43" s="211"/>
    </row>
    <row r="44" spans="1:24" x14ac:dyDescent="0.3">
      <c r="A44" s="206" t="s">
        <v>110</v>
      </c>
      <c r="B44" s="207" t="s">
        <v>68</v>
      </c>
      <c r="C44" s="208">
        <f>SUM(C5:C43)</f>
        <v>2112428</v>
      </c>
      <c r="D44" s="205">
        <f>E44+F44+G44+H44+I44+M44+Q44+R44</f>
        <v>2112428</v>
      </c>
      <c r="E44" s="233">
        <f t="shared" ref="E44:R44" si="3">SUM(E5:E43)</f>
        <v>66204</v>
      </c>
      <c r="F44" s="259">
        <f t="shared" si="3"/>
        <v>248929</v>
      </c>
      <c r="G44" s="223">
        <f t="shared" si="3"/>
        <v>48788</v>
      </c>
      <c r="H44" s="233">
        <f t="shared" si="3"/>
        <v>430903</v>
      </c>
      <c r="I44" s="239">
        <f t="shared" si="3"/>
        <v>63549</v>
      </c>
      <c r="J44" s="245">
        <f>SUM(J5:J43)</f>
        <v>0</v>
      </c>
      <c r="K44" s="245">
        <f>SUM(K5:K43)</f>
        <v>0</v>
      </c>
      <c r="L44" s="245">
        <f>SUM(L5:L43)</f>
        <v>0</v>
      </c>
      <c r="M44" s="208">
        <f t="shared" si="3"/>
        <v>0</v>
      </c>
      <c r="N44" s="245">
        <f>SUM(N5:N43)</f>
        <v>214313</v>
      </c>
      <c r="O44" s="245">
        <f>SUM(O5:O43)</f>
        <v>923246</v>
      </c>
      <c r="P44" s="245">
        <f>SUM(P5:P43)</f>
        <v>0</v>
      </c>
      <c r="Q44" s="216">
        <f t="shared" si="3"/>
        <v>1137559</v>
      </c>
      <c r="R44" s="233">
        <f t="shared" si="3"/>
        <v>116496</v>
      </c>
      <c r="T44" s="199"/>
      <c r="U44" s="211"/>
      <c r="V44" s="211"/>
      <c r="W44" s="211"/>
      <c r="X44" s="211"/>
    </row>
    <row r="45" spans="1:24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  <c r="W45" s="211"/>
      <c r="X45" s="211"/>
    </row>
    <row r="46" spans="1:24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  <c r="W46" s="211"/>
      <c r="X46" s="211"/>
    </row>
    <row r="47" spans="1:24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T47" s="199"/>
      <c r="U47" s="211"/>
      <c r="V47" s="211"/>
      <c r="W47" s="211"/>
      <c r="X47" s="211"/>
    </row>
    <row r="48" spans="1:24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  <c r="W48" s="211"/>
      <c r="X48" s="211"/>
    </row>
    <row r="49" spans="1:24" ht="15" thickBot="1" x14ac:dyDescent="0.35">
      <c r="A49" s="39">
        <v>554</v>
      </c>
      <c r="B49" s="82" t="s">
        <v>102</v>
      </c>
      <c r="C49" s="15">
        <v>30440</v>
      </c>
      <c r="D49" s="14">
        <f t="shared" si="2"/>
        <v>30440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>
        <f>18202+12238</f>
        <v>30440</v>
      </c>
      <c r="P49" s="217"/>
      <c r="Q49" s="214">
        <f t="shared" si="1"/>
        <v>30440</v>
      </c>
      <c r="R49" s="231"/>
      <c r="T49" s="199"/>
      <c r="U49" s="211"/>
      <c r="V49" s="211"/>
      <c r="W49" s="211"/>
      <c r="X49" s="211"/>
    </row>
    <row r="50" spans="1:24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  <c r="W50" s="211"/>
      <c r="X50" s="211"/>
    </row>
    <row r="51" spans="1:24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  <c r="W51" s="211"/>
      <c r="X51" s="211"/>
    </row>
    <row r="52" spans="1:24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  <c r="W52" s="211"/>
      <c r="X52" s="211"/>
    </row>
    <row r="53" spans="1:24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  <c r="T53" s="199"/>
      <c r="U53" s="211"/>
      <c r="V53" s="211"/>
      <c r="W53" s="211"/>
      <c r="X53" s="211"/>
    </row>
    <row r="54" spans="1:24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  <c r="U54" s="211"/>
      <c r="V54" s="211"/>
      <c r="W54" s="211"/>
      <c r="X54" s="211"/>
    </row>
    <row r="55" spans="1:24" x14ac:dyDescent="0.3">
      <c r="A55" s="41">
        <v>500</v>
      </c>
      <c r="B55" s="32" t="s">
        <v>118</v>
      </c>
      <c r="C55" s="18">
        <v>127892</v>
      </c>
      <c r="D55" s="20">
        <f t="shared" si="2"/>
        <v>127892</v>
      </c>
      <c r="E55" s="232"/>
      <c r="F55" s="258"/>
      <c r="G55" s="229">
        <v>2501</v>
      </c>
      <c r="H55" s="232">
        <v>125391</v>
      </c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T55" s="199"/>
      <c r="U55" s="211"/>
      <c r="V55" s="211"/>
      <c r="W55" s="211"/>
      <c r="X55" s="211"/>
    </row>
    <row r="56" spans="1:24" ht="15" thickBot="1" x14ac:dyDescent="0.35">
      <c r="A56" s="107"/>
      <c r="B56" s="108" t="s">
        <v>80</v>
      </c>
      <c r="C56" s="111">
        <f>SUM(C44:C55)</f>
        <v>2270760</v>
      </c>
      <c r="D56" s="110">
        <f>E56+F56+G56+H56+I56+M56+Q56+R56</f>
        <v>2270760</v>
      </c>
      <c r="E56" s="235">
        <f t="shared" ref="E56:R56" si="4">SUM(E44:E55)</f>
        <v>66204</v>
      </c>
      <c r="F56" s="260">
        <f t="shared" si="4"/>
        <v>248929</v>
      </c>
      <c r="G56" s="225">
        <f t="shared" si="4"/>
        <v>51289</v>
      </c>
      <c r="H56" s="235">
        <f t="shared" si="4"/>
        <v>556294</v>
      </c>
      <c r="I56" s="240">
        <f t="shared" si="4"/>
        <v>63549</v>
      </c>
      <c r="J56" s="218">
        <f>SUM(J44:J55)</f>
        <v>0</v>
      </c>
      <c r="K56" s="218">
        <f>SUM(K44:K55)</f>
        <v>0</v>
      </c>
      <c r="L56" s="218">
        <f>SUM(L44:L55)</f>
        <v>0</v>
      </c>
      <c r="M56" s="209">
        <f t="shared" si="4"/>
        <v>0</v>
      </c>
      <c r="N56" s="218">
        <f>SUM(N44:N55)</f>
        <v>214313</v>
      </c>
      <c r="O56" s="218">
        <f>SUM(O44:O55)</f>
        <v>953686</v>
      </c>
      <c r="P56" s="218">
        <f>SUM(P44:P55)</f>
        <v>0</v>
      </c>
      <c r="Q56" s="218">
        <f t="shared" si="4"/>
        <v>1167999</v>
      </c>
      <c r="R56" s="235">
        <f t="shared" si="4"/>
        <v>116496</v>
      </c>
    </row>
    <row r="57" spans="1:24" ht="15" thickTop="1" x14ac:dyDescent="0.3"/>
    <row r="58" spans="1:24" ht="15" thickBot="1" x14ac:dyDescent="0.35"/>
    <row r="59" spans="1:24" ht="15" thickBot="1" x14ac:dyDescent="0.35">
      <c r="B59" s="42" t="s">
        <v>109</v>
      </c>
      <c r="C59" s="43"/>
      <c r="D59" s="44"/>
    </row>
    <row r="60" spans="1:24" ht="15" thickTop="1" x14ac:dyDescent="0.3">
      <c r="B60" s="115"/>
      <c r="C60" s="116" t="s">
        <v>82</v>
      </c>
      <c r="D60" s="117" t="s">
        <v>78</v>
      </c>
    </row>
    <row r="61" spans="1:24" x14ac:dyDescent="0.3">
      <c r="B61" s="153" t="s">
        <v>108</v>
      </c>
      <c r="C61" s="45"/>
      <c r="D61" s="46"/>
    </row>
    <row r="62" spans="1:24" x14ac:dyDescent="0.3">
      <c r="B62" s="26" t="s">
        <v>3</v>
      </c>
      <c r="C62" s="47">
        <f>E56</f>
        <v>66204</v>
      </c>
      <c r="D62" s="48">
        <f>E56/D56</f>
        <v>2.9154996565026688E-2</v>
      </c>
    </row>
    <row r="63" spans="1:24" x14ac:dyDescent="0.3">
      <c r="B63" s="26" t="s">
        <v>4</v>
      </c>
      <c r="C63" s="49">
        <f>F56</f>
        <v>248929</v>
      </c>
      <c r="D63" s="48">
        <f>F56/D56</f>
        <v>0.1096236502316405</v>
      </c>
    </row>
    <row r="64" spans="1:24" x14ac:dyDescent="0.3">
      <c r="B64" s="56" t="s">
        <v>79</v>
      </c>
      <c r="C64" s="50">
        <f>G56</f>
        <v>51289</v>
      </c>
      <c r="D64" s="51">
        <f>G56/D56</f>
        <v>2.2586711057091018E-2</v>
      </c>
    </row>
    <row r="65" spans="2:4" ht="15" thickBot="1" x14ac:dyDescent="0.35">
      <c r="B65" s="146" t="s">
        <v>115</v>
      </c>
      <c r="C65" s="52">
        <f>SUM(C62:C64)</f>
        <v>366422</v>
      </c>
      <c r="D65" s="53">
        <f>SUM(D62:D64)</f>
        <v>0.16136535785375819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556294</v>
      </c>
      <c r="D67" s="25">
        <f>H56/D56</f>
        <v>0.24498141591361483</v>
      </c>
    </row>
    <row r="68" spans="2:4" x14ac:dyDescent="0.3">
      <c r="B68" s="57" t="s">
        <v>7</v>
      </c>
      <c r="C68" s="27">
        <f>I56</f>
        <v>63549</v>
      </c>
      <c r="D68" s="28">
        <f>I56/D56</f>
        <v>2.7985784495058924E-2</v>
      </c>
    </row>
    <row r="69" spans="2:4" ht="15" thickBot="1" x14ac:dyDescent="0.35">
      <c r="B69" s="146" t="s">
        <v>116</v>
      </c>
      <c r="C69" s="52">
        <f>SUM(C67:C68)</f>
        <v>619843</v>
      </c>
      <c r="D69" s="53">
        <f>SUM(D67:D68)</f>
        <v>0.27296720040867373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0</v>
      </c>
      <c r="D71" s="25">
        <f>M56/D56</f>
        <v>0</v>
      </c>
    </row>
    <row r="72" spans="2:4" x14ac:dyDescent="0.3">
      <c r="B72" s="24" t="s">
        <v>8</v>
      </c>
      <c r="C72" s="23">
        <f>Q56</f>
        <v>1167999</v>
      </c>
      <c r="D72" s="25">
        <f>Q56/D56</f>
        <v>0.51436479416582992</v>
      </c>
    </row>
    <row r="73" spans="2:4" x14ac:dyDescent="0.3">
      <c r="B73" s="163" t="s">
        <v>83</v>
      </c>
      <c r="C73" s="27">
        <f>R56</f>
        <v>116496</v>
      </c>
      <c r="D73" s="28">
        <f>R56/D56</f>
        <v>5.1302647571738094E-2</v>
      </c>
    </row>
    <row r="74" spans="2:4" ht="15" thickBot="1" x14ac:dyDescent="0.35">
      <c r="B74" s="146" t="s">
        <v>117</v>
      </c>
      <c r="C74" s="52">
        <f>SUM(C71:C73)</f>
        <v>1284495</v>
      </c>
      <c r="D74" s="53">
        <f>SUM(D71:D73)</f>
        <v>0.565667441737568</v>
      </c>
    </row>
    <row r="75" spans="2:4" ht="15" thickBot="1" x14ac:dyDescent="0.35">
      <c r="B75" s="157" t="s">
        <v>80</v>
      </c>
      <c r="C75" s="158">
        <f>C65+C69+C74</f>
        <v>2270760</v>
      </c>
      <c r="D75" s="159">
        <f>D65+D69+D74</f>
        <v>0.99999999999999989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44:M44 Q44:R55 A5:R43">
    <cfRule type="expression" dxfId="95" priority="7">
      <formula>ROW()=EVEN(ROW())</formula>
    </cfRule>
  </conditionalFormatting>
  <conditionalFormatting sqref="A55:B55">
    <cfRule type="expression" dxfId="94" priority="5">
      <formula>ROW()=EVEN(ROW())</formula>
    </cfRule>
  </conditionalFormatting>
  <conditionalFormatting sqref="A54:B54">
    <cfRule type="expression" dxfId="93" priority="4">
      <formula>ROW()=EVEN(ROW())</formula>
    </cfRule>
  </conditionalFormatting>
  <conditionalFormatting sqref="M45:M55">
    <cfRule type="expression" dxfId="92" priority="3">
      <formula>ROW()=EVEN(ROW())</formula>
    </cfRule>
  </conditionalFormatting>
  <conditionalFormatting sqref="D45:D55">
    <cfRule type="expression" dxfId="91" priority="2">
      <formula>ROW()=EVEN(ROW())</formula>
    </cfRule>
  </conditionalFormatting>
  <conditionalFormatting sqref="N44:P55">
    <cfRule type="expression" dxfId="90" priority="1">
      <formula>ROW()=EVEN(ROW())</formula>
    </cfRule>
  </conditionalFormatting>
  <printOptions horizontalCentered="1"/>
  <pageMargins left="0" right="0" top="1.1000000000000001" bottom="0.5" header="0.3" footer="0.3"/>
  <pageSetup scale="59" fitToHeight="0" orientation="landscape" r:id="rId1"/>
  <headerFooter>
    <oddHeader>&amp;C&amp;"-,Bold"&amp;20Funding by Expenditure Code and Revenue Source&amp;"-,Regular"&amp;11
&amp;"-,Bold"&amp;20 2014&amp;"-,Regular"&amp;11
&amp;"-,Bold"&amp;20NORTHEAST TRI-COUNTY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88"/>
  <sheetViews>
    <sheetView showZeros="0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2" x14ac:dyDescent="0.3">
      <c r="A1" s="22" t="s">
        <v>150</v>
      </c>
      <c r="B1" s="6"/>
      <c r="C1" s="31">
        <v>41700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2" x14ac:dyDescent="0.3">
      <c r="A2" s="80" t="s">
        <v>44</v>
      </c>
      <c r="B2" s="5"/>
      <c r="C2" s="83">
        <v>13.17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147</v>
      </c>
    </row>
    <row r="3" spans="1:22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2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</row>
    <row r="5" spans="1:22" ht="15" thickBot="1" x14ac:dyDescent="0.35">
      <c r="A5" s="36">
        <v>562.1</v>
      </c>
      <c r="B5" s="37" t="s">
        <v>47</v>
      </c>
      <c r="C5" s="16">
        <f>67175+12232</f>
        <v>79407</v>
      </c>
      <c r="D5" s="14">
        <f>E5+F5+G5+H5+I5+M5+Q5+R5</f>
        <v>319793</v>
      </c>
      <c r="E5" s="236"/>
      <c r="F5" s="275">
        <v>84941</v>
      </c>
      <c r="G5" s="227"/>
      <c r="H5" s="236">
        <v>0</v>
      </c>
      <c r="I5" s="241"/>
      <c r="J5" s="214"/>
      <c r="K5" s="214"/>
      <c r="L5" s="214">
        <f>100000+12787</f>
        <v>112787</v>
      </c>
      <c r="M5" s="9">
        <f>SUM(J5:L5)</f>
        <v>112787</v>
      </c>
      <c r="N5" s="214"/>
      <c r="O5" s="214">
        <f>120000+290</f>
        <v>120290</v>
      </c>
      <c r="P5" s="214"/>
      <c r="Q5" s="214">
        <f>SUM(N5:P5)</f>
        <v>120290</v>
      </c>
      <c r="R5" s="236">
        <f>1800-25</f>
        <v>1775</v>
      </c>
      <c r="S5" s="199">
        <v>369.9</v>
      </c>
      <c r="T5" s="199">
        <v>1800</v>
      </c>
      <c r="U5" s="211">
        <v>369.81</v>
      </c>
      <c r="V5" s="211">
        <v>-25</v>
      </c>
    </row>
    <row r="6" spans="1:22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  <c r="U6" s="211"/>
      <c r="V6" s="211"/>
    </row>
    <row r="7" spans="1:22" ht="15" thickBot="1" x14ac:dyDescent="0.35">
      <c r="A7" s="39">
        <v>562.22</v>
      </c>
      <c r="B7" s="82" t="s">
        <v>92</v>
      </c>
      <c r="C7" s="15">
        <f>68132+2471</f>
        <v>70603</v>
      </c>
      <c r="D7" s="14">
        <f t="shared" ref="D7:D55" si="2">E7+F7+G7+H7+I7+M7+Q7+R7</f>
        <v>68221</v>
      </c>
      <c r="E7" s="231"/>
      <c r="F7" s="257"/>
      <c r="G7" s="228"/>
      <c r="H7" s="231">
        <f>65938+2283</f>
        <v>68221</v>
      </c>
      <c r="I7" s="219"/>
      <c r="J7" s="217"/>
      <c r="K7" s="217"/>
      <c r="L7" s="217"/>
      <c r="M7" s="9">
        <f t="shared" si="0"/>
        <v>0</v>
      </c>
      <c r="N7" s="217"/>
      <c r="O7" s="217"/>
      <c r="P7" s="217"/>
      <c r="Q7" s="214">
        <f t="shared" si="1"/>
        <v>0</v>
      </c>
      <c r="R7" s="231"/>
      <c r="T7" s="199"/>
      <c r="U7" s="211"/>
      <c r="V7" s="211"/>
    </row>
    <row r="8" spans="1:22" ht="15" thickBot="1" x14ac:dyDescent="0.35">
      <c r="A8" s="39">
        <v>562.24</v>
      </c>
      <c r="B8" s="40" t="s">
        <v>49</v>
      </c>
      <c r="C8" s="15">
        <v>18576</v>
      </c>
      <c r="D8" s="14">
        <f t="shared" si="2"/>
        <v>19986</v>
      </c>
      <c r="E8" s="231"/>
      <c r="F8" s="257"/>
      <c r="G8" s="228"/>
      <c r="H8" s="231"/>
      <c r="I8">
        <v>19600</v>
      </c>
      <c r="J8" s="217"/>
      <c r="K8" s="217"/>
      <c r="L8" s="217"/>
      <c r="M8" s="9">
        <f t="shared" si="0"/>
        <v>0</v>
      </c>
      <c r="N8" s="217"/>
      <c r="O8" s="217">
        <v>386</v>
      </c>
      <c r="P8" s="217"/>
      <c r="Q8" s="214">
        <f t="shared" si="1"/>
        <v>386</v>
      </c>
      <c r="R8" s="231"/>
      <c r="T8" s="199"/>
      <c r="U8" s="211"/>
      <c r="V8" s="211"/>
    </row>
    <row r="9" spans="1:22" ht="15" thickBot="1" x14ac:dyDescent="0.35">
      <c r="A9" s="39">
        <v>562.25</v>
      </c>
      <c r="B9" s="82" t="s">
        <v>93</v>
      </c>
      <c r="C9" s="15"/>
      <c r="D9" s="14">
        <f t="shared" si="2"/>
        <v>0</v>
      </c>
      <c r="E9" s="231"/>
      <c r="F9" s="257"/>
      <c r="G9" s="228"/>
      <c r="H9" s="231"/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  <c r="T9" s="199"/>
      <c r="U9" s="211"/>
      <c r="V9" s="211"/>
    </row>
    <row r="10" spans="1:22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T10" s="199"/>
      <c r="U10" s="211"/>
      <c r="V10" s="211"/>
    </row>
    <row r="11" spans="1:22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T11" s="199"/>
      <c r="U11" s="211"/>
      <c r="V11" s="211"/>
    </row>
    <row r="12" spans="1:22" ht="15" thickBot="1" x14ac:dyDescent="0.35">
      <c r="A12" s="39">
        <v>562.28</v>
      </c>
      <c r="B12" s="82" t="s">
        <v>94</v>
      </c>
      <c r="C12" s="15"/>
      <c r="D12" s="14">
        <f t="shared" si="2"/>
        <v>0</v>
      </c>
      <c r="E12" s="231"/>
      <c r="F12" s="257"/>
      <c r="G12" s="228"/>
      <c r="H12" s="231"/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  <c r="T12" s="199"/>
      <c r="U12" s="211"/>
      <c r="V12" s="211"/>
    </row>
    <row r="13" spans="1:22" ht="15" thickBot="1" x14ac:dyDescent="0.35">
      <c r="A13" s="39">
        <v>562.29</v>
      </c>
      <c r="B13" s="82" t="s">
        <v>86</v>
      </c>
      <c r="C13" s="15"/>
      <c r="D13" s="14">
        <f t="shared" si="2"/>
        <v>0</v>
      </c>
      <c r="E13" s="231"/>
      <c r="F13" s="257"/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/>
      <c r="P13" s="217"/>
      <c r="Q13" s="214">
        <f t="shared" si="1"/>
        <v>0</v>
      </c>
      <c r="R13" s="231"/>
      <c r="T13" s="199"/>
      <c r="U13" s="211"/>
      <c r="V13" s="211"/>
    </row>
    <row r="14" spans="1:22" ht="15" thickBot="1" x14ac:dyDescent="0.35">
      <c r="A14" s="39">
        <v>562.32000000000005</v>
      </c>
      <c r="B14" s="40" t="s">
        <v>50</v>
      </c>
      <c r="C14" s="15">
        <v>39310</v>
      </c>
      <c r="D14" s="14">
        <f t="shared" si="2"/>
        <v>16686</v>
      </c>
      <c r="E14" s="231"/>
      <c r="F14" s="257"/>
      <c r="G14" s="228"/>
      <c r="H14" s="231"/>
      <c r="I14" s="219"/>
      <c r="J14" s="217"/>
      <c r="K14" s="217"/>
      <c r="L14" s="217"/>
      <c r="M14" s="9">
        <f t="shared" si="0"/>
        <v>0</v>
      </c>
      <c r="N14" s="217"/>
      <c r="O14" s="217">
        <v>16686</v>
      </c>
      <c r="P14" s="217"/>
      <c r="Q14" s="214">
        <f t="shared" si="1"/>
        <v>16686</v>
      </c>
      <c r="R14" s="231"/>
      <c r="T14" s="199"/>
      <c r="U14" s="211"/>
      <c r="V14" s="211"/>
    </row>
    <row r="15" spans="1:22" ht="15" thickBot="1" x14ac:dyDescent="0.35">
      <c r="A15" s="39">
        <v>562.33000000000004</v>
      </c>
      <c r="B15" s="82" t="s">
        <v>95</v>
      </c>
      <c r="C15" s="15"/>
      <c r="D15" s="14">
        <f t="shared" si="2"/>
        <v>0</v>
      </c>
      <c r="E15" s="231"/>
      <c r="F15" s="257"/>
      <c r="G15" s="228"/>
      <c r="H15" s="231"/>
      <c r="I15" s="219"/>
      <c r="J15" s="217"/>
      <c r="K15" s="217"/>
      <c r="L15" s="217"/>
      <c r="M15" s="9">
        <f t="shared" si="0"/>
        <v>0</v>
      </c>
      <c r="N15" s="217"/>
      <c r="O15" s="217"/>
      <c r="P15" s="217"/>
      <c r="Q15" s="214">
        <f t="shared" si="1"/>
        <v>0</v>
      </c>
      <c r="R15" s="231"/>
      <c r="T15" s="199"/>
      <c r="U15" s="211"/>
      <c r="V15" s="211"/>
    </row>
    <row r="16" spans="1:22" ht="15" thickBot="1" x14ac:dyDescent="0.35">
      <c r="A16" s="39">
        <v>562.34</v>
      </c>
      <c r="B16" s="40" t="s">
        <v>51</v>
      </c>
      <c r="C16" s="15">
        <v>11613</v>
      </c>
      <c r="D16" s="14">
        <f t="shared" si="2"/>
        <v>22</v>
      </c>
      <c r="E16" s="231"/>
      <c r="F16" s="257"/>
      <c r="G16" s="228"/>
      <c r="H16" s="231"/>
      <c r="I16" s="219"/>
      <c r="J16" s="217"/>
      <c r="K16" s="217"/>
      <c r="L16" s="217"/>
      <c r="M16" s="9">
        <f t="shared" si="0"/>
        <v>0</v>
      </c>
      <c r="N16" s="217"/>
      <c r="O16" s="217">
        <v>22</v>
      </c>
      <c r="P16" s="217"/>
      <c r="Q16" s="214">
        <f t="shared" si="1"/>
        <v>22</v>
      </c>
      <c r="R16" s="231"/>
      <c r="T16" s="213"/>
      <c r="U16" s="211"/>
      <c r="V16" s="211"/>
    </row>
    <row r="17" spans="1:22" ht="15" thickBot="1" x14ac:dyDescent="0.35">
      <c r="A17" s="39">
        <v>562.35</v>
      </c>
      <c r="B17" s="40" t="s">
        <v>52</v>
      </c>
      <c r="C17" s="15">
        <f>17840+10372+1124</f>
        <v>29336</v>
      </c>
      <c r="D17" s="14">
        <f t="shared" si="2"/>
        <v>19457</v>
      </c>
      <c r="E17" s="231"/>
      <c r="F17" s="257"/>
      <c r="G17" s="228"/>
      <c r="H17" s="231">
        <v>18241</v>
      </c>
      <c r="I17" s="219"/>
      <c r="J17" s="217"/>
      <c r="K17" s="217"/>
      <c r="L17" s="217"/>
      <c r="M17" s="9">
        <f t="shared" si="0"/>
        <v>0</v>
      </c>
      <c r="N17" s="217"/>
      <c r="O17" s="217">
        <v>1216</v>
      </c>
      <c r="P17" s="217"/>
      <c r="Q17" s="214">
        <f t="shared" si="1"/>
        <v>1216</v>
      </c>
      <c r="R17" s="231"/>
      <c r="T17" s="199"/>
      <c r="U17" s="211"/>
      <c r="V17" s="211"/>
    </row>
    <row r="18" spans="1:22" ht="15" thickBot="1" x14ac:dyDescent="0.35">
      <c r="A18" s="39">
        <v>562.39</v>
      </c>
      <c r="B18" s="40" t="s">
        <v>53</v>
      </c>
      <c r="C18" s="15">
        <f>36395+2998+67451+9223</f>
        <v>116067</v>
      </c>
      <c r="D18" s="14">
        <f t="shared" si="2"/>
        <v>89034</v>
      </c>
      <c r="E18" s="231"/>
      <c r="F18" s="276">
        <v>60000</v>
      </c>
      <c r="G18" s="228"/>
      <c r="H18" s="231">
        <f>27341+1693</f>
        <v>29034</v>
      </c>
      <c r="I18" s="219"/>
      <c r="J18" s="217"/>
      <c r="K18" s="217"/>
      <c r="L18" s="217"/>
      <c r="M18" s="9">
        <f t="shared" si="0"/>
        <v>0</v>
      </c>
      <c r="N18" s="217"/>
      <c r="O18" s="217"/>
      <c r="P18" s="217"/>
      <c r="Q18" s="214">
        <f t="shared" si="1"/>
        <v>0</v>
      </c>
      <c r="R18" s="231"/>
      <c r="T18" s="199"/>
      <c r="U18" s="211"/>
      <c r="V18" s="211"/>
    </row>
    <row r="19" spans="1:22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  <c r="T19" s="199"/>
      <c r="U19" s="211"/>
      <c r="V19" s="211"/>
    </row>
    <row r="20" spans="1:22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</row>
    <row r="21" spans="1:22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  <c r="T21" s="199"/>
      <c r="U21" s="211"/>
      <c r="V21" s="211"/>
    </row>
    <row r="22" spans="1:22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  <c r="T22" s="199"/>
      <c r="U22" s="211"/>
      <c r="V22" s="211"/>
    </row>
    <row r="23" spans="1:22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</row>
    <row r="24" spans="1:22" ht="15" thickBot="1" x14ac:dyDescent="0.35">
      <c r="A24" s="39">
        <v>562.49</v>
      </c>
      <c r="B24" s="82" t="s">
        <v>87</v>
      </c>
      <c r="C24" s="15"/>
      <c r="D24" s="14">
        <f t="shared" si="2"/>
        <v>0</v>
      </c>
      <c r="E24" s="231"/>
      <c r="F24" s="257"/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  <c r="T24" s="199"/>
      <c r="U24" s="211"/>
      <c r="V24" s="211"/>
    </row>
    <row r="25" spans="1:22" ht="15" thickBot="1" x14ac:dyDescent="0.35">
      <c r="A25" s="39">
        <v>562.52</v>
      </c>
      <c r="B25" s="40" t="s">
        <v>56</v>
      </c>
      <c r="C25" s="15">
        <v>121394</v>
      </c>
      <c r="D25" s="14">
        <f t="shared" si="2"/>
        <v>103474</v>
      </c>
      <c r="E25" s="231"/>
      <c r="F25" s="257"/>
      <c r="G25" s="228"/>
      <c r="H25" s="231"/>
      <c r="I25" s="219">
        <v>5424</v>
      </c>
      <c r="J25" s="217"/>
      <c r="K25" s="217"/>
      <c r="L25" s="217"/>
      <c r="M25" s="9">
        <f t="shared" si="0"/>
        <v>0</v>
      </c>
      <c r="N25" s="217">
        <v>700</v>
      </c>
      <c r="O25" s="217">
        <f>8350+8350+125+80525</f>
        <v>97350</v>
      </c>
      <c r="P25" s="217"/>
      <c r="Q25" s="214">
        <f t="shared" si="1"/>
        <v>98050</v>
      </c>
      <c r="R25" s="231"/>
      <c r="T25" s="199"/>
      <c r="U25" s="211"/>
      <c r="V25" s="211"/>
    </row>
    <row r="26" spans="1:22" ht="15" thickBot="1" x14ac:dyDescent="0.35">
      <c r="A26" s="39">
        <v>562.53</v>
      </c>
      <c r="B26" s="82" t="s">
        <v>99</v>
      </c>
      <c r="C26" s="15">
        <v>120118</v>
      </c>
      <c r="D26" s="14">
        <f t="shared" si="2"/>
        <v>81981</v>
      </c>
      <c r="E26" s="231"/>
      <c r="F26" s="257"/>
      <c r="G26" s="228">
        <v>80631</v>
      </c>
      <c r="H26" s="231"/>
      <c r="I26" s="219"/>
      <c r="J26" s="217"/>
      <c r="K26" s="217"/>
      <c r="L26" s="217"/>
      <c r="M26" s="9">
        <f t="shared" si="0"/>
        <v>0</v>
      </c>
      <c r="N26" s="217">
        <v>1350</v>
      </c>
      <c r="O26" s="217"/>
      <c r="P26" s="217"/>
      <c r="Q26" s="214">
        <f t="shared" si="1"/>
        <v>1350</v>
      </c>
      <c r="R26" s="231"/>
      <c r="T26" s="199"/>
      <c r="U26" s="211"/>
      <c r="V26" s="211"/>
    </row>
    <row r="27" spans="1:22" ht="15" thickBot="1" x14ac:dyDescent="0.35">
      <c r="A27" s="39">
        <v>562.54</v>
      </c>
      <c r="B27" s="82" t="s">
        <v>100</v>
      </c>
      <c r="C27" s="15">
        <v>155511</v>
      </c>
      <c r="D27" s="14">
        <f t="shared" si="2"/>
        <v>118087</v>
      </c>
      <c r="E27" s="231"/>
      <c r="F27" s="257"/>
      <c r="G27" s="228"/>
      <c r="H27" s="231"/>
      <c r="I27" s="219"/>
      <c r="J27" s="217"/>
      <c r="K27" s="217"/>
      <c r="L27" s="217"/>
      <c r="M27" s="9">
        <f t="shared" si="0"/>
        <v>0</v>
      </c>
      <c r="N27" s="217">
        <f>11145+101365</f>
        <v>112510</v>
      </c>
      <c r="O27" s="217">
        <v>5577</v>
      </c>
      <c r="P27" s="217"/>
      <c r="Q27" s="214">
        <f t="shared" si="1"/>
        <v>118087</v>
      </c>
      <c r="R27" s="231"/>
      <c r="T27" s="199"/>
      <c r="U27" s="211"/>
      <c r="V27" s="211"/>
    </row>
    <row r="28" spans="1:22" ht="15" thickBot="1" x14ac:dyDescent="0.35">
      <c r="A28" s="39">
        <v>562.54999999999995</v>
      </c>
      <c r="B28" s="40" t="s">
        <v>57</v>
      </c>
      <c r="C28" s="15">
        <v>773</v>
      </c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  <c r="T28" s="199"/>
      <c r="U28" s="211"/>
      <c r="V28" s="211"/>
    </row>
    <row r="29" spans="1:22" ht="15" thickBot="1" x14ac:dyDescent="0.35">
      <c r="A29" s="39">
        <v>562.55999999999995</v>
      </c>
      <c r="B29" s="40" t="s">
        <v>58</v>
      </c>
      <c r="C29" s="15">
        <v>131421</v>
      </c>
      <c r="D29" s="14">
        <f t="shared" si="2"/>
        <v>107924</v>
      </c>
      <c r="E29" s="231"/>
      <c r="F29" s="257"/>
      <c r="G29" s="228"/>
      <c r="H29" s="231"/>
      <c r="I29" s="219">
        <v>600</v>
      </c>
      <c r="J29" s="217"/>
      <c r="K29" s="217"/>
      <c r="L29" s="217"/>
      <c r="M29" s="9">
        <f t="shared" si="0"/>
        <v>0</v>
      </c>
      <c r="N29" s="217">
        <v>101439</v>
      </c>
      <c r="O29" s="217">
        <v>5885</v>
      </c>
      <c r="P29" s="217"/>
      <c r="Q29" s="214">
        <f t="shared" si="1"/>
        <v>107324</v>
      </c>
      <c r="R29" s="231"/>
      <c r="T29" s="199"/>
      <c r="U29" s="211"/>
      <c r="V29" s="211"/>
    </row>
    <row r="30" spans="1:22" ht="15" thickBot="1" x14ac:dyDescent="0.35">
      <c r="A30" s="39">
        <v>562.57000000000005</v>
      </c>
      <c r="B30" s="82" t="s">
        <v>101</v>
      </c>
      <c r="C30" s="15">
        <v>347</v>
      </c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  <c r="T30" s="199"/>
      <c r="U30" s="211"/>
      <c r="V30" s="211"/>
    </row>
    <row r="31" spans="1:22" ht="15" thickBot="1" x14ac:dyDescent="0.35">
      <c r="A31" s="39">
        <v>562.58000000000004</v>
      </c>
      <c r="B31" s="82" t="s">
        <v>88</v>
      </c>
      <c r="C31" s="15">
        <v>12835</v>
      </c>
      <c r="D31" s="14">
        <f t="shared" si="2"/>
        <v>33190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v>33190</v>
      </c>
      <c r="O31" s="217"/>
      <c r="P31" s="217"/>
      <c r="Q31" s="214">
        <f t="shared" si="1"/>
        <v>33190</v>
      </c>
      <c r="R31" s="231"/>
      <c r="T31" s="199"/>
      <c r="U31" s="211"/>
      <c r="V31" s="211"/>
    </row>
    <row r="32" spans="1:22" ht="15" thickBot="1" x14ac:dyDescent="0.35">
      <c r="A32" s="39">
        <v>562.59</v>
      </c>
      <c r="B32" s="82" t="s">
        <v>89</v>
      </c>
      <c r="C32" s="15">
        <v>15621</v>
      </c>
      <c r="D32" s="14">
        <f t="shared" si="2"/>
        <v>8785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>
        <v>8785</v>
      </c>
      <c r="P32" s="247"/>
      <c r="Q32" s="214">
        <f t="shared" si="1"/>
        <v>8785</v>
      </c>
      <c r="R32" s="231"/>
      <c r="T32" s="199"/>
      <c r="U32" s="211"/>
      <c r="V32" s="211"/>
    </row>
    <row r="33" spans="1:22" ht="15" thickBot="1" x14ac:dyDescent="0.35">
      <c r="A33" s="39">
        <v>562.6</v>
      </c>
      <c r="B33" s="40" t="s">
        <v>59</v>
      </c>
      <c r="C33" s="15">
        <v>20846</v>
      </c>
      <c r="D33" s="14">
        <f t="shared" si="2"/>
        <v>24200</v>
      </c>
      <c r="E33" s="231"/>
      <c r="F33" s="257"/>
      <c r="G33" s="228">
        <v>24200</v>
      </c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  <c r="T33" s="199"/>
      <c r="U33" s="211"/>
      <c r="V33" s="211"/>
    </row>
    <row r="34" spans="1:22" ht="15" thickBot="1" x14ac:dyDescent="0.35">
      <c r="A34" s="39">
        <v>562.71</v>
      </c>
      <c r="B34" s="40" t="s">
        <v>60</v>
      </c>
      <c r="C34" s="15">
        <v>38275</v>
      </c>
      <c r="D34" s="14">
        <f t="shared" si="2"/>
        <v>21597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21597</v>
      </c>
      <c r="P34" s="217"/>
      <c r="Q34" s="214">
        <f t="shared" si="1"/>
        <v>21597</v>
      </c>
      <c r="R34" s="231"/>
      <c r="T34" s="199"/>
      <c r="U34" s="211"/>
      <c r="V34" s="211"/>
    </row>
    <row r="35" spans="1:22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T35" s="199"/>
      <c r="U35" s="211"/>
      <c r="V35" s="211"/>
    </row>
    <row r="36" spans="1:22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  <c r="T36" s="199"/>
      <c r="U36" s="211"/>
      <c r="V36" s="211"/>
    </row>
    <row r="37" spans="1:22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  <c r="U37" s="211"/>
      <c r="V37" s="211"/>
    </row>
    <row r="38" spans="1:22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</row>
    <row r="39" spans="1:22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</row>
    <row r="40" spans="1:22" ht="15" thickBot="1" x14ac:dyDescent="0.35">
      <c r="A40" s="39">
        <v>562.79999999999995</v>
      </c>
      <c r="B40" s="40" t="s">
        <v>65</v>
      </c>
      <c r="C40" s="15">
        <f>1216+20122+3236</f>
        <v>24574</v>
      </c>
      <c r="D40" s="14">
        <f t="shared" si="2"/>
        <v>25592</v>
      </c>
      <c r="E40" s="231"/>
      <c r="F40" s="276">
        <v>24941</v>
      </c>
      <c r="G40" s="228"/>
      <c r="H40" s="231"/>
      <c r="I40" s="219"/>
      <c r="J40" s="217"/>
      <c r="K40" s="217"/>
      <c r="L40" s="217"/>
      <c r="M40" s="9">
        <f t="shared" si="0"/>
        <v>0</v>
      </c>
      <c r="N40" s="250"/>
      <c r="O40" s="250"/>
      <c r="P40" s="250"/>
      <c r="Q40" s="214">
        <f t="shared" si="1"/>
        <v>0</v>
      </c>
      <c r="R40" s="231">
        <v>651</v>
      </c>
      <c r="S40" s="199">
        <v>369.9</v>
      </c>
      <c r="T40" s="199">
        <v>651</v>
      </c>
      <c r="U40" s="211"/>
      <c r="V40" s="211"/>
    </row>
    <row r="41" spans="1:22" ht="15" thickBot="1" x14ac:dyDescent="0.35">
      <c r="A41" s="39">
        <v>562.88</v>
      </c>
      <c r="B41" s="82" t="s">
        <v>91</v>
      </c>
      <c r="C41" s="15">
        <v>64834</v>
      </c>
      <c r="D41" s="14">
        <f t="shared" si="2"/>
        <v>58750</v>
      </c>
      <c r="E41" s="231"/>
      <c r="F41" s="257"/>
      <c r="G41" s="228"/>
      <c r="H41" s="231">
        <v>58750</v>
      </c>
      <c r="I41" s="219"/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/>
      <c r="T41" s="199"/>
      <c r="U41" s="211"/>
      <c r="V41" s="211"/>
    </row>
    <row r="42" spans="1:22" ht="15" thickBot="1" x14ac:dyDescent="0.35">
      <c r="A42" s="39">
        <v>562.9</v>
      </c>
      <c r="B42" s="40" t="s">
        <v>66</v>
      </c>
      <c r="C42" s="15">
        <v>51523</v>
      </c>
      <c r="D42" s="14">
        <f t="shared" si="2"/>
        <v>50000</v>
      </c>
      <c r="E42" s="231"/>
      <c r="F42" s="257"/>
      <c r="G42" s="228">
        <v>50000</v>
      </c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T42" s="199"/>
      <c r="U42" s="211"/>
      <c r="V42" s="211"/>
    </row>
    <row r="43" spans="1:22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  <c r="U43" s="211"/>
      <c r="V43" s="211"/>
    </row>
    <row r="44" spans="1:22" x14ac:dyDescent="0.3">
      <c r="A44" s="206" t="s">
        <v>110</v>
      </c>
      <c r="B44" s="207" t="s">
        <v>68</v>
      </c>
      <c r="C44" s="208">
        <f>SUM(C5:C43)</f>
        <v>1122984</v>
      </c>
      <c r="D44" s="205">
        <f>E44+F44+G44+H44+I44+M44+Q44+R44</f>
        <v>1166779</v>
      </c>
      <c r="E44" s="233">
        <f t="shared" ref="E44:R44" si="3">SUM(E5:E43)</f>
        <v>0</v>
      </c>
      <c r="F44" s="259">
        <f t="shared" si="3"/>
        <v>169882</v>
      </c>
      <c r="G44" s="223">
        <f t="shared" si="3"/>
        <v>154831</v>
      </c>
      <c r="H44" s="233">
        <f t="shared" si="3"/>
        <v>174246</v>
      </c>
      <c r="I44" s="239">
        <f t="shared" si="3"/>
        <v>25624</v>
      </c>
      <c r="J44" s="245">
        <f>SUM(J5:J43)</f>
        <v>0</v>
      </c>
      <c r="K44" s="245">
        <f>SUM(K5:K43)</f>
        <v>0</v>
      </c>
      <c r="L44" s="245">
        <f>SUM(L5:L43)</f>
        <v>112787</v>
      </c>
      <c r="M44" s="208">
        <f t="shared" si="3"/>
        <v>112787</v>
      </c>
      <c r="N44" s="245">
        <f>SUM(N5:N43)</f>
        <v>249189</v>
      </c>
      <c r="O44" s="245">
        <f>SUM(O5:O43)</f>
        <v>277794</v>
      </c>
      <c r="P44" s="245">
        <f>SUM(P5:P43)</f>
        <v>0</v>
      </c>
      <c r="Q44" s="216">
        <f t="shared" si="3"/>
        <v>526983</v>
      </c>
      <c r="R44" s="233">
        <f t="shared" si="3"/>
        <v>2426</v>
      </c>
      <c r="T44" s="199"/>
      <c r="U44" s="211"/>
      <c r="V44" s="211"/>
    </row>
    <row r="45" spans="1:22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</row>
    <row r="46" spans="1:22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</row>
    <row r="47" spans="1:22" ht="15" thickBot="1" x14ac:dyDescent="0.35">
      <c r="A47" s="39">
        <v>527.70000000000005</v>
      </c>
      <c r="B47" s="40" t="s">
        <v>71</v>
      </c>
      <c r="C47" s="15">
        <v>15832</v>
      </c>
      <c r="D47" s="14">
        <f t="shared" si="2"/>
        <v>10889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>
        <v>10889</v>
      </c>
      <c r="S47" s="199">
        <v>369.9</v>
      </c>
      <c r="T47" s="199">
        <v>10889</v>
      </c>
      <c r="U47" s="211"/>
      <c r="V47" s="211"/>
    </row>
    <row r="48" spans="1:22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</row>
    <row r="49" spans="1:22" ht="15" thickBot="1" x14ac:dyDescent="0.35">
      <c r="A49" s="39">
        <v>554</v>
      </c>
      <c r="B49" s="82" t="s">
        <v>102</v>
      </c>
      <c r="C49" s="15">
        <f>56479+25695+9717</f>
        <v>91891</v>
      </c>
      <c r="D49" s="14">
        <f t="shared" si="2"/>
        <v>80614</v>
      </c>
      <c r="E49" s="231"/>
      <c r="F49" s="257"/>
      <c r="G49" s="228">
        <f>19180+9932</f>
        <v>29112</v>
      </c>
      <c r="H49" s="231">
        <v>51502</v>
      </c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T49" s="199"/>
      <c r="U49" s="211"/>
      <c r="V49" s="211"/>
    </row>
    <row r="50" spans="1:22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</row>
    <row r="51" spans="1:22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</row>
    <row r="52" spans="1:22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</row>
    <row r="53" spans="1:22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  <c r="T53" s="199"/>
      <c r="U53" s="211"/>
      <c r="V53" s="211"/>
    </row>
    <row r="54" spans="1:22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  <c r="U54" s="211"/>
      <c r="V54" s="211"/>
    </row>
    <row r="55" spans="1:22" x14ac:dyDescent="0.3">
      <c r="A55" s="41">
        <v>500</v>
      </c>
      <c r="B55" s="32" t="s">
        <v>118</v>
      </c>
      <c r="C55" s="18"/>
      <c r="D55" s="20">
        <f t="shared" si="2"/>
        <v>0</v>
      </c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T55" s="199"/>
      <c r="U55" s="211"/>
      <c r="V55" s="211"/>
    </row>
    <row r="56" spans="1:22" ht="15" thickBot="1" x14ac:dyDescent="0.35">
      <c r="A56" s="107"/>
      <c r="B56" s="108" t="s">
        <v>80</v>
      </c>
      <c r="C56" s="111">
        <f>SUM(C44:C55)</f>
        <v>1230707</v>
      </c>
      <c r="D56" s="110">
        <f>E56+F56+G56+H56+I56+M56+Q56+R56</f>
        <v>1258282</v>
      </c>
      <c r="E56" s="235">
        <f t="shared" ref="E56:R56" si="4">SUM(E44:E55)</f>
        <v>0</v>
      </c>
      <c r="F56" s="260">
        <f t="shared" si="4"/>
        <v>169882</v>
      </c>
      <c r="G56" s="225">
        <f t="shared" si="4"/>
        <v>183943</v>
      </c>
      <c r="H56" s="235">
        <f t="shared" si="4"/>
        <v>225748</v>
      </c>
      <c r="I56" s="240">
        <f t="shared" si="4"/>
        <v>25624</v>
      </c>
      <c r="J56" s="218">
        <f>SUM(J44:J55)</f>
        <v>0</v>
      </c>
      <c r="K56" s="218">
        <f>SUM(K44:K55)</f>
        <v>0</v>
      </c>
      <c r="L56" s="218">
        <f>SUM(L44:L55)</f>
        <v>112787</v>
      </c>
      <c r="M56" s="209">
        <f t="shared" si="4"/>
        <v>112787</v>
      </c>
      <c r="N56" s="218">
        <f>SUM(N44:N55)</f>
        <v>249189</v>
      </c>
      <c r="O56" s="218">
        <f>SUM(O44:O55)</f>
        <v>277794</v>
      </c>
      <c r="P56" s="218">
        <f>SUM(P44:P55)</f>
        <v>0</v>
      </c>
      <c r="Q56" s="218">
        <f t="shared" si="4"/>
        <v>526983</v>
      </c>
      <c r="R56" s="235">
        <f t="shared" si="4"/>
        <v>13315</v>
      </c>
    </row>
    <row r="57" spans="1:22" ht="15" thickTop="1" x14ac:dyDescent="0.3"/>
    <row r="58" spans="1:22" ht="15" thickBot="1" x14ac:dyDescent="0.35"/>
    <row r="59" spans="1:22" ht="15" thickBot="1" x14ac:dyDescent="0.35">
      <c r="B59" s="42" t="s">
        <v>109</v>
      </c>
      <c r="C59" s="43"/>
      <c r="D59" s="44"/>
    </row>
    <row r="60" spans="1:22" ht="15" thickTop="1" x14ac:dyDescent="0.3">
      <c r="B60" s="115"/>
      <c r="C60" s="116" t="s">
        <v>82</v>
      </c>
      <c r="D60" s="117" t="s">
        <v>78</v>
      </c>
    </row>
    <row r="61" spans="1:22" x14ac:dyDescent="0.3">
      <c r="B61" s="153" t="s">
        <v>108</v>
      </c>
      <c r="C61" s="45"/>
      <c r="D61" s="46"/>
    </row>
    <row r="62" spans="1:22" x14ac:dyDescent="0.3">
      <c r="B62" s="26" t="s">
        <v>3</v>
      </c>
      <c r="C62" s="47">
        <f>E56</f>
        <v>0</v>
      </c>
      <c r="D62" s="48">
        <f>E56/D56</f>
        <v>0</v>
      </c>
    </row>
    <row r="63" spans="1:22" x14ac:dyDescent="0.3">
      <c r="B63" s="26" t="s">
        <v>4</v>
      </c>
      <c r="C63" s="49">
        <f>F56</f>
        <v>169882</v>
      </c>
      <c r="D63" s="48">
        <f>F56/D56</f>
        <v>0.13501107065029938</v>
      </c>
    </row>
    <row r="64" spans="1:22" x14ac:dyDescent="0.3">
      <c r="B64" s="56" t="s">
        <v>79</v>
      </c>
      <c r="C64" s="50">
        <f>G56</f>
        <v>183943</v>
      </c>
      <c r="D64" s="51">
        <f>G56/D56</f>
        <v>0.14618583115708561</v>
      </c>
    </row>
    <row r="65" spans="2:4" ht="15" thickBot="1" x14ac:dyDescent="0.35">
      <c r="B65" s="146" t="s">
        <v>115</v>
      </c>
      <c r="C65" s="52">
        <f>SUM(C62:C64)</f>
        <v>353825</v>
      </c>
      <c r="D65" s="53">
        <f>SUM(D62:D64)</f>
        <v>0.28119690180738499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225748</v>
      </c>
      <c r="D67" s="25">
        <f>H56/D56</f>
        <v>0.17940970307133058</v>
      </c>
    </row>
    <row r="68" spans="2:4" x14ac:dyDescent="0.3">
      <c r="B68" s="57" t="s">
        <v>7</v>
      </c>
      <c r="C68" s="27">
        <f>I56</f>
        <v>25624</v>
      </c>
      <c r="D68" s="28">
        <f>I56/D56</f>
        <v>2.0364274463117171E-2</v>
      </c>
    </row>
    <row r="69" spans="2:4" ht="15" thickBot="1" x14ac:dyDescent="0.35">
      <c r="B69" s="146" t="s">
        <v>116</v>
      </c>
      <c r="C69" s="52">
        <f>SUM(C67:C68)</f>
        <v>251372</v>
      </c>
      <c r="D69" s="53">
        <f>SUM(D67:D68)</f>
        <v>0.19977397753444776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112787</v>
      </c>
      <c r="D71" s="25">
        <f>M56/D56</f>
        <v>8.963570964219468E-2</v>
      </c>
    </row>
    <row r="72" spans="2:4" x14ac:dyDescent="0.3">
      <c r="B72" s="24" t="s">
        <v>8</v>
      </c>
      <c r="C72" s="23">
        <f>Q56</f>
        <v>526983</v>
      </c>
      <c r="D72" s="25">
        <f>Q56/D56</f>
        <v>0.41881152237733671</v>
      </c>
    </row>
    <row r="73" spans="2:4" x14ac:dyDescent="0.3">
      <c r="B73" s="163" t="s">
        <v>83</v>
      </c>
      <c r="C73" s="27">
        <f>R56</f>
        <v>13315</v>
      </c>
      <c r="D73" s="28">
        <f>R56/D56</f>
        <v>1.0581888638635854E-2</v>
      </c>
    </row>
    <row r="74" spans="2:4" ht="15" thickBot="1" x14ac:dyDescent="0.35">
      <c r="B74" s="146" t="s">
        <v>117</v>
      </c>
      <c r="C74" s="52">
        <f>SUM(C71:C73)</f>
        <v>653085</v>
      </c>
      <c r="D74" s="53">
        <f>SUM(D71:D73)</f>
        <v>0.5190291206581672</v>
      </c>
    </row>
    <row r="75" spans="2:4" ht="15" thickBot="1" x14ac:dyDescent="0.35">
      <c r="B75" s="157" t="s">
        <v>80</v>
      </c>
      <c r="C75" s="158">
        <f>C65+C69+C74</f>
        <v>1258282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89" priority="7">
      <formula>ROW()=EVEN(ROW())</formula>
    </cfRule>
  </conditionalFormatting>
  <conditionalFormatting sqref="A55:B55">
    <cfRule type="expression" dxfId="88" priority="5">
      <formula>ROW()=EVEN(ROW())</formula>
    </cfRule>
  </conditionalFormatting>
  <conditionalFormatting sqref="A54:B54">
    <cfRule type="expression" dxfId="87" priority="4">
      <formula>ROW()=EVEN(ROW())</formula>
    </cfRule>
  </conditionalFormatting>
  <conditionalFormatting sqref="M45:M55">
    <cfRule type="expression" dxfId="86" priority="3">
      <formula>ROW()=EVEN(ROW())</formula>
    </cfRule>
  </conditionalFormatting>
  <conditionalFormatting sqref="D45:D55">
    <cfRule type="expression" dxfId="85" priority="2">
      <formula>ROW()=EVEN(ROW())</formula>
    </cfRule>
  </conditionalFormatting>
  <conditionalFormatting sqref="N44:P55">
    <cfRule type="expression" dxfId="84" priority="1">
      <formula>ROW()=EVEN(ROW())</formula>
    </cfRule>
  </conditionalFormatting>
  <printOptions horizontalCentered="1"/>
  <pageMargins left="0" right="0" top="1.1000000000000001" bottom="0.5" header="0.3" footer="0.3"/>
  <pageSetup scale="59" fitToHeight="0" orientation="landscape" r:id="rId1"/>
  <headerFooter>
    <oddHeader>&amp;C&amp;"-,Bold"&amp;20Funding by Expenditure Code and Revenue Source&amp;"-,Regular"&amp;11
&amp;"-,Bold"&amp;20 2014&amp;"-,Regular"&amp;11
&amp;"-,Bold"&amp;20OKANOGAN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88"/>
  <sheetViews>
    <sheetView showZeros="0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5" x14ac:dyDescent="0.3">
      <c r="A1" s="22" t="s">
        <v>150</v>
      </c>
      <c r="B1" s="6"/>
      <c r="C1" s="31">
        <v>21100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5" x14ac:dyDescent="0.3">
      <c r="A2" s="80" t="s">
        <v>44</v>
      </c>
      <c r="B2" s="5"/>
      <c r="C2" s="83">
        <v>12.84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147</v>
      </c>
    </row>
    <row r="3" spans="1:25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5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  <c r="W4" s="202" t="s">
        <v>153</v>
      </c>
      <c r="X4" s="203" t="s">
        <v>82</v>
      </c>
    </row>
    <row r="5" spans="1:25" ht="15" thickBot="1" x14ac:dyDescent="0.35">
      <c r="A5" s="36">
        <v>562.1</v>
      </c>
      <c r="B5" s="37" t="s">
        <v>47</v>
      </c>
      <c r="C5" s="16">
        <v>233939</v>
      </c>
      <c r="D5" s="14">
        <f>E5+F5+G5+H5+I5+M5+Q5+R5</f>
        <v>275366</v>
      </c>
      <c r="E5" s="236">
        <v>0</v>
      </c>
      <c r="F5" s="256">
        <v>169075</v>
      </c>
      <c r="G5" s="227">
        <f>1+1505+104</f>
        <v>1610</v>
      </c>
      <c r="H5" s="236">
        <v>22980</v>
      </c>
      <c r="I5" s="241">
        <v>187</v>
      </c>
      <c r="J5" s="214">
        <v>320</v>
      </c>
      <c r="K5" s="214"/>
      <c r="L5" s="214">
        <f>862+5+79338</f>
        <v>80205</v>
      </c>
      <c r="M5" s="9">
        <f>SUM(J5:L5)</f>
        <v>80525</v>
      </c>
      <c r="N5" s="214"/>
      <c r="O5" s="214"/>
      <c r="P5" s="214"/>
      <c r="Q5" s="214">
        <f>SUM(N5:P5)</f>
        <v>0</v>
      </c>
      <c r="R5" s="236">
        <f>15+250+724</f>
        <v>989</v>
      </c>
      <c r="S5" s="199">
        <v>369.9</v>
      </c>
      <c r="T5" s="199">
        <v>15</v>
      </c>
      <c r="U5" s="211">
        <v>389</v>
      </c>
      <c r="V5" s="211">
        <v>250</v>
      </c>
      <c r="W5" s="211">
        <v>362.5</v>
      </c>
      <c r="X5" s="211">
        <v>724</v>
      </c>
      <c r="Y5" s="211"/>
    </row>
    <row r="6" spans="1:25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  <c r="U6" s="211"/>
      <c r="V6" s="211"/>
      <c r="W6" s="211"/>
      <c r="X6" s="211"/>
    </row>
    <row r="7" spans="1:25" ht="15" thickBot="1" x14ac:dyDescent="0.35">
      <c r="A7" s="39">
        <v>562.22</v>
      </c>
      <c r="B7" s="82" t="s">
        <v>92</v>
      </c>
      <c r="C7" s="15">
        <f>24341+17269</f>
        <v>41610</v>
      </c>
      <c r="D7" s="14">
        <f t="shared" ref="D7:D55" si="2">E7+F7+G7+H7+I7+M7+Q7+R7</f>
        <v>38470</v>
      </c>
      <c r="E7" s="231"/>
      <c r="F7" s="257"/>
      <c r="G7" s="228">
        <v>11943</v>
      </c>
      <c r="H7" s="231">
        <v>26237</v>
      </c>
      <c r="I7" s="219"/>
      <c r="J7" s="217"/>
      <c r="K7" s="217"/>
      <c r="L7" s="217"/>
      <c r="M7" s="9">
        <f t="shared" si="0"/>
        <v>0</v>
      </c>
      <c r="N7" s="217"/>
      <c r="O7" s="217">
        <v>290</v>
      </c>
      <c r="P7" s="217"/>
      <c r="Q7" s="214">
        <f t="shared" si="1"/>
        <v>290</v>
      </c>
      <c r="R7" s="231"/>
      <c r="T7" s="199"/>
      <c r="U7" s="211"/>
      <c r="V7" s="211"/>
      <c r="W7" s="211"/>
      <c r="X7" s="211"/>
    </row>
    <row r="8" spans="1:25" ht="15" thickBot="1" x14ac:dyDescent="0.35">
      <c r="A8" s="39">
        <v>562.24</v>
      </c>
      <c r="B8" s="40" t="s">
        <v>49</v>
      </c>
      <c r="C8" s="15"/>
      <c r="D8" s="14">
        <f t="shared" si="2"/>
        <v>53900</v>
      </c>
      <c r="E8" s="231"/>
      <c r="F8" s="257"/>
      <c r="G8" s="228">
        <v>4900</v>
      </c>
      <c r="H8" s="231">
        <v>49000</v>
      </c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/>
      <c r="T8" s="199"/>
      <c r="U8" s="211"/>
      <c r="V8" s="211"/>
      <c r="W8" s="211"/>
      <c r="X8" s="211"/>
    </row>
    <row r="9" spans="1:25" ht="15" thickBot="1" x14ac:dyDescent="0.35">
      <c r="A9" s="39">
        <v>562.25</v>
      </c>
      <c r="B9" s="82" t="s">
        <v>93</v>
      </c>
      <c r="C9" s="15">
        <v>11674</v>
      </c>
      <c r="D9" s="14">
        <f t="shared" si="2"/>
        <v>12103</v>
      </c>
      <c r="E9" s="231"/>
      <c r="F9" s="257"/>
      <c r="G9" s="228"/>
      <c r="H9" s="231">
        <v>12103</v>
      </c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  <c r="T9" s="199"/>
      <c r="U9" s="211"/>
      <c r="V9" s="211"/>
      <c r="W9" s="211"/>
      <c r="X9" s="211"/>
    </row>
    <row r="10" spans="1:25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T10" s="199"/>
      <c r="U10" s="211"/>
      <c r="V10" s="211"/>
      <c r="W10" s="211"/>
      <c r="X10" s="211"/>
    </row>
    <row r="11" spans="1:25" ht="15" thickBot="1" x14ac:dyDescent="0.35">
      <c r="A11" s="39">
        <v>562.27</v>
      </c>
      <c r="B11" s="82" t="s">
        <v>85</v>
      </c>
      <c r="C11" s="15">
        <v>65389</v>
      </c>
      <c r="D11" s="14">
        <f t="shared" si="2"/>
        <v>52944</v>
      </c>
      <c r="E11" s="231">
        <v>27721</v>
      </c>
      <c r="F11" s="257"/>
      <c r="G11" s="228"/>
      <c r="H11" s="231">
        <f>9610+10007</f>
        <v>19617</v>
      </c>
      <c r="I11" s="219"/>
      <c r="J11" s="217"/>
      <c r="K11" s="217"/>
      <c r="L11" s="217"/>
      <c r="M11" s="9">
        <f t="shared" si="0"/>
        <v>0</v>
      </c>
      <c r="N11" s="217"/>
      <c r="O11" s="217">
        <v>1252</v>
      </c>
      <c r="P11" s="217"/>
      <c r="Q11" s="214">
        <f t="shared" si="1"/>
        <v>1252</v>
      </c>
      <c r="R11" s="231">
        <f>1389+194+2771</f>
        <v>4354</v>
      </c>
      <c r="S11" s="199">
        <v>369.9</v>
      </c>
      <c r="T11" s="199">
        <v>1389</v>
      </c>
      <c r="U11" s="211" t="s">
        <v>158</v>
      </c>
      <c r="V11" s="211">
        <v>194</v>
      </c>
      <c r="W11" s="211">
        <v>389</v>
      </c>
      <c r="X11" s="211">
        <v>2771</v>
      </c>
    </row>
    <row r="12" spans="1:25" ht="15" thickBot="1" x14ac:dyDescent="0.35">
      <c r="A12" s="39">
        <v>562.28</v>
      </c>
      <c r="B12" s="82" t="s">
        <v>94</v>
      </c>
      <c r="C12" s="15">
        <v>178986</v>
      </c>
      <c r="D12" s="14">
        <f t="shared" si="2"/>
        <v>135178</v>
      </c>
      <c r="E12" s="231"/>
      <c r="F12" s="257"/>
      <c r="G12" s="228"/>
      <c r="H12" s="231">
        <v>135178</v>
      </c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  <c r="T12" s="199"/>
      <c r="U12" s="211"/>
      <c r="V12" s="211"/>
      <c r="W12" s="211"/>
      <c r="X12" s="211"/>
    </row>
    <row r="13" spans="1:25" ht="15" thickBot="1" x14ac:dyDescent="0.35">
      <c r="A13" s="39">
        <v>562.29</v>
      </c>
      <c r="B13" s="82" t="s">
        <v>86</v>
      </c>
      <c r="C13" s="15">
        <v>78091</v>
      </c>
      <c r="D13" s="14">
        <f t="shared" si="2"/>
        <v>62035</v>
      </c>
      <c r="E13" s="231"/>
      <c r="F13" s="257"/>
      <c r="G13" s="228">
        <v>62035</v>
      </c>
      <c r="H13" s="231"/>
      <c r="I13" s="219"/>
      <c r="J13" s="217"/>
      <c r="K13" s="217"/>
      <c r="L13" s="217"/>
      <c r="M13" s="9">
        <f t="shared" si="0"/>
        <v>0</v>
      </c>
      <c r="N13" s="217"/>
      <c r="O13" s="217"/>
      <c r="P13" s="217"/>
      <c r="Q13" s="214">
        <f t="shared" si="1"/>
        <v>0</v>
      </c>
      <c r="R13" s="231"/>
      <c r="T13" s="199"/>
      <c r="U13" s="211"/>
      <c r="V13" s="211"/>
      <c r="W13" s="211"/>
      <c r="X13" s="211"/>
    </row>
    <row r="14" spans="1:25" ht="15" thickBot="1" x14ac:dyDescent="0.35">
      <c r="A14" s="39">
        <v>562.32000000000005</v>
      </c>
      <c r="B14" s="40" t="s">
        <v>50</v>
      </c>
      <c r="C14" s="15">
        <f>22833+17499</f>
        <v>40332</v>
      </c>
      <c r="D14" s="14">
        <f t="shared" si="2"/>
        <v>19742</v>
      </c>
      <c r="E14" s="231"/>
      <c r="F14" s="257"/>
      <c r="G14" s="228"/>
      <c r="H14" s="231">
        <f>17083+659+2000</f>
        <v>19742</v>
      </c>
      <c r="I14" s="219"/>
      <c r="J14" s="217"/>
      <c r="K14" s="217"/>
      <c r="L14" s="217"/>
      <c r="M14" s="9">
        <f t="shared" si="0"/>
        <v>0</v>
      </c>
      <c r="N14" s="217"/>
      <c r="O14" s="217"/>
      <c r="P14" s="217"/>
      <c r="Q14" s="214">
        <f t="shared" si="1"/>
        <v>0</v>
      </c>
      <c r="R14" s="231"/>
      <c r="T14" s="199"/>
      <c r="U14" s="211"/>
      <c r="V14" s="211"/>
      <c r="W14" s="211"/>
      <c r="X14" s="211"/>
    </row>
    <row r="15" spans="1:25" ht="15" thickBot="1" x14ac:dyDescent="0.35">
      <c r="A15" s="39">
        <v>562.33000000000004</v>
      </c>
      <c r="B15" s="82" t="s">
        <v>95</v>
      </c>
      <c r="C15" s="15"/>
      <c r="D15" s="14">
        <f t="shared" si="2"/>
        <v>0</v>
      </c>
      <c r="E15" s="231"/>
      <c r="F15" s="257"/>
      <c r="G15" s="228"/>
      <c r="H15" s="231"/>
      <c r="I15" s="219"/>
      <c r="J15" s="217"/>
      <c r="K15" s="217"/>
      <c r="L15" s="217"/>
      <c r="M15" s="9">
        <f t="shared" si="0"/>
        <v>0</v>
      </c>
      <c r="N15" s="217"/>
      <c r="O15" s="217"/>
      <c r="P15" s="217"/>
      <c r="Q15" s="214">
        <f t="shared" si="1"/>
        <v>0</v>
      </c>
      <c r="R15" s="231"/>
      <c r="T15" s="199"/>
      <c r="U15" s="211"/>
      <c r="V15" s="211"/>
      <c r="W15" s="211"/>
      <c r="X15" s="211"/>
    </row>
    <row r="16" spans="1:25" ht="15" thickBot="1" x14ac:dyDescent="0.35">
      <c r="A16" s="39">
        <v>562.34</v>
      </c>
      <c r="B16" s="40" t="s">
        <v>51</v>
      </c>
      <c r="C16" s="15"/>
      <c r="D16" s="14">
        <f t="shared" si="2"/>
        <v>0</v>
      </c>
      <c r="E16" s="231"/>
      <c r="F16" s="257"/>
      <c r="G16" s="228"/>
      <c r="H16" s="231"/>
      <c r="I16" s="219"/>
      <c r="J16" s="217"/>
      <c r="K16" s="217"/>
      <c r="L16" s="217"/>
      <c r="M16" s="9">
        <f t="shared" si="0"/>
        <v>0</v>
      </c>
      <c r="N16" s="217"/>
      <c r="O16" s="217"/>
      <c r="P16" s="217"/>
      <c r="Q16" s="214">
        <f t="shared" si="1"/>
        <v>0</v>
      </c>
      <c r="R16" s="231"/>
      <c r="T16" s="213"/>
      <c r="U16" s="211"/>
      <c r="V16" s="211"/>
      <c r="W16" s="211"/>
      <c r="X16" s="211"/>
    </row>
    <row r="17" spans="1:24" ht="15" thickBot="1" x14ac:dyDescent="0.35">
      <c r="A17" s="39">
        <v>562.35</v>
      </c>
      <c r="B17" s="40" t="s">
        <v>52</v>
      </c>
      <c r="C17" s="15"/>
      <c r="D17" s="14">
        <f t="shared" si="2"/>
        <v>0</v>
      </c>
      <c r="E17" s="231"/>
      <c r="F17" s="257"/>
      <c r="G17" s="228"/>
      <c r="H17" s="231"/>
      <c r="I17" s="219"/>
      <c r="J17" s="217"/>
      <c r="K17" s="217"/>
      <c r="L17" s="217"/>
      <c r="M17" s="9">
        <f t="shared" si="0"/>
        <v>0</v>
      </c>
      <c r="N17" s="217"/>
      <c r="O17" s="217"/>
      <c r="P17" s="217"/>
      <c r="Q17" s="214">
        <f t="shared" si="1"/>
        <v>0</v>
      </c>
      <c r="R17" s="231"/>
      <c r="T17" s="199"/>
      <c r="U17" s="211"/>
      <c r="V17" s="211"/>
      <c r="W17" s="211"/>
      <c r="X17" s="211"/>
    </row>
    <row r="18" spans="1:24" ht="15" thickBot="1" x14ac:dyDescent="0.35">
      <c r="A18" s="39">
        <v>562.39</v>
      </c>
      <c r="B18" s="40" t="s">
        <v>53</v>
      </c>
      <c r="C18" s="15">
        <v>44134</v>
      </c>
      <c r="D18" s="14">
        <f t="shared" si="2"/>
        <v>0</v>
      </c>
      <c r="E18" s="231"/>
      <c r="F18" s="257"/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/>
      <c r="P18" s="217"/>
      <c r="Q18" s="214">
        <f t="shared" si="1"/>
        <v>0</v>
      </c>
      <c r="R18" s="231"/>
      <c r="T18" s="199"/>
      <c r="U18" s="211"/>
      <c r="V18" s="211"/>
      <c r="W18" s="211"/>
      <c r="X18" s="211"/>
    </row>
    <row r="19" spans="1:24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  <c r="T19" s="199"/>
      <c r="U19" s="211"/>
      <c r="V19" s="211"/>
      <c r="W19" s="211"/>
      <c r="X19" s="211"/>
    </row>
    <row r="20" spans="1:24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  <c r="W20" s="211"/>
      <c r="X20" s="211"/>
    </row>
    <row r="21" spans="1:24" ht="15" thickBot="1" x14ac:dyDescent="0.35">
      <c r="A21" s="39">
        <v>562.42999999999995</v>
      </c>
      <c r="B21" s="82" t="s">
        <v>96</v>
      </c>
      <c r="C21" s="15">
        <v>16</v>
      </c>
      <c r="D21" s="14">
        <f t="shared" si="2"/>
        <v>310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>
        <v>310</v>
      </c>
      <c r="P21" s="217"/>
      <c r="Q21" s="214">
        <f t="shared" si="1"/>
        <v>310</v>
      </c>
      <c r="R21" s="231"/>
      <c r="T21" s="199"/>
      <c r="U21" s="211"/>
      <c r="V21" s="211"/>
      <c r="W21" s="211"/>
      <c r="X21" s="211"/>
    </row>
    <row r="22" spans="1:24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  <c r="T22" s="199"/>
      <c r="U22" s="211"/>
      <c r="V22" s="211"/>
      <c r="W22" s="211"/>
      <c r="X22" s="211"/>
    </row>
    <row r="23" spans="1:24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  <c r="W23" s="211"/>
      <c r="X23" s="211"/>
    </row>
    <row r="24" spans="1:24" ht="15" thickBot="1" x14ac:dyDescent="0.35">
      <c r="A24" s="39">
        <v>562.49</v>
      </c>
      <c r="B24" s="82" t="s">
        <v>87</v>
      </c>
      <c r="C24" s="15"/>
      <c r="D24" s="14">
        <f t="shared" si="2"/>
        <v>0</v>
      </c>
      <c r="E24" s="231"/>
      <c r="F24" s="257"/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  <c r="T24" s="199"/>
      <c r="U24" s="211"/>
      <c r="V24" s="211"/>
      <c r="W24" s="211"/>
      <c r="X24" s="211"/>
    </row>
    <row r="25" spans="1:24" ht="15" thickBot="1" x14ac:dyDescent="0.35">
      <c r="A25" s="39">
        <v>562.52</v>
      </c>
      <c r="B25" s="40" t="s">
        <v>56</v>
      </c>
      <c r="C25" s="15">
        <v>2495</v>
      </c>
      <c r="D25" s="14">
        <f t="shared" si="2"/>
        <v>2469</v>
      </c>
      <c r="E25" s="231">
        <v>2469</v>
      </c>
      <c r="F25" s="257"/>
      <c r="G25" s="228"/>
      <c r="H25" s="231"/>
      <c r="I25" s="219"/>
      <c r="J25" s="217"/>
      <c r="K25" s="217"/>
      <c r="L25" s="217"/>
      <c r="M25" s="9">
        <f t="shared" si="0"/>
        <v>0</v>
      </c>
      <c r="N25" s="217"/>
      <c r="O25" s="217"/>
      <c r="P25" s="217"/>
      <c r="Q25" s="214">
        <f t="shared" si="1"/>
        <v>0</v>
      </c>
      <c r="R25" s="231"/>
      <c r="T25" s="199"/>
      <c r="U25" s="211"/>
      <c r="V25" s="211"/>
      <c r="W25" s="211"/>
      <c r="X25" s="211"/>
    </row>
    <row r="26" spans="1:24" ht="15" thickBot="1" x14ac:dyDescent="0.35">
      <c r="A26" s="39">
        <v>562.53</v>
      </c>
      <c r="B26" s="82" t="s">
        <v>99</v>
      </c>
      <c r="C26" s="15"/>
      <c r="D26" s="14">
        <f t="shared" si="2"/>
        <v>0</v>
      </c>
      <c r="E26" s="231"/>
      <c r="F26" s="257"/>
      <c r="G26" s="228"/>
      <c r="H26" s="231"/>
      <c r="I26" s="219"/>
      <c r="J26" s="217"/>
      <c r="K26" s="217"/>
      <c r="L26" s="217"/>
      <c r="M26" s="9">
        <f t="shared" si="0"/>
        <v>0</v>
      </c>
      <c r="N26" s="217"/>
      <c r="O26" s="217"/>
      <c r="P26" s="217"/>
      <c r="Q26" s="214">
        <f t="shared" si="1"/>
        <v>0</v>
      </c>
      <c r="R26" s="231"/>
      <c r="T26" s="199"/>
      <c r="U26" s="211"/>
      <c r="V26" s="211"/>
      <c r="W26" s="211"/>
      <c r="X26" s="211"/>
    </row>
    <row r="27" spans="1:24" ht="15" thickBot="1" x14ac:dyDescent="0.35">
      <c r="A27" s="39">
        <v>562.54</v>
      </c>
      <c r="B27" s="82" t="s">
        <v>100</v>
      </c>
      <c r="C27" s="15"/>
      <c r="D27" s="14">
        <f t="shared" si="2"/>
        <v>0</v>
      </c>
      <c r="E27" s="231"/>
      <c r="F27" s="257"/>
      <c r="G27" s="228"/>
      <c r="H27" s="231"/>
      <c r="I27" s="219"/>
      <c r="J27" s="217"/>
      <c r="K27" s="217"/>
      <c r="L27" s="217"/>
      <c r="M27" s="9">
        <f t="shared" si="0"/>
        <v>0</v>
      </c>
      <c r="N27" s="217"/>
      <c r="O27" s="217"/>
      <c r="P27" s="217"/>
      <c r="Q27" s="214">
        <f t="shared" si="1"/>
        <v>0</v>
      </c>
      <c r="R27" s="231"/>
      <c r="T27" s="199"/>
      <c r="U27" s="211"/>
      <c r="V27" s="211"/>
      <c r="W27" s="211"/>
      <c r="X27" s="211"/>
    </row>
    <row r="28" spans="1:24" ht="15" thickBot="1" x14ac:dyDescent="0.35">
      <c r="A28" s="39">
        <v>562.54999999999995</v>
      </c>
      <c r="B28" s="40" t="s">
        <v>57</v>
      </c>
      <c r="C28" s="15"/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  <c r="T28" s="199"/>
      <c r="U28" s="211"/>
      <c r="V28" s="211"/>
      <c r="W28" s="211"/>
      <c r="X28" s="211"/>
    </row>
    <row r="29" spans="1:24" ht="15" thickBot="1" x14ac:dyDescent="0.35">
      <c r="A29" s="39">
        <v>562.55999999999995</v>
      </c>
      <c r="B29" s="40" t="s">
        <v>58</v>
      </c>
      <c r="C29" s="15"/>
      <c r="D29" s="14">
        <f t="shared" si="2"/>
        <v>0</v>
      </c>
      <c r="E29" s="231"/>
      <c r="F29" s="257"/>
      <c r="G29" s="228"/>
      <c r="H29" s="231"/>
      <c r="I29" s="219"/>
      <c r="J29" s="217"/>
      <c r="K29" s="217"/>
      <c r="L29" s="217"/>
      <c r="M29" s="9">
        <f t="shared" si="0"/>
        <v>0</v>
      </c>
      <c r="N29" s="217"/>
      <c r="O29" s="217"/>
      <c r="P29" s="217"/>
      <c r="Q29" s="214">
        <f t="shared" si="1"/>
        <v>0</v>
      </c>
      <c r="R29" s="231"/>
      <c r="T29" s="199"/>
      <c r="U29" s="211"/>
      <c r="V29" s="211"/>
      <c r="W29" s="211"/>
      <c r="X29" s="211"/>
    </row>
    <row r="30" spans="1:24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  <c r="T30" s="199"/>
      <c r="U30" s="211"/>
      <c r="V30" s="211"/>
      <c r="W30" s="211"/>
      <c r="X30" s="211"/>
    </row>
    <row r="31" spans="1:24" ht="15" thickBot="1" x14ac:dyDescent="0.35">
      <c r="A31" s="39">
        <v>562.58000000000004</v>
      </c>
      <c r="B31" s="82" t="s">
        <v>88</v>
      </c>
      <c r="C31" s="15"/>
      <c r="D31" s="14">
        <f t="shared" si="2"/>
        <v>0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/>
      <c r="O31" s="217"/>
      <c r="P31" s="217"/>
      <c r="Q31" s="214">
        <f t="shared" si="1"/>
        <v>0</v>
      </c>
      <c r="R31" s="231"/>
      <c r="T31" s="199"/>
      <c r="U31" s="211"/>
      <c r="V31" s="211"/>
      <c r="W31" s="211"/>
      <c r="X31" s="211"/>
    </row>
    <row r="32" spans="1:24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  <c r="T32" s="199"/>
      <c r="U32" s="211"/>
      <c r="V32" s="211"/>
      <c r="W32" s="211"/>
      <c r="X32" s="211"/>
    </row>
    <row r="33" spans="1:24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  <c r="T33" s="199"/>
      <c r="U33" s="211"/>
      <c r="V33" s="211"/>
      <c r="W33" s="211"/>
      <c r="X33" s="211"/>
    </row>
    <row r="34" spans="1:24" ht="15" thickBot="1" x14ac:dyDescent="0.35">
      <c r="A34" s="39">
        <v>562.71</v>
      </c>
      <c r="B34" s="40" t="s">
        <v>60</v>
      </c>
      <c r="C34" s="15">
        <v>10328</v>
      </c>
      <c r="D34" s="14">
        <f t="shared" si="2"/>
        <v>6155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6155</v>
      </c>
      <c r="P34" s="217"/>
      <c r="Q34" s="214">
        <f t="shared" si="1"/>
        <v>6155</v>
      </c>
      <c r="R34" s="231"/>
      <c r="T34" s="199"/>
      <c r="U34" s="211"/>
      <c r="V34" s="211"/>
      <c r="W34" s="211"/>
      <c r="X34" s="211"/>
    </row>
    <row r="35" spans="1:24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T35" s="199"/>
      <c r="U35" s="211"/>
      <c r="V35" s="211"/>
      <c r="W35" s="211"/>
      <c r="X35" s="211"/>
    </row>
    <row r="36" spans="1:24" ht="15" thickBot="1" x14ac:dyDescent="0.35">
      <c r="A36" s="39">
        <v>562.73</v>
      </c>
      <c r="B36" s="40" t="s">
        <v>62</v>
      </c>
      <c r="C36" s="15">
        <f>93195+38877+11459</f>
        <v>143531</v>
      </c>
      <c r="D36" s="14">
        <f t="shared" si="2"/>
        <v>125604</v>
      </c>
      <c r="E36" s="231"/>
      <c r="F36" s="257"/>
      <c r="G36" s="228"/>
      <c r="H36" s="231">
        <v>35886</v>
      </c>
      <c r="I36" s="219">
        <v>89493</v>
      </c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>
        <f>125+100</f>
        <v>225</v>
      </c>
      <c r="S36" s="199">
        <v>369.9</v>
      </c>
      <c r="T36" s="199">
        <v>125</v>
      </c>
      <c r="U36" s="211">
        <v>389</v>
      </c>
      <c r="V36" s="211">
        <v>100</v>
      </c>
      <c r="W36" s="211"/>
      <c r="X36" s="211"/>
    </row>
    <row r="37" spans="1:24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  <c r="U37" s="211"/>
      <c r="V37" s="211"/>
      <c r="W37" s="211"/>
      <c r="X37" s="211"/>
    </row>
    <row r="38" spans="1:24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  <c r="W38" s="211"/>
      <c r="X38" s="211"/>
    </row>
    <row r="39" spans="1:24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  <c r="W39" s="211"/>
      <c r="X39" s="211"/>
    </row>
    <row r="40" spans="1:24" ht="15" thickBot="1" x14ac:dyDescent="0.35">
      <c r="A40" s="39">
        <v>562.79999999999995</v>
      </c>
      <c r="B40" s="40" t="s">
        <v>65</v>
      </c>
      <c r="C40" s="15"/>
      <c r="D40" s="14">
        <f t="shared" si="2"/>
        <v>0</v>
      </c>
      <c r="E40" s="231"/>
      <c r="F40" s="257"/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  <c r="T40" s="199"/>
      <c r="U40" s="211"/>
      <c r="V40" s="211"/>
      <c r="W40" s="211"/>
      <c r="X40" s="211"/>
    </row>
    <row r="41" spans="1:24" ht="15" thickBot="1" x14ac:dyDescent="0.35">
      <c r="A41" s="39">
        <v>562.88</v>
      </c>
      <c r="B41" s="82" t="s">
        <v>91</v>
      </c>
      <c r="C41" s="15">
        <v>88743</v>
      </c>
      <c r="D41" s="14">
        <f t="shared" si="2"/>
        <v>93150</v>
      </c>
      <c r="E41" s="231"/>
      <c r="F41" s="257"/>
      <c r="G41" s="228"/>
      <c r="H41" s="231">
        <f>3275+86375</f>
        <v>89650</v>
      </c>
      <c r="I41" s="219">
        <v>3500</v>
      </c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/>
      <c r="T41" s="199"/>
      <c r="U41" s="211"/>
      <c r="V41" s="211"/>
      <c r="W41" s="211"/>
      <c r="X41" s="211"/>
    </row>
    <row r="42" spans="1:24" ht="15" thickBot="1" x14ac:dyDescent="0.35">
      <c r="A42" s="39">
        <v>562.9</v>
      </c>
      <c r="B42" s="40" t="s">
        <v>66</v>
      </c>
      <c r="C42" s="15">
        <v>38574</v>
      </c>
      <c r="D42" s="14">
        <f t="shared" si="2"/>
        <v>14300</v>
      </c>
      <c r="E42" s="231"/>
      <c r="F42" s="257"/>
      <c r="G42" s="228"/>
      <c r="H42" s="231">
        <v>14300</v>
      </c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T42" s="199"/>
      <c r="U42" s="211"/>
      <c r="V42" s="211"/>
      <c r="W42" s="211"/>
      <c r="X42" s="211"/>
    </row>
    <row r="43" spans="1:24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  <c r="U43" s="211"/>
      <c r="V43" s="211"/>
      <c r="W43" s="211"/>
      <c r="X43" s="211"/>
    </row>
    <row r="44" spans="1:24" x14ac:dyDescent="0.3">
      <c r="A44" s="206" t="s">
        <v>110</v>
      </c>
      <c r="B44" s="207" t="s">
        <v>68</v>
      </c>
      <c r="C44" s="208">
        <f>SUM(C5:C43)</f>
        <v>977842</v>
      </c>
      <c r="D44" s="205">
        <f>E44+F44+G44+H44+I44+M44+Q44+R44</f>
        <v>891726</v>
      </c>
      <c r="E44" s="233">
        <f t="shared" ref="E44:R44" si="3">SUM(E5:E43)</f>
        <v>30190</v>
      </c>
      <c r="F44" s="259">
        <f t="shared" si="3"/>
        <v>169075</v>
      </c>
      <c r="G44" s="223">
        <f t="shared" si="3"/>
        <v>80488</v>
      </c>
      <c r="H44" s="233">
        <f t="shared" si="3"/>
        <v>424693</v>
      </c>
      <c r="I44" s="239">
        <f t="shared" si="3"/>
        <v>93180</v>
      </c>
      <c r="J44" s="245">
        <f>SUM(J5:J43)</f>
        <v>320</v>
      </c>
      <c r="K44" s="245">
        <f>SUM(K5:K43)</f>
        <v>0</v>
      </c>
      <c r="L44" s="245">
        <f>SUM(L5:L43)</f>
        <v>80205</v>
      </c>
      <c r="M44" s="208">
        <f t="shared" si="3"/>
        <v>80525</v>
      </c>
      <c r="N44" s="245">
        <f>SUM(N5:N43)</f>
        <v>0</v>
      </c>
      <c r="O44" s="245">
        <f>SUM(O5:O43)</f>
        <v>8007</v>
      </c>
      <c r="P44" s="245">
        <f>SUM(P5:P43)</f>
        <v>0</v>
      </c>
      <c r="Q44" s="216">
        <f t="shared" si="3"/>
        <v>8007</v>
      </c>
      <c r="R44" s="233">
        <f t="shared" si="3"/>
        <v>5568</v>
      </c>
      <c r="T44" s="199"/>
      <c r="U44" s="211"/>
      <c r="V44" s="211"/>
      <c r="W44" s="211"/>
      <c r="X44" s="211"/>
    </row>
    <row r="45" spans="1:24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  <c r="W45" s="211"/>
      <c r="X45" s="211"/>
    </row>
    <row r="46" spans="1:24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  <c r="W46" s="211"/>
      <c r="X46" s="211"/>
    </row>
    <row r="47" spans="1:24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T47" s="199"/>
      <c r="U47" s="211"/>
      <c r="V47" s="211"/>
      <c r="W47" s="211"/>
      <c r="X47" s="211"/>
    </row>
    <row r="48" spans="1:24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  <c r="W48" s="211"/>
      <c r="X48" s="211"/>
    </row>
    <row r="49" spans="1:24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T49" s="199"/>
      <c r="U49" s="211"/>
      <c r="V49" s="211"/>
      <c r="W49" s="211"/>
      <c r="X49" s="211"/>
    </row>
    <row r="50" spans="1:24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  <c r="W50" s="211"/>
      <c r="X50" s="211"/>
    </row>
    <row r="51" spans="1:24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  <c r="W51" s="211"/>
      <c r="X51" s="211"/>
    </row>
    <row r="52" spans="1:24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  <c r="W52" s="211"/>
      <c r="X52" s="211"/>
    </row>
    <row r="53" spans="1:24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  <c r="T53" s="199"/>
      <c r="U53" s="211"/>
      <c r="V53" s="211"/>
      <c r="W53" s="211"/>
      <c r="X53" s="211"/>
    </row>
    <row r="54" spans="1:24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  <c r="U54" s="211"/>
      <c r="V54" s="211"/>
      <c r="W54" s="211"/>
      <c r="X54" s="211"/>
    </row>
    <row r="55" spans="1:24" x14ac:dyDescent="0.3">
      <c r="A55" s="41">
        <v>500</v>
      </c>
      <c r="B55" s="32" t="s">
        <v>118</v>
      </c>
      <c r="C55" s="18">
        <v>2986</v>
      </c>
      <c r="D55" s="20">
        <f t="shared" si="2"/>
        <v>19045</v>
      </c>
      <c r="E55" s="232"/>
      <c r="F55" s="258"/>
      <c r="G55" s="229">
        <v>4372</v>
      </c>
      <c r="H55" s="232">
        <v>11855</v>
      </c>
      <c r="I55" s="220">
        <v>2818</v>
      </c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T55" s="199"/>
      <c r="U55" s="211"/>
      <c r="V55" s="211"/>
      <c r="W55" s="211"/>
      <c r="X55" s="211"/>
    </row>
    <row r="56" spans="1:24" ht="15" thickBot="1" x14ac:dyDescent="0.35">
      <c r="A56" s="107"/>
      <c r="B56" s="108" t="s">
        <v>80</v>
      </c>
      <c r="C56" s="111">
        <f>SUM(C44:C55)</f>
        <v>980828</v>
      </c>
      <c r="D56" s="110">
        <f>E56+F56+G56+H56+I56+M56+Q56+R56</f>
        <v>910771</v>
      </c>
      <c r="E56" s="235">
        <f t="shared" ref="E56:R56" si="4">SUM(E44:E55)</f>
        <v>30190</v>
      </c>
      <c r="F56" s="260">
        <f t="shared" si="4"/>
        <v>169075</v>
      </c>
      <c r="G56" s="225">
        <f t="shared" si="4"/>
        <v>84860</v>
      </c>
      <c r="H56" s="235">
        <f t="shared" si="4"/>
        <v>436548</v>
      </c>
      <c r="I56" s="240">
        <f t="shared" si="4"/>
        <v>95998</v>
      </c>
      <c r="J56" s="218">
        <f>SUM(J44:J55)</f>
        <v>320</v>
      </c>
      <c r="K56" s="218">
        <f>SUM(K44:K55)</f>
        <v>0</v>
      </c>
      <c r="L56" s="218">
        <f>SUM(L44:L55)</f>
        <v>80205</v>
      </c>
      <c r="M56" s="209">
        <f t="shared" si="4"/>
        <v>80525</v>
      </c>
      <c r="N56" s="218">
        <f>SUM(N44:N55)</f>
        <v>0</v>
      </c>
      <c r="O56" s="218">
        <f>SUM(O44:O55)</f>
        <v>8007</v>
      </c>
      <c r="P56" s="218">
        <f>SUM(P44:P55)</f>
        <v>0</v>
      </c>
      <c r="Q56" s="218">
        <f t="shared" si="4"/>
        <v>8007</v>
      </c>
      <c r="R56" s="235">
        <f t="shared" si="4"/>
        <v>5568</v>
      </c>
      <c r="X56" s="211"/>
    </row>
    <row r="57" spans="1:24" ht="15" thickTop="1" x14ac:dyDescent="0.3"/>
    <row r="58" spans="1:24" ht="15" thickBot="1" x14ac:dyDescent="0.35"/>
    <row r="59" spans="1:24" ht="15" thickBot="1" x14ac:dyDescent="0.35">
      <c r="B59" s="42" t="s">
        <v>109</v>
      </c>
      <c r="C59" s="43"/>
      <c r="D59" s="44"/>
    </row>
    <row r="60" spans="1:24" ht="15" thickTop="1" x14ac:dyDescent="0.3">
      <c r="B60" s="115"/>
      <c r="C60" s="116" t="s">
        <v>82</v>
      </c>
      <c r="D60" s="117" t="s">
        <v>78</v>
      </c>
    </row>
    <row r="61" spans="1:24" x14ac:dyDescent="0.3">
      <c r="B61" s="153" t="s">
        <v>108</v>
      </c>
      <c r="C61" s="45"/>
      <c r="D61" s="46"/>
    </row>
    <row r="62" spans="1:24" x14ac:dyDescent="0.3">
      <c r="B62" s="26" t="s">
        <v>3</v>
      </c>
      <c r="C62" s="47">
        <f>E56</f>
        <v>30190</v>
      </c>
      <c r="D62" s="48">
        <f>E56/D56</f>
        <v>3.3147739662330047E-2</v>
      </c>
    </row>
    <row r="63" spans="1:24" x14ac:dyDescent="0.3">
      <c r="B63" s="26" t="s">
        <v>4</v>
      </c>
      <c r="C63" s="49">
        <f>F56</f>
        <v>169075</v>
      </c>
      <c r="D63" s="48">
        <f>F56/D56</f>
        <v>0.18563941978828927</v>
      </c>
    </row>
    <row r="64" spans="1:24" x14ac:dyDescent="0.3">
      <c r="B64" s="56" t="s">
        <v>79</v>
      </c>
      <c r="C64" s="50">
        <f>G56</f>
        <v>84860</v>
      </c>
      <c r="D64" s="51">
        <f>G56/D56</f>
        <v>9.3173805490073799E-2</v>
      </c>
    </row>
    <row r="65" spans="2:4" ht="15" thickBot="1" x14ac:dyDescent="0.35">
      <c r="B65" s="146" t="s">
        <v>115</v>
      </c>
      <c r="C65" s="52">
        <f>SUM(C62:C64)</f>
        <v>284125</v>
      </c>
      <c r="D65" s="53">
        <f>SUM(D62:D64)</f>
        <v>0.31196096494069314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436548</v>
      </c>
      <c r="D67" s="25">
        <f>H56/D56</f>
        <v>0.47931697429979653</v>
      </c>
    </row>
    <row r="68" spans="2:4" x14ac:dyDescent="0.3">
      <c r="B68" s="57" t="s">
        <v>7</v>
      </c>
      <c r="C68" s="27">
        <f>I56</f>
        <v>95998</v>
      </c>
      <c r="D68" s="28">
        <f>I56/D56</f>
        <v>0.10540300470700099</v>
      </c>
    </row>
    <row r="69" spans="2:4" ht="15" thickBot="1" x14ac:dyDescent="0.35">
      <c r="B69" s="146" t="s">
        <v>116</v>
      </c>
      <c r="C69" s="52">
        <f>SUM(C67:C68)</f>
        <v>532546</v>
      </c>
      <c r="D69" s="53">
        <f>SUM(D67:D68)</f>
        <v>0.58471997900679751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80525</v>
      </c>
      <c r="D71" s="25">
        <f>M56/D56</f>
        <v>8.8414101898281791E-2</v>
      </c>
    </row>
    <row r="72" spans="2:4" x14ac:dyDescent="0.3">
      <c r="B72" s="24" t="s">
        <v>8</v>
      </c>
      <c r="C72" s="23">
        <f>Q56</f>
        <v>8007</v>
      </c>
      <c r="D72" s="25">
        <f>Q56/D56</f>
        <v>8.7914525166040633E-3</v>
      </c>
    </row>
    <row r="73" spans="2:4" x14ac:dyDescent="0.3">
      <c r="B73" s="163" t="s">
        <v>83</v>
      </c>
      <c r="C73" s="27">
        <f>R56</f>
        <v>5568</v>
      </c>
      <c r="D73" s="28">
        <f>R56/D56</f>
        <v>6.1135016376235082E-3</v>
      </c>
    </row>
    <row r="74" spans="2:4" ht="15" thickBot="1" x14ac:dyDescent="0.35">
      <c r="B74" s="146" t="s">
        <v>117</v>
      </c>
      <c r="C74" s="52">
        <f>SUM(C71:C73)</f>
        <v>94100</v>
      </c>
      <c r="D74" s="53">
        <f>SUM(D71:D73)</f>
        <v>0.10331905605250935</v>
      </c>
    </row>
    <row r="75" spans="2:4" ht="15" thickBot="1" x14ac:dyDescent="0.35">
      <c r="B75" s="157" t="s">
        <v>80</v>
      </c>
      <c r="C75" s="158">
        <f>C65+C69+C74</f>
        <v>910771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83" priority="7">
      <formula>ROW()=EVEN(ROW())</formula>
    </cfRule>
  </conditionalFormatting>
  <conditionalFormatting sqref="A55:B55">
    <cfRule type="expression" dxfId="82" priority="5">
      <formula>ROW()=EVEN(ROW())</formula>
    </cfRule>
  </conditionalFormatting>
  <conditionalFormatting sqref="A54:B54">
    <cfRule type="expression" dxfId="81" priority="4">
      <formula>ROW()=EVEN(ROW())</formula>
    </cfRule>
  </conditionalFormatting>
  <conditionalFormatting sqref="M45:M55">
    <cfRule type="expression" dxfId="80" priority="3">
      <formula>ROW()=EVEN(ROW())</formula>
    </cfRule>
  </conditionalFormatting>
  <conditionalFormatting sqref="D45:D55">
    <cfRule type="expression" dxfId="79" priority="2">
      <formula>ROW()=EVEN(ROW())</formula>
    </cfRule>
  </conditionalFormatting>
  <conditionalFormatting sqref="N44:P55">
    <cfRule type="expression" dxfId="78" priority="1">
      <formula>ROW()=EVEN(ROW())</formula>
    </cfRule>
  </conditionalFormatting>
  <printOptions horizontalCentered="1"/>
  <pageMargins left="0" right="0" top="1.1000000000000001" bottom="0.5" header="0.3" footer="0.3"/>
  <pageSetup scale="59" fitToHeight="0" orientation="landscape" r:id="rId1"/>
  <headerFooter>
    <oddHeader>&amp;C&amp;"-,Bold"&amp;20Funding by Expenditure Code and Revenue Source&amp;"-,Regular"&amp;11
&amp;"-,Bold"&amp;20 2014&amp;"-,Regular"&amp;11
&amp;"-,Bold"&amp;20PACIFIC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8"/>
  <sheetViews>
    <sheetView showZeros="0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0" x14ac:dyDescent="0.3">
      <c r="A1" s="22" t="s">
        <v>150</v>
      </c>
      <c r="B1" s="6"/>
      <c r="C1" s="31">
        <v>16100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0" x14ac:dyDescent="0.3">
      <c r="A2" s="80" t="s">
        <v>44</v>
      </c>
      <c r="B2" s="5"/>
      <c r="C2" s="83">
        <v>25.02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147</v>
      </c>
    </row>
    <row r="3" spans="1:20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0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</row>
    <row r="5" spans="1:20" ht="15" thickBot="1" x14ac:dyDescent="0.35">
      <c r="A5" s="36">
        <v>562.1</v>
      </c>
      <c r="B5" s="37" t="s">
        <v>47</v>
      </c>
      <c r="C5" s="16">
        <v>305497</v>
      </c>
      <c r="D5" s="14">
        <f>E5+F5+G5+H5+I5+M5+Q5+R5</f>
        <v>325829</v>
      </c>
      <c r="E5" s="236">
        <v>0</v>
      </c>
      <c r="F5" s="256">
        <v>98462</v>
      </c>
      <c r="G5" s="227">
        <v>0</v>
      </c>
      <c r="H5" s="236">
        <v>0</v>
      </c>
      <c r="I5" s="241">
        <v>0</v>
      </c>
      <c r="J5" s="214">
        <v>225000</v>
      </c>
      <c r="K5" s="214"/>
      <c r="L5" s="214"/>
      <c r="M5" s="9">
        <f>SUM(J5:L5)</f>
        <v>225000</v>
      </c>
      <c r="N5" s="214"/>
      <c r="O5" s="214">
        <v>1277</v>
      </c>
      <c r="P5" s="214"/>
      <c r="Q5" s="214">
        <f>SUM(N5:P5)</f>
        <v>1277</v>
      </c>
      <c r="R5" s="236">
        <v>1090</v>
      </c>
      <c r="S5" s="199">
        <v>367.11</v>
      </c>
      <c r="T5" s="200">
        <v>1090</v>
      </c>
    </row>
    <row r="6" spans="1:20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</row>
    <row r="7" spans="1:20" ht="15" thickBot="1" x14ac:dyDescent="0.35">
      <c r="A7" s="39">
        <v>562.22</v>
      </c>
      <c r="B7" s="82" t="s">
        <v>92</v>
      </c>
      <c r="C7" s="15">
        <v>129024</v>
      </c>
      <c r="D7" s="14">
        <f t="shared" ref="D7:D55" si="2">E7+F7+G7+H7+I7+M7+Q7+R7</f>
        <v>87530</v>
      </c>
      <c r="E7" s="231"/>
      <c r="F7" s="257">
        <v>5461</v>
      </c>
      <c r="G7" s="228"/>
      <c r="H7" s="231">
        <f>29737+1728</f>
        <v>31465</v>
      </c>
      <c r="I7" s="219"/>
      <c r="J7" s="217">
        <v>41500</v>
      </c>
      <c r="K7" s="217"/>
      <c r="L7" s="217"/>
      <c r="M7" s="9">
        <f t="shared" si="0"/>
        <v>41500</v>
      </c>
      <c r="N7" s="217"/>
      <c r="O7" s="217">
        <f>5700+3404</f>
        <v>9104</v>
      </c>
      <c r="P7" s="217"/>
      <c r="Q7" s="214">
        <f t="shared" si="1"/>
        <v>9104</v>
      </c>
      <c r="R7" s="231"/>
    </row>
    <row r="8" spans="1:20" ht="15" thickBot="1" x14ac:dyDescent="0.35">
      <c r="A8" s="39">
        <v>562.24</v>
      </c>
      <c r="B8" s="40" t="s">
        <v>49</v>
      </c>
      <c r="C8" s="15">
        <v>9787</v>
      </c>
      <c r="D8" s="14">
        <f t="shared" si="2"/>
        <v>8953</v>
      </c>
      <c r="E8" s="231"/>
      <c r="F8" s="257"/>
      <c r="G8" s="228">
        <v>4257</v>
      </c>
      <c r="H8" s="231">
        <v>4257</v>
      </c>
      <c r="I8" s="219"/>
      <c r="J8" s="217">
        <v>439</v>
      </c>
      <c r="K8" s="217"/>
      <c r="L8" s="217"/>
      <c r="M8" s="9">
        <f t="shared" si="0"/>
        <v>439</v>
      </c>
      <c r="N8" s="217"/>
      <c r="O8" s="217"/>
      <c r="P8" s="217"/>
      <c r="Q8" s="214">
        <f t="shared" si="1"/>
        <v>0</v>
      </c>
      <c r="R8" s="231"/>
    </row>
    <row r="9" spans="1:20" ht="15" thickBot="1" x14ac:dyDescent="0.35">
      <c r="A9" s="39">
        <v>562.25</v>
      </c>
      <c r="B9" s="82" t="s">
        <v>93</v>
      </c>
      <c r="C9" s="15">
        <v>49035</v>
      </c>
      <c r="D9" s="14">
        <f t="shared" si="2"/>
        <v>48098</v>
      </c>
      <c r="E9" s="231"/>
      <c r="F9" s="257"/>
      <c r="G9" s="228"/>
      <c r="H9" s="231"/>
      <c r="I9" s="219">
        <v>17507</v>
      </c>
      <c r="J9" s="217">
        <v>3823</v>
      </c>
      <c r="K9" s="217"/>
      <c r="L9" s="217"/>
      <c r="M9" s="9">
        <f t="shared" si="0"/>
        <v>3823</v>
      </c>
      <c r="N9" s="217"/>
      <c r="O9" s="217">
        <v>26768</v>
      </c>
      <c r="P9" s="217"/>
      <c r="Q9" s="214">
        <f t="shared" si="1"/>
        <v>26768</v>
      </c>
      <c r="R9" s="231"/>
    </row>
    <row r="10" spans="1:20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</row>
    <row r="11" spans="1:20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</row>
    <row r="12" spans="1:20" ht="15" thickBot="1" x14ac:dyDescent="0.35">
      <c r="A12" s="39">
        <v>562.28</v>
      </c>
      <c r="B12" s="82" t="s">
        <v>94</v>
      </c>
      <c r="C12" s="15">
        <v>119510</v>
      </c>
      <c r="D12" s="14">
        <f t="shared" si="2"/>
        <v>119510</v>
      </c>
      <c r="E12" s="231"/>
      <c r="F12" s="257"/>
      <c r="G12" s="228"/>
      <c r="H12" s="231">
        <f>55638+34527</f>
        <v>90165</v>
      </c>
      <c r="I12" s="219"/>
      <c r="J12" s="217">
        <v>29345</v>
      </c>
      <c r="K12" s="217"/>
      <c r="L12" s="217"/>
      <c r="M12" s="9">
        <f t="shared" si="0"/>
        <v>29345</v>
      </c>
      <c r="N12" s="217"/>
      <c r="O12" s="217"/>
      <c r="P12" s="217"/>
      <c r="Q12" s="214">
        <f t="shared" si="1"/>
        <v>0</v>
      </c>
      <c r="R12" s="231"/>
    </row>
    <row r="13" spans="1:20" ht="15" thickBot="1" x14ac:dyDescent="0.35">
      <c r="A13" s="39">
        <v>562.29</v>
      </c>
      <c r="B13" s="82" t="s">
        <v>86</v>
      </c>
      <c r="C13" s="15">
        <v>242385</v>
      </c>
      <c r="D13" s="14">
        <f t="shared" si="2"/>
        <v>235160</v>
      </c>
      <c r="E13" s="231"/>
      <c r="F13" s="257">
        <v>37996</v>
      </c>
      <c r="G13" s="228"/>
      <c r="H13" s="231"/>
      <c r="I13" s="219"/>
      <c r="J13" s="217">
        <v>150000</v>
      </c>
      <c r="K13" s="217"/>
      <c r="L13" s="217"/>
      <c r="M13" s="9">
        <f t="shared" si="0"/>
        <v>150000</v>
      </c>
      <c r="N13" s="217"/>
      <c r="O13" s="217">
        <f>24154+466+22544</f>
        <v>47164</v>
      </c>
      <c r="P13" s="217"/>
      <c r="Q13" s="214">
        <f t="shared" si="1"/>
        <v>47164</v>
      </c>
      <c r="R13" s="231"/>
    </row>
    <row r="14" spans="1:20" ht="15" thickBot="1" x14ac:dyDescent="0.35">
      <c r="A14" s="39">
        <v>562.32000000000005</v>
      </c>
      <c r="B14" s="40" t="s">
        <v>50</v>
      </c>
      <c r="C14" s="15">
        <v>87898</v>
      </c>
      <c r="D14" s="14">
        <f t="shared" si="2"/>
        <v>85395</v>
      </c>
      <c r="E14" s="231"/>
      <c r="F14" s="257">
        <v>19018</v>
      </c>
      <c r="G14" s="228"/>
      <c r="H14" s="231">
        <f>5661+1728+1841+11546+573</f>
        <v>21349</v>
      </c>
      <c r="I14" s="219"/>
      <c r="J14" s="217">
        <v>15000</v>
      </c>
      <c r="K14" s="217"/>
      <c r="L14" s="217"/>
      <c r="M14" s="9">
        <f t="shared" si="0"/>
        <v>15000</v>
      </c>
      <c r="N14" s="217"/>
      <c r="O14" s="217">
        <v>30028</v>
      </c>
      <c r="P14" s="217"/>
      <c r="Q14" s="214">
        <f t="shared" si="1"/>
        <v>30028</v>
      </c>
      <c r="R14" s="231"/>
    </row>
    <row r="15" spans="1:20" ht="15" thickBot="1" x14ac:dyDescent="0.35">
      <c r="A15" s="39">
        <v>562.33000000000004</v>
      </c>
      <c r="B15" s="82" t="s">
        <v>95</v>
      </c>
      <c r="C15" s="15">
        <v>819</v>
      </c>
      <c r="D15" s="14">
        <f t="shared" si="2"/>
        <v>819</v>
      </c>
      <c r="E15" s="231"/>
      <c r="F15" s="257"/>
      <c r="G15" s="228"/>
      <c r="H15" s="231"/>
      <c r="I15" s="219"/>
      <c r="J15" s="217">
        <v>819</v>
      </c>
      <c r="K15" s="217"/>
      <c r="L15" s="217"/>
      <c r="M15" s="9">
        <f t="shared" si="0"/>
        <v>819</v>
      </c>
      <c r="N15" s="217"/>
      <c r="O15" s="217"/>
      <c r="P15" s="217"/>
      <c r="Q15" s="214">
        <f t="shared" si="1"/>
        <v>0</v>
      </c>
      <c r="R15" s="231"/>
    </row>
    <row r="16" spans="1:20" ht="15" thickBot="1" x14ac:dyDescent="0.35">
      <c r="A16" s="39">
        <v>562.34</v>
      </c>
      <c r="B16" s="40" t="s">
        <v>51</v>
      </c>
      <c r="C16" s="15">
        <v>2977</v>
      </c>
      <c r="D16" s="14">
        <f t="shared" si="2"/>
        <v>2977</v>
      </c>
      <c r="E16" s="231"/>
      <c r="F16" s="257"/>
      <c r="G16" s="228"/>
      <c r="H16" s="231"/>
      <c r="I16" s="219"/>
      <c r="J16" s="217">
        <v>2166</v>
      </c>
      <c r="K16" s="217"/>
      <c r="L16" s="217"/>
      <c r="M16" s="9">
        <f t="shared" si="0"/>
        <v>2166</v>
      </c>
      <c r="N16" s="217"/>
      <c r="O16" s="217">
        <v>811</v>
      </c>
      <c r="P16" s="217"/>
      <c r="Q16" s="214">
        <f t="shared" si="1"/>
        <v>811</v>
      </c>
      <c r="R16" s="231"/>
      <c r="T16" s="204"/>
    </row>
    <row r="17" spans="1:18" ht="15" thickBot="1" x14ac:dyDescent="0.35">
      <c r="A17" s="39">
        <v>562.35</v>
      </c>
      <c r="B17" s="40" t="s">
        <v>52</v>
      </c>
      <c r="C17" s="15"/>
      <c r="D17" s="14">
        <f t="shared" si="2"/>
        <v>0</v>
      </c>
      <c r="E17" s="231"/>
      <c r="F17" s="257"/>
      <c r="G17" s="228"/>
      <c r="H17" s="231"/>
      <c r="I17" s="219"/>
      <c r="J17" s="217"/>
      <c r="K17" s="217"/>
      <c r="L17" s="217"/>
      <c r="M17" s="9">
        <f t="shared" si="0"/>
        <v>0</v>
      </c>
      <c r="N17" s="217"/>
      <c r="O17" s="217"/>
      <c r="P17" s="217"/>
      <c r="Q17" s="214">
        <f t="shared" si="1"/>
        <v>0</v>
      </c>
      <c r="R17" s="231"/>
    </row>
    <row r="18" spans="1:18" ht="15" thickBot="1" x14ac:dyDescent="0.35">
      <c r="A18" s="39">
        <v>562.39</v>
      </c>
      <c r="B18" s="40" t="s">
        <v>53</v>
      </c>
      <c r="C18" s="15">
        <v>22071</v>
      </c>
      <c r="D18" s="14">
        <f t="shared" si="2"/>
        <v>22071</v>
      </c>
      <c r="E18" s="231"/>
      <c r="F18" s="257">
        <v>22071</v>
      </c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/>
      <c r="P18" s="217"/>
      <c r="Q18" s="214">
        <f t="shared" si="1"/>
        <v>0</v>
      </c>
      <c r="R18" s="231"/>
    </row>
    <row r="19" spans="1:18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</row>
    <row r="20" spans="1:18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</row>
    <row r="21" spans="1:18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</row>
    <row r="22" spans="1:18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</row>
    <row r="23" spans="1:18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</row>
    <row r="24" spans="1:18" ht="15" thickBot="1" x14ac:dyDescent="0.35">
      <c r="A24" s="39">
        <v>562.49</v>
      </c>
      <c r="B24" s="82" t="s">
        <v>87</v>
      </c>
      <c r="C24" s="15">
        <v>6845</v>
      </c>
      <c r="D24" s="14">
        <f t="shared" si="2"/>
        <v>6845</v>
      </c>
      <c r="E24" s="231"/>
      <c r="F24" s="257">
        <v>6845</v>
      </c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</row>
    <row r="25" spans="1:18" ht="15" thickBot="1" x14ac:dyDescent="0.35">
      <c r="A25" s="39">
        <v>562.52</v>
      </c>
      <c r="B25" s="40" t="s">
        <v>56</v>
      </c>
      <c r="C25" s="15">
        <v>43298</v>
      </c>
      <c r="D25" s="14">
        <f t="shared" si="2"/>
        <v>57095</v>
      </c>
      <c r="E25" s="231">
        <v>2250</v>
      </c>
      <c r="F25" s="257"/>
      <c r="G25" s="228"/>
      <c r="H25" s="231">
        <v>3155</v>
      </c>
      <c r="I25" s="219"/>
      <c r="J25" s="217"/>
      <c r="K25" s="217"/>
      <c r="L25" s="217"/>
      <c r="M25" s="9">
        <f t="shared" si="0"/>
        <v>0</v>
      </c>
      <c r="N25" s="217">
        <v>46490</v>
      </c>
      <c r="O25" s="217">
        <v>5200</v>
      </c>
      <c r="P25" s="217"/>
      <c r="Q25" s="214">
        <f t="shared" si="1"/>
        <v>51690</v>
      </c>
      <c r="R25" s="231"/>
    </row>
    <row r="26" spans="1:18" ht="15" thickBot="1" x14ac:dyDescent="0.35">
      <c r="A26" s="39">
        <v>562.53</v>
      </c>
      <c r="B26" s="82" t="s">
        <v>99</v>
      </c>
      <c r="C26" s="15">
        <v>31215</v>
      </c>
      <c r="D26" s="14">
        <f t="shared" si="2"/>
        <v>40999</v>
      </c>
      <c r="E26" s="231"/>
      <c r="F26" s="257"/>
      <c r="G26" s="228">
        <v>36199</v>
      </c>
      <c r="H26" s="231"/>
      <c r="I26" s="219"/>
      <c r="J26" s="217"/>
      <c r="K26" s="217"/>
      <c r="L26" s="217"/>
      <c r="M26" s="9">
        <f t="shared" si="0"/>
        <v>0</v>
      </c>
      <c r="N26" s="217">
        <v>4800</v>
      </c>
      <c r="O26" s="217"/>
      <c r="P26" s="217"/>
      <c r="Q26" s="214">
        <f t="shared" si="1"/>
        <v>4800</v>
      </c>
      <c r="R26" s="231"/>
    </row>
    <row r="27" spans="1:18" ht="15" thickBot="1" x14ac:dyDescent="0.35">
      <c r="A27" s="39">
        <v>562.54</v>
      </c>
      <c r="B27" s="82" t="s">
        <v>100</v>
      </c>
      <c r="C27" s="15">
        <v>255159</v>
      </c>
      <c r="D27" s="14">
        <f t="shared" si="2"/>
        <v>305221</v>
      </c>
      <c r="E27" s="231">
        <v>50398</v>
      </c>
      <c r="F27" s="257"/>
      <c r="G27" s="228"/>
      <c r="H27" s="231">
        <v>43387</v>
      </c>
      <c r="I27" s="219">
        <v>3688</v>
      </c>
      <c r="J27" s="217"/>
      <c r="K27" s="217"/>
      <c r="L27" s="217"/>
      <c r="M27" s="9">
        <f t="shared" si="0"/>
        <v>0</v>
      </c>
      <c r="N27" s="217">
        <v>113510</v>
      </c>
      <c r="O27" s="217">
        <f>4810+89428</f>
        <v>94238</v>
      </c>
      <c r="P27" s="217"/>
      <c r="Q27" s="214">
        <f t="shared" si="1"/>
        <v>207748</v>
      </c>
      <c r="R27" s="231"/>
    </row>
    <row r="28" spans="1:18" ht="15" thickBot="1" x14ac:dyDescent="0.35">
      <c r="A28" s="39">
        <v>562.54999999999995</v>
      </c>
      <c r="B28" s="40" t="s">
        <v>57</v>
      </c>
      <c r="C28" s="15">
        <v>1648</v>
      </c>
      <c r="D28" s="14">
        <f t="shared" si="2"/>
        <v>1648</v>
      </c>
      <c r="E28" s="231"/>
      <c r="F28" s="257"/>
      <c r="G28" s="228"/>
      <c r="H28" s="231"/>
      <c r="I28" s="219"/>
      <c r="J28" s="217">
        <v>1648</v>
      </c>
      <c r="K28" s="217"/>
      <c r="L28" s="217"/>
      <c r="M28" s="9">
        <f t="shared" si="0"/>
        <v>1648</v>
      </c>
      <c r="N28" s="217"/>
      <c r="O28" s="217"/>
      <c r="P28" s="217"/>
      <c r="Q28" s="214">
        <f t="shared" si="1"/>
        <v>0</v>
      </c>
      <c r="R28" s="231"/>
    </row>
    <row r="29" spans="1:18" ht="15" thickBot="1" x14ac:dyDescent="0.35">
      <c r="A29" s="39">
        <v>562.55999999999995</v>
      </c>
      <c r="B29" s="40" t="s">
        <v>58</v>
      </c>
      <c r="C29" s="15">
        <v>97388</v>
      </c>
      <c r="D29" s="14">
        <f t="shared" si="2"/>
        <v>97388</v>
      </c>
      <c r="E29" s="231"/>
      <c r="F29" s="257"/>
      <c r="G29" s="228"/>
      <c r="H29" s="231"/>
      <c r="I29" s="219"/>
      <c r="J29" s="217">
        <v>15727</v>
      </c>
      <c r="K29" s="217"/>
      <c r="L29" s="217"/>
      <c r="M29" s="9">
        <f t="shared" si="0"/>
        <v>15727</v>
      </c>
      <c r="N29" s="217">
        <v>81661</v>
      </c>
      <c r="O29" s="217"/>
      <c r="P29" s="217"/>
      <c r="Q29" s="214">
        <f t="shared" si="1"/>
        <v>81661</v>
      </c>
      <c r="R29" s="231"/>
    </row>
    <row r="30" spans="1:18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</row>
    <row r="31" spans="1:18" ht="15" thickBot="1" x14ac:dyDescent="0.35">
      <c r="A31" s="39">
        <v>562.58000000000004</v>
      </c>
      <c r="B31" s="82" t="s">
        <v>88</v>
      </c>
      <c r="C31" s="15">
        <v>3496</v>
      </c>
      <c r="D31" s="14">
        <f t="shared" si="2"/>
        <v>11665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v>11665</v>
      </c>
      <c r="O31" s="217"/>
      <c r="P31" s="217"/>
      <c r="Q31" s="214">
        <f t="shared" si="1"/>
        <v>11665</v>
      </c>
      <c r="R31" s="231"/>
    </row>
    <row r="32" spans="1:18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</row>
    <row r="33" spans="1:18" ht="15" thickBot="1" x14ac:dyDescent="0.35">
      <c r="A33" s="39">
        <v>562.6</v>
      </c>
      <c r="B33" s="40" t="s">
        <v>59</v>
      </c>
      <c r="C33" s="15">
        <v>42647</v>
      </c>
      <c r="D33" s="14">
        <f t="shared" si="2"/>
        <v>31966</v>
      </c>
      <c r="E33" s="231">
        <v>7479</v>
      </c>
      <c r="F33" s="257"/>
      <c r="G33" s="228">
        <v>22712</v>
      </c>
      <c r="H33" s="231"/>
      <c r="I33" s="219"/>
      <c r="J33" s="217">
        <v>1775</v>
      </c>
      <c r="K33" s="217"/>
      <c r="L33" s="217"/>
      <c r="M33" s="9">
        <f t="shared" si="0"/>
        <v>1775</v>
      </c>
      <c r="N33" s="217"/>
      <c r="O33" s="217"/>
      <c r="P33" s="217"/>
      <c r="Q33" s="214">
        <f t="shared" si="1"/>
        <v>0</v>
      </c>
      <c r="R33" s="231"/>
    </row>
    <row r="34" spans="1:18" ht="15" thickBot="1" x14ac:dyDescent="0.35">
      <c r="A34" s="39">
        <v>562.71</v>
      </c>
      <c r="B34" s="40" t="s">
        <v>60</v>
      </c>
      <c r="C34" s="15">
        <v>2944</v>
      </c>
      <c r="D34" s="14">
        <f t="shared" si="2"/>
        <v>5224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5224</v>
      </c>
      <c r="P34" s="217"/>
      <c r="Q34" s="214">
        <f t="shared" si="1"/>
        <v>5224</v>
      </c>
      <c r="R34" s="231"/>
    </row>
    <row r="35" spans="1:18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</row>
    <row r="36" spans="1:18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</row>
    <row r="37" spans="1:18" ht="15" thickBot="1" x14ac:dyDescent="0.35">
      <c r="A37" s="39">
        <v>562.74</v>
      </c>
      <c r="B37" s="82" t="s">
        <v>90</v>
      </c>
      <c r="C37" s="15"/>
      <c r="D37" s="14">
        <f t="shared" si="2"/>
        <v>82827</v>
      </c>
      <c r="E37" s="231"/>
      <c r="F37" s="257"/>
      <c r="G37" s="228"/>
      <c r="H37" s="231">
        <v>82827</v>
      </c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</row>
    <row r="38" spans="1:18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</row>
    <row r="39" spans="1:18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</row>
    <row r="40" spans="1:18" ht="15" thickBot="1" x14ac:dyDescent="0.35">
      <c r="A40" s="39">
        <v>562.79999999999995</v>
      </c>
      <c r="B40" s="40" t="s">
        <v>65</v>
      </c>
      <c r="C40" s="15"/>
      <c r="D40" s="14">
        <f t="shared" si="2"/>
        <v>0</v>
      </c>
      <c r="E40" s="231"/>
      <c r="F40" s="257"/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</row>
    <row r="41" spans="1:18" ht="15" thickBot="1" x14ac:dyDescent="0.35">
      <c r="A41" s="39">
        <v>562.88</v>
      </c>
      <c r="B41" s="82" t="s">
        <v>91</v>
      </c>
      <c r="C41" s="15">
        <v>71840</v>
      </c>
      <c r="D41" s="14">
        <f t="shared" si="2"/>
        <v>60787</v>
      </c>
      <c r="E41" s="231"/>
      <c r="F41" s="257"/>
      <c r="G41" s="228"/>
      <c r="H41" s="231">
        <v>17296</v>
      </c>
      <c r="I41" s="219"/>
      <c r="J41" s="217">
        <v>43491</v>
      </c>
      <c r="K41" s="217"/>
      <c r="L41" s="217"/>
      <c r="M41" s="9">
        <f t="shared" si="0"/>
        <v>43491</v>
      </c>
      <c r="N41" s="217"/>
      <c r="O41" s="217"/>
      <c r="P41" s="217"/>
      <c r="Q41" s="214">
        <f t="shared" si="1"/>
        <v>0</v>
      </c>
      <c r="R41" s="231"/>
    </row>
    <row r="42" spans="1:18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</row>
    <row r="43" spans="1:18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</row>
    <row r="44" spans="1:18" x14ac:dyDescent="0.3">
      <c r="A44" s="206" t="s">
        <v>110</v>
      </c>
      <c r="B44" s="207" t="s">
        <v>68</v>
      </c>
      <c r="C44" s="208">
        <f>SUM(C5:C43)</f>
        <v>1525483</v>
      </c>
      <c r="D44" s="205">
        <f>E44+F44+G44+H44+I44+M44+Q44+R44</f>
        <v>1638007</v>
      </c>
      <c r="E44" s="233">
        <f t="shared" ref="E44:R44" si="3">SUM(E5:E43)</f>
        <v>60127</v>
      </c>
      <c r="F44" s="259">
        <f t="shared" si="3"/>
        <v>189853</v>
      </c>
      <c r="G44" s="223">
        <f t="shared" si="3"/>
        <v>63168</v>
      </c>
      <c r="H44" s="233">
        <f t="shared" si="3"/>
        <v>293901</v>
      </c>
      <c r="I44" s="239">
        <f t="shared" si="3"/>
        <v>21195</v>
      </c>
      <c r="J44" s="245">
        <f>SUM(J5:J43)</f>
        <v>530733</v>
      </c>
      <c r="K44" s="245">
        <f>SUM(K5:K43)</f>
        <v>0</v>
      </c>
      <c r="L44" s="245">
        <f>SUM(L5:L43)</f>
        <v>0</v>
      </c>
      <c r="M44" s="208">
        <f t="shared" si="3"/>
        <v>530733</v>
      </c>
      <c r="N44" s="245">
        <f>SUM(N5:N43)</f>
        <v>258126</v>
      </c>
      <c r="O44" s="245">
        <f>SUM(O5:O43)</f>
        <v>219814</v>
      </c>
      <c r="P44" s="245">
        <f>SUM(P5:P43)</f>
        <v>0</v>
      </c>
      <c r="Q44" s="216">
        <f t="shared" si="3"/>
        <v>477940</v>
      </c>
      <c r="R44" s="233">
        <f t="shared" si="3"/>
        <v>1090</v>
      </c>
    </row>
    <row r="45" spans="1:18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</row>
    <row r="46" spans="1:18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</row>
    <row r="47" spans="1:18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</row>
    <row r="48" spans="1:18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</row>
    <row r="49" spans="1:18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</row>
    <row r="50" spans="1:18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</row>
    <row r="51" spans="1:18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</row>
    <row r="52" spans="1:18" ht="15" thickBot="1" x14ac:dyDescent="0.35">
      <c r="A52" s="39">
        <v>564</v>
      </c>
      <c r="B52" s="40" t="s">
        <v>75</v>
      </c>
      <c r="C52" s="15">
        <v>758858</v>
      </c>
      <c r="D52" s="14">
        <f t="shared" si="2"/>
        <v>775420</v>
      </c>
      <c r="E52" s="231"/>
      <c r="F52" s="257"/>
      <c r="G52" s="228"/>
      <c r="H52" s="231"/>
      <c r="I52" s="219">
        <v>4659</v>
      </c>
      <c r="J52" s="217">
        <f>429051+33755</f>
        <v>462806</v>
      </c>
      <c r="K52" s="217"/>
      <c r="L52" s="217"/>
      <c r="M52" s="9">
        <f t="shared" si="0"/>
        <v>462806</v>
      </c>
      <c r="N52" s="217"/>
      <c r="O52" s="217">
        <f>97624+5000+205331</f>
        <v>307955</v>
      </c>
      <c r="P52" s="217"/>
      <c r="Q52" s="214">
        <f t="shared" si="1"/>
        <v>307955</v>
      </c>
      <c r="R52" s="231"/>
    </row>
    <row r="53" spans="1:18" ht="15" thickBot="1" x14ac:dyDescent="0.35">
      <c r="A53" s="39">
        <v>566</v>
      </c>
      <c r="B53" s="40" t="s">
        <v>76</v>
      </c>
      <c r="C53" s="15">
        <v>420328</v>
      </c>
      <c r="D53" s="14">
        <f t="shared" si="2"/>
        <v>328637</v>
      </c>
      <c r="E53" s="231"/>
      <c r="F53" s="257"/>
      <c r="G53" s="228">
        <f>153500+34907+18782+12558</f>
        <v>219747</v>
      </c>
      <c r="H53" s="231">
        <f>32089+1250</f>
        <v>33339</v>
      </c>
      <c r="I53" s="219">
        <v>75551</v>
      </c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</row>
    <row r="54" spans="1:18" ht="15" thickBot="1" x14ac:dyDescent="0.35">
      <c r="A54" s="39">
        <v>568</v>
      </c>
      <c r="B54" s="40" t="s">
        <v>77</v>
      </c>
      <c r="C54" s="15">
        <v>151142</v>
      </c>
      <c r="D54" s="14">
        <f t="shared" si="2"/>
        <v>133534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>
        <v>133534</v>
      </c>
      <c r="P54" s="217"/>
      <c r="Q54" s="214">
        <f t="shared" si="1"/>
        <v>133534</v>
      </c>
      <c r="R54" s="231"/>
    </row>
    <row r="55" spans="1:18" x14ac:dyDescent="0.3">
      <c r="A55" s="41">
        <v>500</v>
      </c>
      <c r="B55" s="32" t="s">
        <v>118</v>
      </c>
      <c r="C55" s="18">
        <v>1022497</v>
      </c>
      <c r="D55" s="20">
        <f t="shared" si="2"/>
        <v>1052224</v>
      </c>
      <c r="E55" s="232"/>
      <c r="F55" s="258"/>
      <c r="G55" s="229">
        <f>35775+28086+59931+317951</f>
        <v>441743</v>
      </c>
      <c r="H55" s="232"/>
      <c r="I55" s="220">
        <f>84042+46919+6050</f>
        <v>137011</v>
      </c>
      <c r="J55" s="244">
        <v>258887</v>
      </c>
      <c r="K55" s="244"/>
      <c r="L55" s="244">
        <v>70733</v>
      </c>
      <c r="M55" s="198">
        <f t="shared" si="0"/>
        <v>329620</v>
      </c>
      <c r="N55" s="244"/>
      <c r="O55" s="244">
        <f>22156+116986</f>
        <v>139142</v>
      </c>
      <c r="P55" s="244"/>
      <c r="Q55" s="215">
        <f t="shared" si="1"/>
        <v>139142</v>
      </c>
      <c r="R55" s="232">
        <f>95+4613</f>
        <v>4708</v>
      </c>
    </row>
    <row r="56" spans="1:18" ht="15" thickBot="1" x14ac:dyDescent="0.35">
      <c r="A56" s="107"/>
      <c r="B56" s="108" t="s">
        <v>80</v>
      </c>
      <c r="C56" s="111">
        <f>SUM(C44:C55)</f>
        <v>3878308</v>
      </c>
      <c r="D56" s="110">
        <f>E56+F56+G56+H56+I56+M56+Q56+R56</f>
        <v>3927822</v>
      </c>
      <c r="E56" s="235">
        <f t="shared" ref="E56:R56" si="4">SUM(E44:E55)</f>
        <v>60127</v>
      </c>
      <c r="F56" s="260">
        <f t="shared" si="4"/>
        <v>189853</v>
      </c>
      <c r="G56" s="225">
        <f t="shared" si="4"/>
        <v>724658</v>
      </c>
      <c r="H56" s="235">
        <f t="shared" si="4"/>
        <v>327240</v>
      </c>
      <c r="I56" s="240">
        <f t="shared" si="4"/>
        <v>238416</v>
      </c>
      <c r="J56" s="218">
        <f>SUM(J44:J55)</f>
        <v>1252426</v>
      </c>
      <c r="K56" s="218">
        <f>SUM(K44:K55)</f>
        <v>0</v>
      </c>
      <c r="L56" s="218">
        <f>SUM(L44:L55)</f>
        <v>70733</v>
      </c>
      <c r="M56" s="209">
        <f t="shared" si="4"/>
        <v>1323159</v>
      </c>
      <c r="N56" s="218">
        <f>SUM(N44:N55)</f>
        <v>258126</v>
      </c>
      <c r="O56" s="218">
        <f>SUM(O44:O55)</f>
        <v>800445</v>
      </c>
      <c r="P56" s="218">
        <f>SUM(P44:P55)</f>
        <v>0</v>
      </c>
      <c r="Q56" s="218">
        <f t="shared" si="4"/>
        <v>1058571</v>
      </c>
      <c r="R56" s="235">
        <f t="shared" si="4"/>
        <v>5798</v>
      </c>
    </row>
    <row r="57" spans="1:18" ht="15" thickTop="1" x14ac:dyDescent="0.3"/>
    <row r="58" spans="1:18" ht="15" thickBot="1" x14ac:dyDescent="0.35"/>
    <row r="59" spans="1:18" ht="15" thickBot="1" x14ac:dyDescent="0.35">
      <c r="B59" s="42" t="s">
        <v>109</v>
      </c>
      <c r="C59" s="43"/>
      <c r="D59" s="44"/>
    </row>
    <row r="60" spans="1:18" ht="15" thickTop="1" x14ac:dyDescent="0.3">
      <c r="B60" s="115"/>
      <c r="C60" s="116" t="s">
        <v>82</v>
      </c>
      <c r="D60" s="117" t="s">
        <v>78</v>
      </c>
    </row>
    <row r="61" spans="1:18" x14ac:dyDescent="0.3">
      <c r="B61" s="153" t="s">
        <v>108</v>
      </c>
      <c r="C61" s="45"/>
      <c r="D61" s="46"/>
    </row>
    <row r="62" spans="1:18" x14ac:dyDescent="0.3">
      <c r="B62" s="26" t="s">
        <v>3</v>
      </c>
      <c r="C62" s="47">
        <f>E56</f>
        <v>60127</v>
      </c>
      <c r="D62" s="48">
        <f>E56/D56</f>
        <v>1.530797475038329E-2</v>
      </c>
    </row>
    <row r="63" spans="1:18" x14ac:dyDescent="0.3">
      <c r="B63" s="26" t="s">
        <v>4</v>
      </c>
      <c r="C63" s="49">
        <f>F56</f>
        <v>189853</v>
      </c>
      <c r="D63" s="48">
        <f>F56/D56</f>
        <v>4.8335438825893841E-2</v>
      </c>
    </row>
    <row r="64" spans="1:18" x14ac:dyDescent="0.3">
      <c r="B64" s="56" t="s">
        <v>79</v>
      </c>
      <c r="C64" s="50">
        <f>G56</f>
        <v>724658</v>
      </c>
      <c r="D64" s="51">
        <f>G56/D56</f>
        <v>0.18449359466900486</v>
      </c>
    </row>
    <row r="65" spans="2:4" ht="15" thickBot="1" x14ac:dyDescent="0.35">
      <c r="B65" s="146" t="s">
        <v>115</v>
      </c>
      <c r="C65" s="52">
        <f>SUM(C62:C64)</f>
        <v>974638</v>
      </c>
      <c r="D65" s="53">
        <f>SUM(D62:D64)</f>
        <v>0.24813700824528201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327240</v>
      </c>
      <c r="D67" s="25">
        <f>H56/D56</f>
        <v>8.331334770261993E-2</v>
      </c>
    </row>
    <row r="68" spans="2:4" x14ac:dyDescent="0.3">
      <c r="B68" s="57" t="s">
        <v>7</v>
      </c>
      <c r="C68" s="27">
        <f>I56</f>
        <v>238416</v>
      </c>
      <c r="D68" s="28">
        <f>I56/D56</f>
        <v>6.0699288307871385E-2</v>
      </c>
    </row>
    <row r="69" spans="2:4" ht="15" thickBot="1" x14ac:dyDescent="0.35">
      <c r="B69" s="146" t="s">
        <v>116</v>
      </c>
      <c r="C69" s="52">
        <f>SUM(C67:C68)</f>
        <v>565656</v>
      </c>
      <c r="D69" s="53">
        <f>SUM(D67:D68)</f>
        <v>0.1440126360104913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1323159</v>
      </c>
      <c r="D71" s="25">
        <f>M56/D56</f>
        <v>0.33686837132639919</v>
      </c>
    </row>
    <row r="72" spans="2:4" x14ac:dyDescent="0.3">
      <c r="B72" s="24" t="s">
        <v>8</v>
      </c>
      <c r="C72" s="23">
        <f>Q56</f>
        <v>1058571</v>
      </c>
      <c r="D72" s="25">
        <f>Q56/D56</f>
        <v>0.26950584827927537</v>
      </c>
    </row>
    <row r="73" spans="2:4" x14ac:dyDescent="0.3">
      <c r="B73" s="163" t="s">
        <v>83</v>
      </c>
      <c r="C73" s="27">
        <f>R56</f>
        <v>5798</v>
      </c>
      <c r="D73" s="28">
        <f>R56/D56</f>
        <v>1.4761361385521035E-3</v>
      </c>
    </row>
    <row r="74" spans="2:4" ht="15" thickBot="1" x14ac:dyDescent="0.35">
      <c r="B74" s="146" t="s">
        <v>117</v>
      </c>
      <c r="C74" s="52">
        <f>SUM(C71:C73)</f>
        <v>2387528</v>
      </c>
      <c r="D74" s="53">
        <f>SUM(D71:D73)</f>
        <v>0.60785035574422663</v>
      </c>
    </row>
    <row r="75" spans="2:4" ht="15" thickBot="1" x14ac:dyDescent="0.35">
      <c r="B75" s="157" t="s">
        <v>80</v>
      </c>
      <c r="C75" s="158">
        <f>C65+C69+C74</f>
        <v>3927822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44:M44 Q44:R55 A5:R43">
    <cfRule type="expression" dxfId="77" priority="7">
      <formula>ROW()=EVEN(ROW())</formula>
    </cfRule>
  </conditionalFormatting>
  <conditionalFormatting sqref="A55:B55">
    <cfRule type="expression" dxfId="76" priority="5">
      <formula>ROW()=EVEN(ROW())</formula>
    </cfRule>
  </conditionalFormatting>
  <conditionalFormatting sqref="A54:B54">
    <cfRule type="expression" dxfId="75" priority="4">
      <formula>ROW()=EVEN(ROW())</formula>
    </cfRule>
  </conditionalFormatting>
  <conditionalFormatting sqref="M45:M55">
    <cfRule type="expression" dxfId="74" priority="3">
      <formula>ROW()=EVEN(ROW())</formula>
    </cfRule>
  </conditionalFormatting>
  <conditionalFormatting sqref="D45:D55">
    <cfRule type="expression" dxfId="73" priority="2">
      <formula>ROW()=EVEN(ROW())</formula>
    </cfRule>
  </conditionalFormatting>
  <conditionalFormatting sqref="N44:P55">
    <cfRule type="expression" dxfId="72" priority="1">
      <formula>ROW()=EVEN(ROW())</formula>
    </cfRule>
  </conditionalFormatting>
  <printOptions horizontalCentered="1"/>
  <pageMargins left="0" right="0" top="1.1000000000000001" bottom="0.5" header="0.3" footer="0.3"/>
  <pageSetup scale="59" fitToHeight="0" orientation="landscape" r:id="rId1"/>
  <headerFooter>
    <oddHeader>&amp;C&amp;"-,Bold"&amp;20Funding by Expenditure Code and Revenue Source&amp;"-,Regular"&amp;11
&amp;"-,Bold"&amp;20 2014&amp;"-,Regular"&amp;11
&amp;"-,Bold"&amp;20SAN JUAN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Zeros="0" tabSelected="1" view="pageLayout" zoomScaleNormal="100" workbookViewId="0">
      <selection activeCell="L38" sqref="L38:N38"/>
    </sheetView>
  </sheetViews>
  <sheetFormatPr defaultRowHeight="14.4" x14ac:dyDescent="0.3"/>
  <cols>
    <col min="1" max="1" width="14" bestFit="1" customWidth="1"/>
    <col min="2" max="2" width="9.88671875" customWidth="1"/>
    <col min="3" max="3" width="9.6640625" bestFit="1" customWidth="1"/>
    <col min="4" max="4" width="7.6640625" bestFit="1" customWidth="1"/>
    <col min="5" max="6" width="11.6640625" bestFit="1" customWidth="1"/>
    <col min="7" max="7" width="10.6640625" bestFit="1" customWidth="1"/>
    <col min="8" max="8" width="11.109375" customWidth="1"/>
    <col min="9" max="11" width="10.6640625" bestFit="1" customWidth="1"/>
    <col min="12" max="12" width="11.5546875" customWidth="1"/>
    <col min="13" max="13" width="12" customWidth="1"/>
    <col min="14" max="14" width="10.6640625" bestFit="1" customWidth="1"/>
  </cols>
  <sheetData>
    <row r="1" spans="1:14" x14ac:dyDescent="0.3">
      <c r="A1" s="58"/>
      <c r="B1" s="268"/>
      <c r="C1" s="171"/>
      <c r="D1" s="170"/>
      <c r="E1" s="172"/>
      <c r="F1" s="1"/>
      <c r="G1" s="291" t="s">
        <v>108</v>
      </c>
      <c r="H1" s="292"/>
      <c r="I1" s="293"/>
      <c r="J1" s="294" t="s">
        <v>107</v>
      </c>
      <c r="K1" s="295"/>
      <c r="L1" s="294" t="s">
        <v>106</v>
      </c>
      <c r="M1" s="296"/>
      <c r="N1" s="124"/>
    </row>
    <row r="2" spans="1:14" ht="53.4" x14ac:dyDescent="0.3">
      <c r="A2" s="59"/>
      <c r="B2" s="156" t="s">
        <v>170</v>
      </c>
      <c r="C2" s="156" t="s">
        <v>152</v>
      </c>
      <c r="D2" s="126" t="s">
        <v>0</v>
      </c>
      <c r="E2" s="127" t="s">
        <v>1</v>
      </c>
      <c r="F2" s="84" t="s">
        <v>2</v>
      </c>
      <c r="G2" s="33" t="s">
        <v>3</v>
      </c>
      <c r="H2" s="195" t="s">
        <v>4</v>
      </c>
      <c r="I2" s="34" t="s">
        <v>5</v>
      </c>
      <c r="J2" s="11" t="s">
        <v>6</v>
      </c>
      <c r="K2" s="102" t="s">
        <v>105</v>
      </c>
      <c r="L2" s="12" t="s">
        <v>103</v>
      </c>
      <c r="M2" s="128" t="s">
        <v>8</v>
      </c>
      <c r="N2" s="125" t="s">
        <v>46</v>
      </c>
    </row>
    <row r="3" spans="1:14" x14ac:dyDescent="0.3">
      <c r="A3" s="2" t="s">
        <v>9</v>
      </c>
      <c r="B3" s="265" t="s">
        <v>166</v>
      </c>
      <c r="C3" s="91">
        <f>'Adams Pgs 8-9'!C1</f>
        <v>19400</v>
      </c>
      <c r="D3" s="150">
        <f>'Adams Pgs 8-9'!C2</f>
        <v>8.75</v>
      </c>
      <c r="E3" s="173">
        <f>'Adams Pgs 8-9'!C56</f>
        <v>737454</v>
      </c>
      <c r="F3" s="92">
        <f>'Adams Pgs 8-9'!D56</f>
        <v>701169</v>
      </c>
      <c r="G3" s="173">
        <f>'Adams Pgs 8-9'!E56</f>
        <v>0</v>
      </c>
      <c r="H3" s="174">
        <f>'Adams Pgs 8-9'!F56</f>
        <v>121213</v>
      </c>
      <c r="I3" s="92">
        <f>'Adams Pgs 8-9'!G56</f>
        <v>75353</v>
      </c>
      <c r="J3" s="173">
        <f>'Adams Pgs 8-9'!H56</f>
        <v>209633</v>
      </c>
      <c r="K3" s="92">
        <f>'Adams Pgs 8-9'!I56</f>
        <v>21079</v>
      </c>
      <c r="L3" s="173">
        <f>'Adams Pgs 8-9'!M56</f>
        <v>120128</v>
      </c>
      <c r="M3" s="92">
        <f>'Adams Pgs 8-9'!Q56</f>
        <v>152695</v>
      </c>
      <c r="N3" s="93">
        <f>'Adams Pgs 8-9'!R56</f>
        <v>1068</v>
      </c>
    </row>
    <row r="4" spans="1:14" x14ac:dyDescent="0.3">
      <c r="A4" s="2" t="s">
        <v>10</v>
      </c>
      <c r="B4" s="266" t="s">
        <v>166</v>
      </c>
      <c r="C4" s="91">
        <f>'Asotin Pgs 10-11'!C1</f>
        <v>21950</v>
      </c>
      <c r="D4" s="150">
        <f>'Asotin Pgs 10-11'!C2</f>
        <v>7</v>
      </c>
      <c r="E4" s="93">
        <f>'Asotin Pgs 10-11'!C56</f>
        <v>683938</v>
      </c>
      <c r="F4" s="92">
        <f>'Asotin Pgs 10-11'!D56</f>
        <v>539767</v>
      </c>
      <c r="G4" s="93">
        <f>'Asotin Pgs 10-11'!E56</f>
        <v>0</v>
      </c>
      <c r="H4" s="175">
        <f>'Asotin Pgs 10-11'!F56</f>
        <v>159890</v>
      </c>
      <c r="I4" s="92">
        <f>'Asotin Pgs 10-11'!G56</f>
        <v>9219</v>
      </c>
      <c r="J4" s="93">
        <f>'Asotin Pgs 10-11'!H56</f>
        <v>185461</v>
      </c>
      <c r="K4" s="92">
        <f>'Asotin Pgs 10-11'!I56</f>
        <v>54381</v>
      </c>
      <c r="L4" s="93">
        <f>'Asotin Pgs 10-11'!M56</f>
        <v>12500</v>
      </c>
      <c r="M4" s="92">
        <f>'Asotin Pgs 10-11'!Q56</f>
        <v>114376</v>
      </c>
      <c r="N4" s="93">
        <f>'Asotin Pgs 10-11'!R56</f>
        <v>3940</v>
      </c>
    </row>
    <row r="5" spans="1:14" x14ac:dyDescent="0.3">
      <c r="A5" s="2" t="s">
        <v>11</v>
      </c>
      <c r="B5" s="266" t="s">
        <v>166</v>
      </c>
      <c r="C5" s="91">
        <f>'Benton-Franklin Pgs 12-13'!C1</f>
        <v>273100</v>
      </c>
      <c r="D5" s="150">
        <f>'Benton-Franklin Pgs 12-13'!C2</f>
        <v>82.23</v>
      </c>
      <c r="E5" s="93">
        <f>'Benton-Franklin Pgs 12-13'!C56</f>
        <v>8702021</v>
      </c>
      <c r="F5" s="92">
        <f>'Benton-Franklin Pgs 12-13'!D56</f>
        <v>8702320</v>
      </c>
      <c r="G5" s="93">
        <f>'Benton-Franklin Pgs 12-13'!E56</f>
        <v>19977</v>
      </c>
      <c r="H5" s="175">
        <f>'Benton-Franklin Pgs 12-13'!F56</f>
        <v>1599023</v>
      </c>
      <c r="I5" s="92">
        <f>'Benton-Franklin Pgs 12-13'!G56</f>
        <v>89890</v>
      </c>
      <c r="J5" s="93">
        <f>'Benton-Franklin Pgs 12-13'!H56</f>
        <v>2959457</v>
      </c>
      <c r="K5" s="92">
        <f>'Benton-Franklin Pgs 12-13'!I56</f>
        <v>766356</v>
      </c>
      <c r="L5" s="93">
        <f>'Benton-Franklin Pgs 12-13'!M56</f>
        <v>722711</v>
      </c>
      <c r="M5" s="92">
        <f>'Benton-Franklin Pgs 12-13'!Q56</f>
        <v>2512460</v>
      </c>
      <c r="N5" s="93">
        <f>'Benton-Franklin Pgs 12-13'!R56</f>
        <v>32446</v>
      </c>
    </row>
    <row r="6" spans="1:14" x14ac:dyDescent="0.3">
      <c r="A6" s="2" t="s">
        <v>12</v>
      </c>
      <c r="B6" s="266" t="s">
        <v>166</v>
      </c>
      <c r="C6" s="91">
        <f>'Chelan-Douglas Pgs 14-15'!C1</f>
        <v>114000</v>
      </c>
      <c r="D6" s="150">
        <f>'Chelan-Douglas Pgs 14-15'!C2</f>
        <v>33</v>
      </c>
      <c r="E6" s="93">
        <f>'Chelan-Douglas Pgs 14-15'!C56</f>
        <v>3012538</v>
      </c>
      <c r="F6" s="92">
        <f>'Chelan-Douglas Pgs 14-15'!D56</f>
        <v>2889966</v>
      </c>
      <c r="G6" s="93">
        <f>'Chelan-Douglas Pgs 14-15'!E56</f>
        <v>0</v>
      </c>
      <c r="H6" s="175">
        <f>'Chelan-Douglas Pgs 14-15'!F56</f>
        <v>399633</v>
      </c>
      <c r="I6" s="92">
        <f>'Chelan-Douglas Pgs 14-15'!G56</f>
        <v>148185</v>
      </c>
      <c r="J6" s="93">
        <f>'Chelan-Douglas Pgs 14-15'!H56</f>
        <v>446724</v>
      </c>
      <c r="K6" s="92">
        <f>'Chelan-Douglas Pgs 14-15'!I56</f>
        <v>248671</v>
      </c>
      <c r="L6" s="93">
        <f>'Chelan-Douglas Pgs 14-15'!M56</f>
        <v>457820</v>
      </c>
      <c r="M6" s="92">
        <f>'Chelan-Douglas Pgs 14-15'!Q56</f>
        <v>1182685</v>
      </c>
      <c r="N6" s="93">
        <f>'Chelan-Douglas Pgs 14-15'!R56</f>
        <v>6248</v>
      </c>
    </row>
    <row r="7" spans="1:14" x14ac:dyDescent="0.3">
      <c r="A7" s="2" t="s">
        <v>13</v>
      </c>
      <c r="B7" s="266" t="s">
        <v>166</v>
      </c>
      <c r="C7" s="91">
        <f>'Clallam Pgs 16-17'!C1</f>
        <v>72500</v>
      </c>
      <c r="D7" s="150">
        <f>'Clallam Pgs 16-17'!C2</f>
        <v>23.71</v>
      </c>
      <c r="E7" s="93">
        <f>'Clallam Pgs 16-17'!C56</f>
        <v>5849431</v>
      </c>
      <c r="F7" s="92">
        <f>'Clallam Pgs 16-17'!D56</f>
        <v>5849430</v>
      </c>
      <c r="G7" s="93">
        <f>'Clallam Pgs 16-17'!E56</f>
        <v>53801</v>
      </c>
      <c r="H7" s="175">
        <f>'Clallam Pgs 16-17'!F56</f>
        <v>291400</v>
      </c>
      <c r="I7" s="92">
        <f>'Clallam Pgs 16-17'!G56</f>
        <v>1146752</v>
      </c>
      <c r="J7" s="93">
        <f>'Clallam Pgs 16-17'!H56</f>
        <v>650679</v>
      </c>
      <c r="K7" s="92">
        <f>'Clallam Pgs 16-17'!I56</f>
        <v>341940</v>
      </c>
      <c r="L7" s="93">
        <f>'Clallam Pgs 16-17'!M56</f>
        <v>1145584</v>
      </c>
      <c r="M7" s="92">
        <f>'Clallam Pgs 16-17'!Q56</f>
        <v>1178860</v>
      </c>
      <c r="N7" s="93">
        <f>'Clallam Pgs 16-17'!R56</f>
        <v>1040414</v>
      </c>
    </row>
    <row r="8" spans="1:14" x14ac:dyDescent="0.3">
      <c r="A8" s="2" t="s">
        <v>14</v>
      </c>
      <c r="B8" s="266" t="s">
        <v>167</v>
      </c>
      <c r="C8" s="91">
        <f>'Clark Pgs 18-19'!C1</f>
        <v>442800</v>
      </c>
      <c r="D8" s="150">
        <f>'Clark Pgs 18-19'!C2</f>
        <v>78.5</v>
      </c>
      <c r="E8" s="93">
        <f>'Clark Pgs 18-19'!C56</f>
        <v>10257667.640000001</v>
      </c>
      <c r="F8" s="92">
        <f>'Clark Pgs 18-19'!D56</f>
        <v>9562449.8900000006</v>
      </c>
      <c r="G8" s="93">
        <f>'Clark Pgs 18-19'!E56</f>
        <v>245667</v>
      </c>
      <c r="H8" s="175">
        <f>'Clark Pgs 18-19'!F56</f>
        <v>1786339</v>
      </c>
      <c r="I8" s="92">
        <f>'Clark Pgs 18-19'!G56</f>
        <v>236798.02</v>
      </c>
      <c r="J8" s="93">
        <f>'Clark Pgs 18-19'!H56</f>
        <v>1938304.6</v>
      </c>
      <c r="K8" s="92">
        <f>'Clark Pgs 18-19'!I56</f>
        <v>132794.82</v>
      </c>
      <c r="L8" s="93">
        <f>'Clark Pgs 18-19'!M56</f>
        <v>1491448.73</v>
      </c>
      <c r="M8" s="92">
        <f>'Clark Pgs 18-19'!Q56</f>
        <v>3736051.22</v>
      </c>
      <c r="N8" s="93">
        <f>'Clark Pgs 18-19'!R56</f>
        <v>-4953.4999999999973</v>
      </c>
    </row>
    <row r="9" spans="1:14" x14ac:dyDescent="0.3">
      <c r="A9" s="2" t="s">
        <v>15</v>
      </c>
      <c r="B9" s="266" t="s">
        <v>166</v>
      </c>
      <c r="C9" s="91">
        <f>'Columbia Pgs 20-21'!C1</f>
        <v>4080</v>
      </c>
      <c r="D9" s="150">
        <f>'Columbia Pgs 20-21'!C2</f>
        <v>4.2</v>
      </c>
      <c r="E9" s="93">
        <f>'Columbia Pgs 20-21'!C56</f>
        <v>418838</v>
      </c>
      <c r="F9" s="92">
        <f>'Columbia Pgs 20-21'!D56</f>
        <v>418837</v>
      </c>
      <c r="G9" s="93">
        <f>'Columbia Pgs 20-21'!E56</f>
        <v>0</v>
      </c>
      <c r="H9" s="175">
        <f>'Columbia Pgs 20-21'!F56</f>
        <v>120255</v>
      </c>
      <c r="I9" s="92">
        <f>'Columbia Pgs 20-21'!G56</f>
        <v>0</v>
      </c>
      <c r="J9" s="93">
        <f>'Columbia Pgs 20-21'!H56</f>
        <v>131607</v>
      </c>
      <c r="K9" s="92">
        <f>'Columbia Pgs 20-21'!I56</f>
        <v>28739</v>
      </c>
      <c r="L9" s="93">
        <f>'Columbia Pgs 20-21'!M56</f>
        <v>77711</v>
      </c>
      <c r="M9" s="92">
        <f>'Columbia Pgs 20-21'!Q56</f>
        <v>53067</v>
      </c>
      <c r="N9" s="93">
        <f>'Columbia Pgs 20-21'!R56</f>
        <v>7458</v>
      </c>
    </row>
    <row r="10" spans="1:14" x14ac:dyDescent="0.3">
      <c r="A10" s="2" t="s">
        <v>16</v>
      </c>
      <c r="B10" s="266" t="s">
        <v>167</v>
      </c>
      <c r="C10" s="91">
        <f>'Cowlitz Pgs 22-23'!C1</f>
        <v>103700</v>
      </c>
      <c r="D10" s="150">
        <f>'Cowlitz Pgs 22-23'!C2</f>
        <v>26.5</v>
      </c>
      <c r="E10" s="93">
        <f>'Cowlitz Pgs 22-23'!C56</f>
        <v>3131701</v>
      </c>
      <c r="F10" s="92">
        <f>'Cowlitz Pgs 22-23'!D56</f>
        <v>3131702</v>
      </c>
      <c r="G10" s="93">
        <f>'Cowlitz Pgs 22-23'!E56</f>
        <v>0</v>
      </c>
      <c r="H10" s="175">
        <f>'Cowlitz Pgs 22-23'!F56</f>
        <v>477981</v>
      </c>
      <c r="I10" s="92">
        <f>'Cowlitz Pgs 22-23'!G56</f>
        <v>57355</v>
      </c>
      <c r="J10" s="93">
        <f>'Cowlitz Pgs 22-23'!H56</f>
        <v>160561</v>
      </c>
      <c r="K10" s="92">
        <f>'Cowlitz Pgs 22-23'!I56</f>
        <v>383740</v>
      </c>
      <c r="L10" s="93">
        <f>'Cowlitz Pgs 22-23'!M56</f>
        <v>266184</v>
      </c>
      <c r="M10" s="92">
        <f>'Cowlitz Pgs 22-23'!Q56</f>
        <v>1046986</v>
      </c>
      <c r="N10" s="93">
        <f>'Cowlitz Pgs 22-23'!R56</f>
        <v>738895</v>
      </c>
    </row>
    <row r="11" spans="1:14" x14ac:dyDescent="0.3">
      <c r="A11" s="2" t="s">
        <v>17</v>
      </c>
      <c r="B11" s="266" t="s">
        <v>167</v>
      </c>
      <c r="C11" s="91">
        <f>'Garfield Pgs 24-25'!C1</f>
        <v>2240</v>
      </c>
      <c r="D11" s="150">
        <f>'Garfield Pgs 24-25'!C2</f>
        <v>3.7</v>
      </c>
      <c r="E11" s="93">
        <f>'Garfield Pgs 24-25'!C56</f>
        <v>236694</v>
      </c>
      <c r="F11" s="92">
        <f>'Garfield Pgs 24-25'!D56</f>
        <v>219633</v>
      </c>
      <c r="G11" s="93">
        <f>'Garfield Pgs 24-25'!E56</f>
        <v>1238</v>
      </c>
      <c r="H11" s="175">
        <f>'Garfield Pgs 24-25'!F56</f>
        <v>93154</v>
      </c>
      <c r="I11" s="92">
        <f>'Garfield Pgs 24-25'!G56</f>
        <v>565</v>
      </c>
      <c r="J11" s="93">
        <f>'Garfield Pgs 24-25'!H56</f>
        <v>78845</v>
      </c>
      <c r="K11" s="92">
        <f>'Garfield Pgs 24-25'!I56</f>
        <v>2890</v>
      </c>
      <c r="L11" s="93">
        <f>'Garfield Pgs 24-25'!M56</f>
        <v>32503</v>
      </c>
      <c r="M11" s="92">
        <f>'Garfield Pgs 24-25'!Q56</f>
        <v>10199</v>
      </c>
      <c r="N11" s="93">
        <f>'Garfield Pgs 24-25'!R56</f>
        <v>239</v>
      </c>
    </row>
    <row r="12" spans="1:14" x14ac:dyDescent="0.3">
      <c r="A12" s="2" t="s">
        <v>18</v>
      </c>
      <c r="B12" s="266" t="s">
        <v>167</v>
      </c>
      <c r="C12" s="91">
        <f>'Grant Pgs 26-27'!C1</f>
        <v>92900</v>
      </c>
      <c r="D12" s="150">
        <f>'Grant Pgs 26-27'!C2</f>
        <v>24.11</v>
      </c>
      <c r="E12" s="93">
        <f>'Grant Pgs 26-27'!C56</f>
        <v>2398011</v>
      </c>
      <c r="F12" s="92">
        <f>'Grant Pgs 26-27'!D56</f>
        <v>2253170</v>
      </c>
      <c r="G12" s="93">
        <f>'Grant Pgs 26-27'!E56</f>
        <v>5879</v>
      </c>
      <c r="H12" s="175">
        <f>'Grant Pgs 26-27'!F56</f>
        <v>297763</v>
      </c>
      <c r="I12" s="92">
        <f>'Grant Pgs 26-27'!G56</f>
        <v>83609</v>
      </c>
      <c r="J12" s="93">
        <f>'Grant Pgs 26-27'!H56</f>
        <v>765154</v>
      </c>
      <c r="K12" s="92">
        <f>'Grant Pgs 26-27'!I56</f>
        <v>129627</v>
      </c>
      <c r="L12" s="93">
        <f>'Grant Pgs 26-27'!M56</f>
        <v>267734</v>
      </c>
      <c r="M12" s="92">
        <f>'Grant Pgs 26-27'!Q56</f>
        <v>666149</v>
      </c>
      <c r="N12" s="93">
        <f>'Grant Pgs 26-27'!R56</f>
        <v>37255</v>
      </c>
    </row>
    <row r="13" spans="1:14" x14ac:dyDescent="0.3">
      <c r="A13" s="2" t="s">
        <v>19</v>
      </c>
      <c r="B13" s="266" t="s">
        <v>167</v>
      </c>
      <c r="C13" s="91">
        <f>'Grays Harbor Pgs 28-29'!C1</f>
        <v>73300</v>
      </c>
      <c r="D13" s="150">
        <f>'Grays Harbor Pgs 28-29'!C2</f>
        <v>40.299999999999997</v>
      </c>
      <c r="E13" s="93">
        <f>'Grays Harbor Pgs 28-29'!C56</f>
        <v>2349816</v>
      </c>
      <c r="F13" s="92">
        <f>'Grays Harbor Pgs 28-29'!D56</f>
        <v>2349817</v>
      </c>
      <c r="G13" s="93">
        <f>'Grays Harbor Pgs 28-29'!E56</f>
        <v>103926</v>
      </c>
      <c r="H13" s="175">
        <f>'Grays Harbor Pgs 28-29'!F56</f>
        <v>268412</v>
      </c>
      <c r="I13" s="92">
        <f>'Grays Harbor Pgs 28-29'!G56</f>
        <v>0</v>
      </c>
      <c r="J13" s="93">
        <f>'Grays Harbor Pgs 28-29'!H56</f>
        <v>914720</v>
      </c>
      <c r="K13" s="92">
        <f>'Grays Harbor Pgs 28-29'!I56</f>
        <v>164617</v>
      </c>
      <c r="L13" s="93">
        <f>'Grays Harbor Pgs 28-29'!M56</f>
        <v>563908</v>
      </c>
      <c r="M13" s="92">
        <f>'Grays Harbor Pgs 28-29'!Q56</f>
        <v>330268</v>
      </c>
      <c r="N13" s="93">
        <f>'Grays Harbor Pgs 28-29'!R56</f>
        <v>3966</v>
      </c>
    </row>
    <row r="14" spans="1:14" x14ac:dyDescent="0.3">
      <c r="A14" s="2" t="s">
        <v>20</v>
      </c>
      <c r="B14" s="266" t="s">
        <v>167</v>
      </c>
      <c r="C14" s="91">
        <f>'Island Pgs 30-31'!C1</f>
        <v>80000</v>
      </c>
      <c r="D14" s="150">
        <f>'Island Pgs 30-31'!C2</f>
        <v>39</v>
      </c>
      <c r="E14" s="93">
        <f>'Island Pgs 30-31'!C56</f>
        <v>3274613</v>
      </c>
      <c r="F14" s="92">
        <f>'Island Pgs 30-31'!D56</f>
        <v>3308767</v>
      </c>
      <c r="G14" s="93">
        <f>'Island Pgs 30-31'!E56</f>
        <v>22019</v>
      </c>
      <c r="H14" s="175">
        <f>'Island Pgs 30-31'!F56</f>
        <v>255224</v>
      </c>
      <c r="I14" s="92">
        <f>'Island Pgs 30-31'!G56</f>
        <v>166272</v>
      </c>
      <c r="J14" s="93">
        <f>'Island Pgs 30-31'!H56</f>
        <v>686400</v>
      </c>
      <c r="K14" s="92">
        <f>'Island Pgs 30-31'!I56</f>
        <v>145869</v>
      </c>
      <c r="L14" s="93">
        <f>'Island Pgs 30-31'!M56</f>
        <v>459148</v>
      </c>
      <c r="M14" s="92">
        <f>'Island Pgs 30-31'!Q56</f>
        <v>1573302</v>
      </c>
      <c r="N14" s="93">
        <f>'Island Pgs 30-31'!R56</f>
        <v>533</v>
      </c>
    </row>
    <row r="15" spans="1:14" x14ac:dyDescent="0.3">
      <c r="A15" s="2" t="s">
        <v>21</v>
      </c>
      <c r="B15" s="266" t="s">
        <v>166</v>
      </c>
      <c r="C15" s="91">
        <f>'Jefferson Pgs 32-33'!C1</f>
        <v>30700</v>
      </c>
      <c r="D15" s="150">
        <f>'Jefferson Pgs 32-33'!C2</f>
        <v>35</v>
      </c>
      <c r="E15" s="93">
        <f>'Jefferson Pgs 32-33'!C56</f>
        <v>4175735.7699999986</v>
      </c>
      <c r="F15" s="92">
        <f>'Jefferson Pgs 32-33'!D56</f>
        <v>3905461.84</v>
      </c>
      <c r="G15" s="93">
        <f>'Jefferson Pgs 32-33'!E56</f>
        <v>109309.92</v>
      </c>
      <c r="H15" s="175">
        <f>'Jefferson Pgs 32-33'!F56</f>
        <v>184079.72</v>
      </c>
      <c r="I15" s="92">
        <f>'Jefferson Pgs 32-33'!G56</f>
        <v>453542.7</v>
      </c>
      <c r="J15" s="93">
        <f>'Jefferson Pgs 32-33'!H56</f>
        <v>549154.67999999993</v>
      </c>
      <c r="K15" s="92">
        <f>'Jefferson Pgs 32-33'!I56</f>
        <v>250658.23</v>
      </c>
      <c r="L15" s="93">
        <f>'Jefferson Pgs 32-33'!M56</f>
        <v>741851.65</v>
      </c>
      <c r="M15" s="92">
        <f>'Jefferson Pgs 32-33'!Q56</f>
        <v>1604806.44</v>
      </c>
      <c r="N15" s="93">
        <f>'Jefferson Pgs 32-33'!R56</f>
        <v>12058.5</v>
      </c>
    </row>
    <row r="16" spans="1:14" x14ac:dyDescent="0.3">
      <c r="A16" s="2" t="s">
        <v>22</v>
      </c>
      <c r="B16" s="266" t="s">
        <v>166</v>
      </c>
      <c r="C16" s="91">
        <f>'Kitsap Pgs 34-35'!C1</f>
        <v>255900</v>
      </c>
      <c r="D16" s="150">
        <f>'Kitsap Pgs 34-35'!C2</f>
        <v>92.87</v>
      </c>
      <c r="E16" s="93">
        <f>'Kitsap Pgs 34-35'!C56</f>
        <v>10072809</v>
      </c>
      <c r="F16" s="92">
        <f>'Kitsap Pgs 34-35'!D56</f>
        <v>10072809</v>
      </c>
      <c r="G16" s="93">
        <f>'Kitsap Pgs 34-35'!E56</f>
        <v>385534</v>
      </c>
      <c r="H16" s="175">
        <f>'Kitsap Pgs 34-35'!F56</f>
        <v>997476</v>
      </c>
      <c r="I16" s="92">
        <f>'Kitsap Pgs 34-35'!G56</f>
        <v>843304</v>
      </c>
      <c r="J16" s="93">
        <f>'Kitsap Pgs 34-35'!H56</f>
        <v>1345896</v>
      </c>
      <c r="K16" s="92">
        <f>'Kitsap Pgs 34-35'!I56</f>
        <v>191353</v>
      </c>
      <c r="L16" s="93">
        <f>'Kitsap Pgs 34-35'!M56</f>
        <v>557711</v>
      </c>
      <c r="M16" s="92">
        <f>'Kitsap Pgs 34-35'!Q56</f>
        <v>6115626</v>
      </c>
      <c r="N16" s="93">
        <f>'Kitsap Pgs 34-35'!R56</f>
        <v>-364091</v>
      </c>
    </row>
    <row r="17" spans="1:14" x14ac:dyDescent="0.3">
      <c r="A17" s="2" t="s">
        <v>23</v>
      </c>
      <c r="B17" s="266" t="s">
        <v>167</v>
      </c>
      <c r="C17" s="91">
        <f>'Kittitas Pgs 36-37'!C1</f>
        <v>42100</v>
      </c>
      <c r="D17" s="150">
        <f>'Kittitas Pgs 36-37'!C2</f>
        <v>17.8</v>
      </c>
      <c r="E17" s="93">
        <f>'Kittitas Pgs 36-37'!C56</f>
        <v>1474703</v>
      </c>
      <c r="F17" s="92">
        <f>'Kittitas Pgs 36-37'!D56</f>
        <v>1474702</v>
      </c>
      <c r="G17" s="93">
        <f>'Kittitas Pgs 36-37'!E56</f>
        <v>0</v>
      </c>
      <c r="H17" s="175">
        <f>'Kittitas Pgs 36-37'!F56</f>
        <v>134320</v>
      </c>
      <c r="I17" s="92">
        <f>'Kittitas Pgs 36-37'!G56</f>
        <v>110946</v>
      </c>
      <c r="J17" s="93">
        <f>'Kittitas Pgs 36-37'!H56</f>
        <v>217791</v>
      </c>
      <c r="K17" s="92">
        <f>'Kittitas Pgs 36-37'!I56</f>
        <v>0</v>
      </c>
      <c r="L17" s="93">
        <f>'Kittitas Pgs 36-37'!M56</f>
        <v>267038</v>
      </c>
      <c r="M17" s="92">
        <f>'Kittitas Pgs 36-37'!Q56</f>
        <v>538555</v>
      </c>
      <c r="N17" s="93">
        <f>'Kittitas Pgs 36-37'!R56</f>
        <v>206052</v>
      </c>
    </row>
    <row r="18" spans="1:14" x14ac:dyDescent="0.3">
      <c r="A18" s="2" t="s">
        <v>24</v>
      </c>
      <c r="B18" s="266" t="s">
        <v>167</v>
      </c>
      <c r="C18" s="91">
        <f>'Klickitat Pgs 38-39'!C1</f>
        <v>20850</v>
      </c>
      <c r="D18" s="150">
        <f>'Klickitat Pgs 38-39'!C2</f>
        <v>14.4</v>
      </c>
      <c r="E18" s="93">
        <f>'Klickitat Pgs 38-39'!C56</f>
        <v>1548015</v>
      </c>
      <c r="F18" s="92">
        <f>'Klickitat Pgs 38-39'!D56</f>
        <v>1397091</v>
      </c>
      <c r="G18" s="93">
        <f>'Klickitat Pgs 38-39'!E56</f>
        <v>51455</v>
      </c>
      <c r="H18" s="175">
        <f>'Klickitat Pgs 38-39'!F56</f>
        <v>153784</v>
      </c>
      <c r="I18" s="92">
        <f>'Klickitat Pgs 38-39'!G56</f>
        <v>134094</v>
      </c>
      <c r="J18" s="93">
        <f>'Klickitat Pgs 38-39'!H56</f>
        <v>291687</v>
      </c>
      <c r="K18" s="92">
        <f>'Klickitat Pgs 38-39'!I56</f>
        <v>84458</v>
      </c>
      <c r="L18" s="93">
        <f>'Klickitat Pgs 38-39'!M56</f>
        <v>56271</v>
      </c>
      <c r="M18" s="92">
        <f>'Klickitat Pgs 38-39'!Q56</f>
        <v>618327</v>
      </c>
      <c r="N18" s="93">
        <f>'Klickitat Pgs 38-39'!R56</f>
        <v>7015</v>
      </c>
    </row>
    <row r="19" spans="1:14" x14ac:dyDescent="0.3">
      <c r="A19" s="2" t="s">
        <v>25</v>
      </c>
      <c r="B19" s="266" t="s">
        <v>167</v>
      </c>
      <c r="C19" s="91">
        <f>'Lewis Pgs 40-41'!C1</f>
        <v>76300</v>
      </c>
      <c r="D19" s="150">
        <f>'Lewis Pgs 40-41'!C2</f>
        <v>27.58</v>
      </c>
      <c r="E19" s="93">
        <f>'Lewis Pgs 40-41'!C56</f>
        <v>5103731</v>
      </c>
      <c r="F19" s="92">
        <f>'Lewis Pgs 40-41'!D56</f>
        <v>5373353</v>
      </c>
      <c r="G19" s="93">
        <f>'Lewis Pgs 40-41'!E56</f>
        <v>18754</v>
      </c>
      <c r="H19" s="175">
        <f>'Lewis Pgs 40-41'!F56</f>
        <v>263134</v>
      </c>
      <c r="I19" s="92">
        <f>'Lewis Pgs 40-41'!G56</f>
        <v>1047894</v>
      </c>
      <c r="J19" s="93">
        <f>'Lewis Pgs 40-41'!H56</f>
        <v>936251</v>
      </c>
      <c r="K19" s="92">
        <f>'Lewis Pgs 40-41'!I56</f>
        <v>353275</v>
      </c>
      <c r="L19" s="93">
        <f>'Lewis Pgs 40-41'!M56</f>
        <v>876315</v>
      </c>
      <c r="M19" s="92">
        <f>'Lewis Pgs 40-41'!Q56</f>
        <v>1845506</v>
      </c>
      <c r="N19" s="93">
        <f>'Lewis Pgs 40-41'!R56</f>
        <v>32224</v>
      </c>
    </row>
    <row r="20" spans="1:14" x14ac:dyDescent="0.3">
      <c r="A20" s="2" t="s">
        <v>26</v>
      </c>
      <c r="B20" s="266" t="s">
        <v>167</v>
      </c>
      <c r="C20" s="91">
        <f>'Lincoln Pgs 42-43'!C1</f>
        <v>10700</v>
      </c>
      <c r="D20" s="150">
        <f>'Lincoln Pgs 42-43'!C2</f>
        <v>6.3</v>
      </c>
      <c r="E20" s="93">
        <f>'Lincoln Pgs 42-43'!C56</f>
        <v>649257</v>
      </c>
      <c r="F20" s="92">
        <f>'Lincoln Pgs 42-43'!D56</f>
        <v>649256</v>
      </c>
      <c r="G20" s="93">
        <f>'Lincoln Pgs 42-43'!E56</f>
        <v>0</v>
      </c>
      <c r="H20" s="175">
        <f>'Lincoln Pgs 42-43'!F56</f>
        <v>113917</v>
      </c>
      <c r="I20" s="92">
        <f>'Lincoln Pgs 42-43'!G56</f>
        <v>9604</v>
      </c>
      <c r="J20" s="93">
        <f>'Lincoln Pgs 42-43'!H56</f>
        <v>186052</v>
      </c>
      <c r="K20" s="92">
        <f>'Lincoln Pgs 42-43'!I56</f>
        <v>51092</v>
      </c>
      <c r="L20" s="93">
        <f>'Lincoln Pgs 42-43'!M56</f>
        <v>95126</v>
      </c>
      <c r="M20" s="92">
        <f>'Lincoln Pgs 42-43'!Q56</f>
        <v>103360</v>
      </c>
      <c r="N20" s="93">
        <f>'Lincoln Pgs 42-43'!R56</f>
        <v>90105</v>
      </c>
    </row>
    <row r="21" spans="1:14" x14ac:dyDescent="0.3">
      <c r="A21" s="2" t="s">
        <v>27</v>
      </c>
      <c r="B21" s="266" t="s">
        <v>167</v>
      </c>
      <c r="C21" s="91">
        <f>'Mason Pgs 44-45'!C1</f>
        <v>62000</v>
      </c>
      <c r="D21" s="150">
        <f>'Mason Pgs 44-45'!C2</f>
        <v>21.6</v>
      </c>
      <c r="E21" s="93">
        <f>'Mason Pgs 44-45'!C56</f>
        <v>2292326</v>
      </c>
      <c r="F21" s="92">
        <f>'Mason Pgs 44-45'!D56</f>
        <v>2292481</v>
      </c>
      <c r="G21" s="93">
        <f>'Mason Pgs 44-45'!E56</f>
        <v>45246</v>
      </c>
      <c r="H21" s="175">
        <f>'Mason Pgs 44-45'!F56</f>
        <v>227448</v>
      </c>
      <c r="I21" s="92">
        <f>'Mason Pgs 44-45'!G56</f>
        <v>177471</v>
      </c>
      <c r="J21" s="93">
        <f>'Mason Pgs 44-45'!H56</f>
        <v>730515</v>
      </c>
      <c r="K21" s="92">
        <f>'Mason Pgs 44-45'!I56</f>
        <v>131934</v>
      </c>
      <c r="L21" s="93">
        <f>'Mason Pgs 44-45'!M56</f>
        <v>460519</v>
      </c>
      <c r="M21" s="92">
        <f>'Mason Pgs 44-45'!Q56</f>
        <v>517038</v>
      </c>
      <c r="N21" s="93">
        <f>'Mason Pgs 44-45'!R56</f>
        <v>2310</v>
      </c>
    </row>
    <row r="22" spans="1:14" x14ac:dyDescent="0.3">
      <c r="A22" s="2" t="s">
        <v>28</v>
      </c>
      <c r="B22" s="266" t="s">
        <v>167</v>
      </c>
      <c r="C22" s="91">
        <f>'Northeast Tri Pgs 46-47'!C1</f>
        <v>64770</v>
      </c>
      <c r="D22" s="150">
        <f>'Northeast Tri Pgs 46-47'!C2</f>
        <v>23.45</v>
      </c>
      <c r="E22" s="93">
        <f>'Northeast Tri Pgs 46-47'!C56</f>
        <v>2270760</v>
      </c>
      <c r="F22" s="92">
        <f>'Northeast Tri Pgs 46-47'!D56</f>
        <v>2270760</v>
      </c>
      <c r="G22" s="93">
        <f>'Northeast Tri Pgs 46-47'!E56</f>
        <v>66204</v>
      </c>
      <c r="H22" s="175">
        <f>'Northeast Tri Pgs 46-47'!F56</f>
        <v>248929</v>
      </c>
      <c r="I22" s="92">
        <f>'Northeast Tri Pgs 46-47'!G56</f>
        <v>51289</v>
      </c>
      <c r="J22" s="93">
        <f>'Northeast Tri Pgs 46-47'!H56</f>
        <v>556294</v>
      </c>
      <c r="K22" s="92">
        <f>'Northeast Tri Pgs 46-47'!I56</f>
        <v>63549</v>
      </c>
      <c r="L22" s="93">
        <f>'Northeast Tri Pgs 46-47'!M56</f>
        <v>0</v>
      </c>
      <c r="M22" s="92">
        <f>'Northeast Tri Pgs 46-47'!Q56</f>
        <v>1167999</v>
      </c>
      <c r="N22" s="93">
        <f>'Northeast Tri Pgs 46-47'!R56</f>
        <v>116496</v>
      </c>
    </row>
    <row r="23" spans="1:14" x14ac:dyDescent="0.3">
      <c r="A23" s="2" t="s">
        <v>29</v>
      </c>
      <c r="B23" s="266" t="s">
        <v>167</v>
      </c>
      <c r="C23" s="91">
        <f>'Okanogan Pgs 48-49'!C1</f>
        <v>41700</v>
      </c>
      <c r="D23" s="150">
        <f>'Okanogan Pgs 48-49'!C2</f>
        <v>13.17</v>
      </c>
      <c r="E23" s="93">
        <f>'Okanogan Pgs 48-49'!C56</f>
        <v>1230707</v>
      </c>
      <c r="F23" s="92">
        <f>'Okanogan Pgs 48-49'!D56</f>
        <v>1258282</v>
      </c>
      <c r="G23" s="93">
        <f>'Okanogan Pgs 48-49'!E56</f>
        <v>0</v>
      </c>
      <c r="H23" s="175">
        <f>'Okanogan Pgs 48-49'!F56</f>
        <v>169882</v>
      </c>
      <c r="I23" s="92">
        <f>'Okanogan Pgs 48-49'!G56</f>
        <v>183943</v>
      </c>
      <c r="J23" s="93">
        <f>'Okanogan Pgs 48-49'!H56</f>
        <v>225748</v>
      </c>
      <c r="K23" s="92">
        <f>'Okanogan Pgs 48-49'!I56</f>
        <v>25624</v>
      </c>
      <c r="L23" s="93">
        <f>'Okanogan Pgs 48-49'!M56</f>
        <v>112787</v>
      </c>
      <c r="M23" s="92">
        <f>'Okanogan Pgs 48-49'!Q56</f>
        <v>526983</v>
      </c>
      <c r="N23" s="93">
        <f>'Okanogan Pgs 48-49'!R56</f>
        <v>13315</v>
      </c>
    </row>
    <row r="24" spans="1:14" x14ac:dyDescent="0.3">
      <c r="A24" s="2" t="s">
        <v>30</v>
      </c>
      <c r="B24" s="266" t="s">
        <v>166</v>
      </c>
      <c r="C24" s="91">
        <f>'Pacific Pgs 50-51'!C1</f>
        <v>21100</v>
      </c>
      <c r="D24" s="150">
        <f>'Pacific Pgs 50-51'!C2</f>
        <v>12.84</v>
      </c>
      <c r="E24" s="93">
        <f>'Pacific Pgs 50-51'!C56</f>
        <v>980828</v>
      </c>
      <c r="F24" s="92">
        <f>'Pacific Pgs 50-51'!D56</f>
        <v>910771</v>
      </c>
      <c r="G24" s="93">
        <f>'Pacific Pgs 50-51'!E56</f>
        <v>30190</v>
      </c>
      <c r="H24" s="175">
        <f>'Pacific Pgs 50-51'!F56</f>
        <v>169075</v>
      </c>
      <c r="I24" s="92">
        <f>'Pacific Pgs 50-51'!G56</f>
        <v>84860</v>
      </c>
      <c r="J24" s="93">
        <f>'Pacific Pgs 50-51'!H56</f>
        <v>436548</v>
      </c>
      <c r="K24" s="92">
        <f>'Pacific Pgs 50-51'!I56</f>
        <v>95998</v>
      </c>
      <c r="L24" s="93">
        <f>'Pacific Pgs 50-51'!M56</f>
        <v>80525</v>
      </c>
      <c r="M24" s="92">
        <f>'Pacific Pgs 50-51'!Q56</f>
        <v>8007</v>
      </c>
      <c r="N24" s="93">
        <f>'Pacific Pgs 50-51'!R56</f>
        <v>5568</v>
      </c>
    </row>
    <row r="25" spans="1:14" x14ac:dyDescent="0.3">
      <c r="A25" s="2" t="s">
        <v>31</v>
      </c>
      <c r="B25" s="266" t="s">
        <v>167</v>
      </c>
      <c r="C25" s="91">
        <f>'San Juan Pgs 52-53'!C1</f>
        <v>16100</v>
      </c>
      <c r="D25" s="150">
        <f>'San Juan Pgs 52-53'!C2</f>
        <v>25.02</v>
      </c>
      <c r="E25" s="93">
        <f>'San Juan Pgs 52-53'!C56</f>
        <v>3878308</v>
      </c>
      <c r="F25" s="92">
        <f>'San Juan Pgs 52-53'!D56</f>
        <v>3927822</v>
      </c>
      <c r="G25" s="93">
        <f>'San Juan Pgs 52-53'!E56</f>
        <v>60127</v>
      </c>
      <c r="H25" s="175">
        <f>'San Juan Pgs 52-53'!F56</f>
        <v>189853</v>
      </c>
      <c r="I25" s="92">
        <f>'San Juan Pgs 52-53'!G56</f>
        <v>724658</v>
      </c>
      <c r="J25" s="93">
        <f>'San Juan Pgs 52-53'!H56</f>
        <v>327240</v>
      </c>
      <c r="K25" s="92">
        <f>'San Juan Pgs 52-53'!I56</f>
        <v>238416</v>
      </c>
      <c r="L25" s="93">
        <f>'San Juan Pgs 52-53'!M56</f>
        <v>1323159</v>
      </c>
      <c r="M25" s="92">
        <f>'San Juan Pgs 52-53'!Q56</f>
        <v>1058571</v>
      </c>
      <c r="N25" s="93">
        <f>'San Juan Pgs 52-53'!R56</f>
        <v>5798</v>
      </c>
    </row>
    <row r="26" spans="1:14" x14ac:dyDescent="0.3">
      <c r="A26" s="2" t="s">
        <v>32</v>
      </c>
      <c r="B26" s="266" t="s">
        <v>167</v>
      </c>
      <c r="C26" s="91">
        <f>'Seattle-King Pgs 54-55'!C1</f>
        <v>2017250</v>
      </c>
      <c r="D26" s="150">
        <f>'Seattle-King Pgs 54-55'!C2</f>
        <v>1223</v>
      </c>
      <c r="E26" s="93">
        <f>'Seattle-King Pgs 54-55'!C56</f>
        <v>229287826</v>
      </c>
      <c r="F26" s="92">
        <f>'Seattle-King Pgs 54-55'!D56</f>
        <v>222477279</v>
      </c>
      <c r="G26" s="93">
        <f>'Seattle-King Pgs 54-55'!E56</f>
        <v>7355861</v>
      </c>
      <c r="H26" s="175">
        <f>'Seattle-King Pgs 54-55'!F56</f>
        <v>11768307</v>
      </c>
      <c r="I26" s="92">
        <f>'Seattle-King Pgs 54-55'!G56</f>
        <v>3457506</v>
      </c>
      <c r="J26" s="93">
        <f>'Seattle-King Pgs 54-55'!H56</f>
        <v>15173044</v>
      </c>
      <c r="K26" s="92">
        <f>'Seattle-King Pgs 54-55'!I56</f>
        <v>21374336</v>
      </c>
      <c r="L26" s="93">
        <f>'Seattle-King Pgs 54-55'!M56</f>
        <v>53862944</v>
      </c>
      <c r="M26" s="92">
        <f>'Seattle-King Pgs 54-55'!Q56</f>
        <v>76971956</v>
      </c>
      <c r="N26" s="93">
        <f>'Seattle-King Pgs 54-55'!R56</f>
        <v>32513325</v>
      </c>
    </row>
    <row r="27" spans="1:14" x14ac:dyDescent="0.3">
      <c r="A27" s="2" t="s">
        <v>33</v>
      </c>
      <c r="B27" s="266" t="s">
        <v>167</v>
      </c>
      <c r="C27" s="91">
        <f>'Skagit Pgs 56-57'!C1</f>
        <v>119500</v>
      </c>
      <c r="D27" s="150">
        <f>'Skagit Pgs 56-57'!C2</f>
        <v>33.14</v>
      </c>
      <c r="E27" s="93">
        <f>'Skagit Pgs 56-57'!C56</f>
        <v>4662220.1300000008</v>
      </c>
      <c r="F27" s="92">
        <f>'Skagit Pgs 56-57'!D56</f>
        <v>4680621.3099999996</v>
      </c>
      <c r="G27" s="93">
        <f>'Skagit Pgs 56-57'!E56</f>
        <v>52187.6</v>
      </c>
      <c r="H27" s="175">
        <f>'Skagit Pgs 56-57'!F56</f>
        <v>449745</v>
      </c>
      <c r="I27" s="92">
        <f>'Skagit Pgs 56-57'!G56</f>
        <v>292215.51</v>
      </c>
      <c r="J27" s="93">
        <f>'Skagit Pgs 56-57'!H56</f>
        <v>872670.65</v>
      </c>
      <c r="K27" s="92">
        <f>'Skagit Pgs 56-57'!I56</f>
        <v>453360.18</v>
      </c>
      <c r="L27" s="93">
        <f>'Skagit Pgs 56-57'!M56</f>
        <v>1353826.58</v>
      </c>
      <c r="M27" s="92">
        <f>'Skagit Pgs 56-57'!Q56</f>
        <v>1203299</v>
      </c>
      <c r="N27" s="93">
        <f>'Skagit Pgs 56-57'!R56</f>
        <v>3316.7899999999995</v>
      </c>
    </row>
    <row r="28" spans="1:14" x14ac:dyDescent="0.3">
      <c r="A28" s="2" t="s">
        <v>34</v>
      </c>
      <c r="B28" s="266" t="s">
        <v>166</v>
      </c>
      <c r="C28" s="91">
        <f>'Skamania Pgs 58-59'!C1</f>
        <v>11370</v>
      </c>
      <c r="D28" s="150">
        <f>'Skamania Pgs 58-59'!C2</f>
        <v>4.5</v>
      </c>
      <c r="E28" s="93">
        <f>'Skamania Pgs 58-59'!C56</f>
        <v>439884</v>
      </c>
      <c r="F28" s="92">
        <f>'Skamania Pgs 58-59'!D56</f>
        <v>436218</v>
      </c>
      <c r="G28" s="93">
        <f>'Skamania Pgs 58-59'!E56</f>
        <v>24578</v>
      </c>
      <c r="H28" s="175">
        <f>'Skamania Pgs 58-59'!F56</f>
        <v>111257</v>
      </c>
      <c r="I28" s="92">
        <f>'Skamania Pgs 58-59'!G56</f>
        <v>5080</v>
      </c>
      <c r="J28" s="93">
        <f>'Skamania Pgs 58-59'!H56</f>
        <v>122459</v>
      </c>
      <c r="K28" s="92">
        <f>'Skamania Pgs 58-59'!I56</f>
        <v>0</v>
      </c>
      <c r="L28" s="93">
        <f>'Skamania Pgs 58-59'!M56</f>
        <v>62128</v>
      </c>
      <c r="M28" s="92">
        <f>'Skamania Pgs 58-59'!Q56</f>
        <v>110716</v>
      </c>
      <c r="N28" s="93">
        <f>'Skamania Pgs 58-59'!R56</f>
        <v>0</v>
      </c>
    </row>
    <row r="29" spans="1:14" x14ac:dyDescent="0.3">
      <c r="A29" s="2" t="s">
        <v>35</v>
      </c>
      <c r="B29" s="266" t="s">
        <v>167</v>
      </c>
      <c r="C29" s="91">
        <f>'Snohomish Pgs 60-61'!C1</f>
        <v>741000</v>
      </c>
      <c r="D29" s="150">
        <f>'Snohomish Pgs 60-61'!C2</f>
        <v>139.69999999999999</v>
      </c>
      <c r="E29" s="93">
        <f>'Snohomish Pgs 60-61'!C56</f>
        <v>16445591</v>
      </c>
      <c r="F29" s="92">
        <f>'Snohomish Pgs 60-61'!D56</f>
        <v>17726147</v>
      </c>
      <c r="G29" s="93">
        <f>'Snohomish Pgs 60-61'!E56</f>
        <v>76518</v>
      </c>
      <c r="H29" s="175">
        <f>'Snohomish Pgs 60-61'!F56</f>
        <v>3433291</v>
      </c>
      <c r="I29" s="92">
        <f>'Snohomish Pgs 60-61'!G56</f>
        <v>762348</v>
      </c>
      <c r="J29" s="93">
        <f>'Snohomish Pgs 60-61'!H56</f>
        <v>3366373</v>
      </c>
      <c r="K29" s="92">
        <f>'Snohomish Pgs 60-61'!I56</f>
        <v>289159</v>
      </c>
      <c r="L29" s="93">
        <f>'Snohomish Pgs 60-61'!M56</f>
        <v>3153200</v>
      </c>
      <c r="M29" s="92">
        <f>'Snohomish Pgs 60-61'!Q56</f>
        <v>5593002</v>
      </c>
      <c r="N29" s="93">
        <f>'Snohomish Pgs 60-61'!R56</f>
        <v>1052256</v>
      </c>
    </row>
    <row r="30" spans="1:14" x14ac:dyDescent="0.3">
      <c r="A30" s="2" t="s">
        <v>36</v>
      </c>
      <c r="B30" s="266" t="s">
        <v>167</v>
      </c>
      <c r="C30" s="91">
        <f>'Spokane Pgs 62-63'!C1</f>
        <v>484500</v>
      </c>
      <c r="D30" s="150">
        <f>'Spokane Pgs 62-63'!C2</f>
        <v>188.31</v>
      </c>
      <c r="E30" s="93">
        <f>'Spokane Pgs 62-63'!C56</f>
        <v>20464692</v>
      </c>
      <c r="F30" s="92">
        <f>'Spokane Pgs 62-63'!D56</f>
        <v>20784272</v>
      </c>
      <c r="G30" s="93">
        <f>'Spokane Pgs 62-63'!E56</f>
        <v>379990</v>
      </c>
      <c r="H30" s="175">
        <f>'Spokane Pgs 62-63'!F56</f>
        <v>2877318</v>
      </c>
      <c r="I30" s="92">
        <f>'Spokane Pgs 62-63'!G56</f>
        <v>3251862</v>
      </c>
      <c r="J30" s="93">
        <f>'Spokane Pgs 62-63'!H56</f>
        <v>5383139</v>
      </c>
      <c r="K30" s="92">
        <f>'Spokane Pgs 62-63'!I56</f>
        <v>1290889</v>
      </c>
      <c r="L30" s="93">
        <f>'Spokane Pgs 62-63'!M56</f>
        <v>1542192</v>
      </c>
      <c r="M30" s="92">
        <f>'Spokane Pgs 62-63'!Q56</f>
        <v>5784230</v>
      </c>
      <c r="N30" s="93">
        <f>'Spokane Pgs 62-63'!R56</f>
        <v>274652</v>
      </c>
    </row>
    <row r="31" spans="1:14" x14ac:dyDescent="0.3">
      <c r="A31" s="2" t="s">
        <v>37</v>
      </c>
      <c r="B31" s="266" t="s">
        <v>167</v>
      </c>
      <c r="C31" s="91">
        <f>'Tacoma-Pierce Pgs 64-65'!C1</f>
        <v>821300</v>
      </c>
      <c r="D31" s="150">
        <f>'Tacoma-Pierce Pgs 64-65'!C2</f>
        <v>240.45</v>
      </c>
      <c r="E31" s="93">
        <f>'Tacoma-Pierce Pgs 64-65'!C56</f>
        <v>29548244</v>
      </c>
      <c r="F31" s="92">
        <f>'Tacoma-Pierce Pgs 64-65'!D56</f>
        <v>29878023</v>
      </c>
      <c r="G31" s="93">
        <f>'Tacoma-Pierce Pgs 64-65'!E56</f>
        <v>351345</v>
      </c>
      <c r="H31" s="175">
        <f>'Tacoma-Pierce Pgs 64-65'!F56</f>
        <v>4143167</v>
      </c>
      <c r="I31" s="92">
        <f>'Tacoma-Pierce Pgs 64-65'!G56</f>
        <v>564753</v>
      </c>
      <c r="J31" s="93">
        <f>'Tacoma-Pierce Pgs 64-65'!H56</f>
        <v>5680721</v>
      </c>
      <c r="K31" s="92">
        <f>'Tacoma-Pierce Pgs 64-65'!I56</f>
        <v>768830</v>
      </c>
      <c r="L31" s="93">
        <f>'Tacoma-Pierce Pgs 64-65'!M56</f>
        <v>5485281</v>
      </c>
      <c r="M31" s="92">
        <f>'Tacoma-Pierce Pgs 64-65'!Q56</f>
        <v>12304068</v>
      </c>
      <c r="N31" s="93">
        <f>'Tacoma-Pierce Pgs 64-65'!R56</f>
        <v>579858</v>
      </c>
    </row>
    <row r="32" spans="1:14" x14ac:dyDescent="0.3">
      <c r="A32" s="2" t="s">
        <v>38</v>
      </c>
      <c r="B32" s="266" t="s">
        <v>167</v>
      </c>
      <c r="C32" s="91">
        <f>'Thurston Pgs 66-67'!C1</f>
        <v>264000</v>
      </c>
      <c r="D32" s="150">
        <f>'Thurston Pgs 66-67'!C2</f>
        <v>63.7</v>
      </c>
      <c r="E32" s="93">
        <f>'Thurston Pgs 66-67'!C56</f>
        <v>7956753</v>
      </c>
      <c r="F32" s="92">
        <f>'Thurston Pgs 66-67'!D56</f>
        <v>8444009</v>
      </c>
      <c r="G32" s="93">
        <f>'Thurston Pgs 66-67'!E56</f>
        <v>53804</v>
      </c>
      <c r="H32" s="175">
        <f>'Thurston Pgs 66-67'!F56</f>
        <v>1038880</v>
      </c>
      <c r="I32" s="92">
        <f>'Thurston Pgs 66-67'!G56</f>
        <v>484325</v>
      </c>
      <c r="J32" s="93">
        <f>'Thurston Pgs 66-67'!H56</f>
        <v>712831</v>
      </c>
      <c r="K32" s="92">
        <f>'Thurston Pgs 66-67'!I56</f>
        <v>458682</v>
      </c>
      <c r="L32" s="93">
        <f>'Thurston Pgs 66-67'!M56</f>
        <v>1890910</v>
      </c>
      <c r="M32" s="92">
        <f>'Thurston Pgs 66-67'!Q56</f>
        <v>3725835</v>
      </c>
      <c r="N32" s="93">
        <f>'Thurston Pgs 66-67'!R56</f>
        <v>78742</v>
      </c>
    </row>
    <row r="33" spans="1:14" x14ac:dyDescent="0.3">
      <c r="A33" s="2" t="s">
        <v>39</v>
      </c>
      <c r="B33" s="266" t="s">
        <v>166</v>
      </c>
      <c r="C33" s="91">
        <f>'Wahkiakum Pgs 68-69'!C1</f>
        <v>4010</v>
      </c>
      <c r="D33" s="150">
        <f>'Wahkiakum Pgs 68-69'!C2</f>
        <v>5</v>
      </c>
      <c r="E33" s="93">
        <f>'Wahkiakum Pgs 68-69'!C56</f>
        <v>402255</v>
      </c>
      <c r="F33" s="92">
        <f>'Wahkiakum Pgs 68-69'!D56</f>
        <v>449348</v>
      </c>
      <c r="G33" s="93">
        <f>'Wahkiakum Pgs 68-69'!E56</f>
        <v>0</v>
      </c>
      <c r="H33" s="175">
        <f>'Wahkiakum Pgs 68-69'!F56</f>
        <v>93181</v>
      </c>
      <c r="I33" s="92">
        <f>'Wahkiakum Pgs 68-69'!G56</f>
        <v>23915</v>
      </c>
      <c r="J33" s="93">
        <f>'Wahkiakum Pgs 68-69'!H56</f>
        <v>141766</v>
      </c>
      <c r="K33" s="92">
        <f>'Wahkiakum Pgs 68-69'!I56</f>
        <v>12997</v>
      </c>
      <c r="L33" s="93">
        <f>'Wahkiakum Pgs 68-69'!M56</f>
        <v>82579</v>
      </c>
      <c r="M33" s="92">
        <f>'Wahkiakum Pgs 68-69'!Q56</f>
        <v>26013</v>
      </c>
      <c r="N33" s="93">
        <f>'Wahkiakum Pgs 68-69'!R56</f>
        <v>68897</v>
      </c>
    </row>
    <row r="34" spans="1:14" x14ac:dyDescent="0.3">
      <c r="A34" s="2" t="s">
        <v>40</v>
      </c>
      <c r="B34" s="266" t="s">
        <v>167</v>
      </c>
      <c r="C34" s="91">
        <f>'Walla Walla Pgs 70-71'!C1</f>
        <v>60150</v>
      </c>
      <c r="D34" s="150">
        <f>'Walla Walla Pgs 70-71'!C2</f>
        <v>19.22</v>
      </c>
      <c r="E34" s="93">
        <f>'Walla Walla Pgs 70-71'!C56</f>
        <v>1716426</v>
      </c>
      <c r="F34" s="92">
        <f>'Walla Walla Pgs 70-71'!D56</f>
        <v>1891785</v>
      </c>
      <c r="G34" s="93">
        <f>'Walla Walla Pgs 70-71'!E56</f>
        <v>0</v>
      </c>
      <c r="H34" s="175">
        <f>'Walla Walla Pgs 70-71'!F56</f>
        <v>302173</v>
      </c>
      <c r="I34" s="92">
        <f>'Walla Walla Pgs 70-71'!G56</f>
        <v>27238</v>
      </c>
      <c r="J34" s="93">
        <f>'Walla Walla Pgs 70-71'!H56</f>
        <v>377695</v>
      </c>
      <c r="K34" s="92">
        <f>'Walla Walla Pgs 70-71'!I56</f>
        <v>221616</v>
      </c>
      <c r="L34" s="93">
        <f>'Walla Walla Pgs 70-71'!M56</f>
        <v>388582</v>
      </c>
      <c r="M34" s="92">
        <f>'Walla Walla Pgs 70-71'!Q56</f>
        <v>412802</v>
      </c>
      <c r="N34" s="93">
        <f>'Walla Walla Pgs 70-71'!R56</f>
        <v>161679</v>
      </c>
    </row>
    <row r="35" spans="1:14" x14ac:dyDescent="0.3">
      <c r="A35" s="2" t="s">
        <v>41</v>
      </c>
      <c r="B35" s="266" t="s">
        <v>167</v>
      </c>
      <c r="C35" s="91">
        <f>'Whatcom Pgs 72-73'!C1</f>
        <v>207600</v>
      </c>
      <c r="D35" s="150">
        <f>'Whatcom Pgs 72-73'!C2</f>
        <v>74.349999999999994</v>
      </c>
      <c r="E35" s="93">
        <f>'Whatcom Pgs 72-73'!C56</f>
        <v>17396615</v>
      </c>
      <c r="F35" s="92">
        <f>'Whatcom Pgs 72-73'!D56</f>
        <v>16378883</v>
      </c>
      <c r="G35" s="93">
        <f>'Whatcom Pgs 72-73'!E56</f>
        <v>34501</v>
      </c>
      <c r="H35" s="175">
        <f>'Whatcom Pgs 72-73'!F56</f>
        <v>1214301</v>
      </c>
      <c r="I35" s="92">
        <f>'Whatcom Pgs 72-73'!G56</f>
        <v>5492930</v>
      </c>
      <c r="J35" s="93">
        <f>'Whatcom Pgs 72-73'!H56</f>
        <v>1007206</v>
      </c>
      <c r="K35" s="92">
        <f>'Whatcom Pgs 72-73'!I56</f>
        <v>602031</v>
      </c>
      <c r="L35" s="93">
        <f>'Whatcom Pgs 72-73'!M56</f>
        <v>4835533</v>
      </c>
      <c r="M35" s="92">
        <f>'Whatcom Pgs 72-73'!Q56</f>
        <v>3130702</v>
      </c>
      <c r="N35" s="93">
        <f>'Whatcom Pgs 72-73'!R56</f>
        <v>61679</v>
      </c>
    </row>
    <row r="36" spans="1:14" x14ac:dyDescent="0.3">
      <c r="A36" s="2" t="s">
        <v>42</v>
      </c>
      <c r="B36" s="266" t="s">
        <v>166</v>
      </c>
      <c r="C36" s="91">
        <f>'Whitman Pgs 74-75'!C1</f>
        <v>46500</v>
      </c>
      <c r="D36" s="150">
        <f>'Whitman Pgs 74-75'!C2</f>
        <v>17.8</v>
      </c>
      <c r="E36" s="93">
        <f>'Whitman Pgs 74-75'!C56</f>
        <v>1134404</v>
      </c>
      <c r="F36" s="92">
        <f>'Whitman Pgs 74-75'!D56</f>
        <v>1134404</v>
      </c>
      <c r="G36" s="93">
        <f>'Whitman Pgs 74-75'!E56</f>
        <v>0</v>
      </c>
      <c r="H36" s="175">
        <f>'Whitman Pgs 74-75'!F56</f>
        <v>189355</v>
      </c>
      <c r="I36" s="92">
        <f>'Whitman Pgs 74-75'!G56</f>
        <v>9859</v>
      </c>
      <c r="J36" s="93">
        <f>'Whitman Pgs 74-75'!H56</f>
        <v>269467</v>
      </c>
      <c r="K36" s="92">
        <f>'Whitman Pgs 74-75'!I56</f>
        <v>12910</v>
      </c>
      <c r="L36" s="93">
        <f>'Whitman Pgs 74-75'!M56</f>
        <v>389699</v>
      </c>
      <c r="M36" s="92">
        <f>'Whitman Pgs 74-75'!Q56</f>
        <v>245342</v>
      </c>
      <c r="N36" s="93">
        <f>'Whitman Pgs 74-75'!R56</f>
        <v>17772</v>
      </c>
    </row>
    <row r="37" spans="1:14" x14ac:dyDescent="0.3">
      <c r="A37" s="60" t="s">
        <v>43</v>
      </c>
      <c r="B37" s="267" t="s">
        <v>167</v>
      </c>
      <c r="C37" s="94">
        <f>'Yakima Pgs 76-77'!C1</f>
        <v>248800</v>
      </c>
      <c r="D37" s="151">
        <f>'Yakima Pgs 76-77'!C2</f>
        <v>25.88</v>
      </c>
      <c r="E37" s="96">
        <f>'Yakima Pgs 76-77'!C56</f>
        <v>3119937</v>
      </c>
      <c r="F37" s="95">
        <f>'Yakima Pgs 76-77'!D56</f>
        <v>2727346</v>
      </c>
      <c r="G37" s="96">
        <f>'Yakima Pgs 76-77'!E56</f>
        <v>16250</v>
      </c>
      <c r="H37" s="176">
        <f>'Yakima Pgs 76-77'!F56</f>
        <v>1052481</v>
      </c>
      <c r="I37" s="95">
        <f>'Yakima Pgs 76-77'!G56</f>
        <v>47560</v>
      </c>
      <c r="J37" s="96">
        <f>'Yakima Pgs 76-77'!H56</f>
        <v>224672</v>
      </c>
      <c r="K37" s="95">
        <f>'Yakima Pgs 76-77'!I56</f>
        <v>84685</v>
      </c>
      <c r="L37" s="96">
        <f>'Yakima Pgs 76-77'!M56</f>
        <v>0</v>
      </c>
      <c r="M37" s="95">
        <f>'Yakima Pgs 76-77'!Q56</f>
        <v>1266850</v>
      </c>
      <c r="N37" s="96">
        <f>'Yakima Pgs 76-77'!R56</f>
        <v>34848</v>
      </c>
    </row>
    <row r="38" spans="1:14" ht="15" thickBot="1" x14ac:dyDescent="0.35">
      <c r="A38" s="118" t="s">
        <v>80</v>
      </c>
      <c r="B38" s="269"/>
      <c r="C38" s="119">
        <f>SUM(C3:C37)</f>
        <v>6968170</v>
      </c>
      <c r="D38" s="152">
        <f>SUM(D3:D37)</f>
        <v>2696.0799999999995</v>
      </c>
      <c r="E38" s="120">
        <f>SUM(E3:E37)</f>
        <v>407304749.53999996</v>
      </c>
      <c r="F38" s="120">
        <f>SUM(F3:F37)</f>
        <v>400468152.04000002</v>
      </c>
      <c r="G38" s="120">
        <f t="shared" ref="G38:N38" si="0">SUM(G3:G37)</f>
        <v>9564361.5199999996</v>
      </c>
      <c r="H38" s="121">
        <f t="shared" si="0"/>
        <v>35395640.719999999</v>
      </c>
      <c r="I38" s="122">
        <f t="shared" si="0"/>
        <v>20255195.23</v>
      </c>
      <c r="J38" s="120">
        <f>SUM(J3:J37)</f>
        <v>48262765.93</v>
      </c>
      <c r="K38" s="122">
        <f t="shared" si="0"/>
        <v>29476556.23</v>
      </c>
      <c r="L38" s="177">
        <f t="shared" si="0"/>
        <v>83235556.960000008</v>
      </c>
      <c r="M38" s="123">
        <f t="shared" si="0"/>
        <v>137436691.66</v>
      </c>
      <c r="N38" s="120">
        <f t="shared" si="0"/>
        <v>36841383.789999999</v>
      </c>
    </row>
  </sheetData>
  <mergeCells count="3">
    <mergeCell ref="G1:I1"/>
    <mergeCell ref="J1:K1"/>
    <mergeCell ref="L1:M1"/>
  </mergeCells>
  <conditionalFormatting sqref="A3:A37 C3:N37">
    <cfRule type="expression" dxfId="187" priority="2">
      <formula>ROW()=EVEN(ROW())</formula>
    </cfRule>
  </conditionalFormatting>
  <conditionalFormatting sqref="B3:B37">
    <cfRule type="expression" dxfId="186" priority="1">
      <formula>ROW()=EVEN(ROW())</formula>
    </cfRule>
  </conditionalFormatting>
  <printOptions horizontalCentered="1"/>
  <pageMargins left="0" right="0" top="1.25" bottom="0.65" header="0.3" footer="0.3"/>
  <pageSetup scale="79" orientation="landscape" r:id="rId1"/>
  <headerFooter>
    <oddHeader>&amp;C&amp;"-,Bold"&amp;20 Local Health Jurisdictions and Revenue Sources&amp;16
&amp;20 2014
SUMMARY</oddHeader>
    <oddFooter>&amp;LRevised 11-4-16&amp;CPage &amp;P&amp;RSOURCE:  BARS A Reports
Compiled by DOH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88"/>
  <sheetViews>
    <sheetView showZeros="0" view="pageLayout" topLeftCell="D1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  <col min="21" max="21" width="8.88671875" style="199" customWidth="1"/>
    <col min="22" max="22" width="8.88671875" style="200" customWidth="1"/>
    <col min="23" max="23" width="8.88671875" style="199" customWidth="1"/>
    <col min="24" max="24" width="8.88671875" style="200" customWidth="1"/>
  </cols>
  <sheetData>
    <row r="1" spans="1:24" x14ac:dyDescent="0.3">
      <c r="A1" s="22" t="s">
        <v>150</v>
      </c>
      <c r="B1" s="6"/>
      <c r="C1" s="31">
        <v>2017250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4" x14ac:dyDescent="0.3">
      <c r="A2" s="80" t="s">
        <v>44</v>
      </c>
      <c r="B2" s="5"/>
      <c r="C2" s="83">
        <v>1223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4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4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  <c r="W4" s="202" t="s">
        <v>153</v>
      </c>
      <c r="X4" s="203" t="s">
        <v>82</v>
      </c>
    </row>
    <row r="5" spans="1:24" ht="15" thickBot="1" x14ac:dyDescent="0.35">
      <c r="A5" s="36">
        <v>562.1</v>
      </c>
      <c r="B5" s="37" t="s">
        <v>47</v>
      </c>
      <c r="C5" s="16">
        <v>40989105</v>
      </c>
      <c r="D5" s="14">
        <f>E5+F5+G5+H5+I5+M5+Q5+R5</f>
        <v>20319946</v>
      </c>
      <c r="E5" s="236">
        <v>0</v>
      </c>
      <c r="F5" s="275">
        <f>1157133+176456</f>
        <v>1333589</v>
      </c>
      <c r="G5" s="227">
        <f>892342</f>
        <v>892342</v>
      </c>
      <c r="H5" s="236">
        <f>97485-315375</f>
        <v>-217890</v>
      </c>
      <c r="I5" s="241">
        <v>212590</v>
      </c>
      <c r="J5" s="214">
        <v>184738</v>
      </c>
      <c r="K5" s="214"/>
      <c r="L5" s="214">
        <v>4500058</v>
      </c>
      <c r="M5" s="9">
        <f>SUM(J5:L5)</f>
        <v>4684796</v>
      </c>
      <c r="N5" s="214"/>
      <c r="O5" s="214">
        <v>128427</v>
      </c>
      <c r="P5" s="214">
        <v>3419</v>
      </c>
      <c r="Q5" s="214">
        <f>SUM(N5:P5)</f>
        <v>131846</v>
      </c>
      <c r="R5" s="236">
        <f>203803+13078870</f>
        <v>13282673</v>
      </c>
      <c r="S5" s="199" t="s">
        <v>159</v>
      </c>
      <c r="T5" s="200">
        <v>203813</v>
      </c>
      <c r="U5" s="199" t="s">
        <v>160</v>
      </c>
      <c r="V5" s="200">
        <v>13078870</v>
      </c>
    </row>
    <row r="6" spans="1:24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76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</row>
    <row r="7" spans="1:24" ht="15" thickBot="1" x14ac:dyDescent="0.35">
      <c r="A7" s="39">
        <v>562.22</v>
      </c>
      <c r="B7" s="82" t="s">
        <v>92</v>
      </c>
      <c r="C7" s="15">
        <v>16095297</v>
      </c>
      <c r="D7" s="14">
        <f t="shared" ref="D7:D54" si="2">E7+F7+G7+H7+I7+M7+Q7+R7</f>
        <v>25741355</v>
      </c>
      <c r="E7" s="231"/>
      <c r="F7" s="276">
        <f>160340+1752277</f>
        <v>1912617</v>
      </c>
      <c r="G7" s="228">
        <f>582567</f>
        <v>582567</v>
      </c>
      <c r="H7" s="231">
        <f>599633+230654</f>
        <v>830287</v>
      </c>
      <c r="I7" s="219">
        <f>454658+4492</f>
        <v>459150</v>
      </c>
      <c r="J7" s="217">
        <v>1113999</v>
      </c>
      <c r="K7" s="217"/>
      <c r="L7" s="217">
        <v>2042343</v>
      </c>
      <c r="M7" s="9">
        <f t="shared" si="0"/>
        <v>3156342</v>
      </c>
      <c r="N7" s="217"/>
      <c r="O7" s="217">
        <f>105748+17678942</f>
        <v>17784690</v>
      </c>
      <c r="P7" s="217"/>
      <c r="Q7" s="214">
        <f t="shared" si="1"/>
        <v>17784690</v>
      </c>
      <c r="R7" s="231">
        <f>19256+996446</f>
        <v>1015702</v>
      </c>
      <c r="S7" s="199" t="s">
        <v>159</v>
      </c>
      <c r="T7" s="200">
        <v>19256</v>
      </c>
      <c r="U7" s="199">
        <v>369.9</v>
      </c>
      <c r="V7" s="200">
        <v>996446</v>
      </c>
    </row>
    <row r="8" spans="1:24" ht="15" thickBot="1" x14ac:dyDescent="0.35">
      <c r="A8" s="39">
        <v>562.24</v>
      </c>
      <c r="B8" s="40" t="s">
        <v>49</v>
      </c>
      <c r="C8" s="15">
        <v>6058727</v>
      </c>
      <c r="D8" s="14">
        <f t="shared" si="2"/>
        <v>12696688</v>
      </c>
      <c r="E8" s="231"/>
      <c r="F8" s="276"/>
      <c r="G8" s="228"/>
      <c r="H8" s="231">
        <v>83885</v>
      </c>
      <c r="I8" s="219">
        <v>355371</v>
      </c>
      <c r="J8" s="217">
        <v>704767</v>
      </c>
      <c r="K8" s="217"/>
      <c r="L8" s="217">
        <v>995221</v>
      </c>
      <c r="M8" s="9">
        <f t="shared" si="0"/>
        <v>1699988</v>
      </c>
      <c r="N8" s="217"/>
      <c r="O8" s="217">
        <f>5359+10194144</f>
        <v>10199503</v>
      </c>
      <c r="P8" s="217"/>
      <c r="Q8" s="214">
        <f t="shared" si="1"/>
        <v>10199503</v>
      </c>
      <c r="R8" s="231">
        <f>5137+352804</f>
        <v>357941</v>
      </c>
      <c r="S8" s="199" t="s">
        <v>159</v>
      </c>
      <c r="T8" s="200">
        <v>5137</v>
      </c>
      <c r="U8" s="199" t="s">
        <v>160</v>
      </c>
      <c r="V8" s="200">
        <v>352804</v>
      </c>
    </row>
    <row r="9" spans="1:24" ht="15" thickBot="1" x14ac:dyDescent="0.35">
      <c r="A9" s="39">
        <v>562.25</v>
      </c>
      <c r="B9" s="82" t="s">
        <v>93</v>
      </c>
      <c r="C9" s="15">
        <v>524058</v>
      </c>
      <c r="D9" s="14">
        <f t="shared" si="2"/>
        <v>1281702</v>
      </c>
      <c r="E9" s="231">
        <v>7130</v>
      </c>
      <c r="F9" s="276"/>
      <c r="G9" s="228">
        <v>7375</v>
      </c>
      <c r="H9" s="231">
        <f>15492+257709</f>
        <v>273201</v>
      </c>
      <c r="I9" s="219"/>
      <c r="J9" s="217"/>
      <c r="K9" s="217"/>
      <c r="L9" s="217"/>
      <c r="M9" s="9">
        <f t="shared" si="0"/>
        <v>0</v>
      </c>
      <c r="N9" s="217"/>
      <c r="O9" s="217">
        <v>993646</v>
      </c>
      <c r="P9" s="217"/>
      <c r="Q9" s="214">
        <f t="shared" si="1"/>
        <v>993646</v>
      </c>
      <c r="R9" s="231">
        <v>350</v>
      </c>
      <c r="S9" s="199">
        <v>369.9</v>
      </c>
      <c r="T9" s="200">
        <v>350</v>
      </c>
    </row>
    <row r="10" spans="1:24" ht="15" thickBot="1" x14ac:dyDescent="0.35">
      <c r="A10" s="39">
        <v>562.26</v>
      </c>
      <c r="B10" s="82" t="s">
        <v>84</v>
      </c>
      <c r="C10" s="15">
        <v>7543210</v>
      </c>
      <c r="D10" s="14">
        <f t="shared" si="2"/>
        <v>13047906</v>
      </c>
      <c r="E10" s="231">
        <f>931195+46529</f>
        <v>977724</v>
      </c>
      <c r="F10" s="276">
        <f>146126+1550415</f>
        <v>1696541</v>
      </c>
      <c r="G10" s="228">
        <f>4875</f>
        <v>4875</v>
      </c>
      <c r="H10" s="231">
        <f>565657+113812+454729</f>
        <v>1134198</v>
      </c>
      <c r="I10" s="219"/>
      <c r="J10" s="217">
        <v>1951844</v>
      </c>
      <c r="K10" s="217"/>
      <c r="L10" s="217">
        <v>3319706</v>
      </c>
      <c r="M10" s="9">
        <f t="shared" si="0"/>
        <v>5271550</v>
      </c>
      <c r="N10" s="217"/>
      <c r="O10" s="217">
        <f>891+3659869-6</f>
        <v>3660754</v>
      </c>
      <c r="P10" s="217"/>
      <c r="Q10" s="214">
        <f t="shared" si="1"/>
        <v>3660754</v>
      </c>
      <c r="R10" s="231">
        <f>86466+215798</f>
        <v>302264</v>
      </c>
      <c r="S10" s="199" t="s">
        <v>159</v>
      </c>
      <c r="T10" s="200">
        <v>86466</v>
      </c>
      <c r="U10" s="199" t="s">
        <v>160</v>
      </c>
      <c r="V10" s="200">
        <v>215798</v>
      </c>
    </row>
    <row r="11" spans="1:24" ht="15" thickBot="1" x14ac:dyDescent="0.35">
      <c r="A11" s="39">
        <v>562.27</v>
      </c>
      <c r="B11" s="82" t="s">
        <v>85</v>
      </c>
      <c r="C11" s="15">
        <v>1311000</v>
      </c>
      <c r="D11" s="14">
        <f t="shared" si="2"/>
        <v>349718</v>
      </c>
      <c r="E11" s="231"/>
      <c r="F11" s="276"/>
      <c r="G11" s="228"/>
      <c r="H11" s="231">
        <v>349718</v>
      </c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</row>
    <row r="12" spans="1:24" ht="15" thickBot="1" x14ac:dyDescent="0.35">
      <c r="A12" s="39">
        <v>562.28</v>
      </c>
      <c r="B12" s="82" t="s">
        <v>94</v>
      </c>
      <c r="C12" s="15">
        <v>7687329</v>
      </c>
      <c r="D12" s="14">
        <f t="shared" si="2"/>
        <v>11116969</v>
      </c>
      <c r="E12" s="231"/>
      <c r="F12" s="276">
        <f>69572+760320</f>
        <v>829892</v>
      </c>
      <c r="G12" s="228"/>
      <c r="H12" s="231"/>
      <c r="I12" s="219">
        <f>7520002+6715</f>
        <v>7526717</v>
      </c>
      <c r="J12" s="217"/>
      <c r="K12" s="217"/>
      <c r="L12" s="217">
        <v>1979581</v>
      </c>
      <c r="M12" s="9">
        <f t="shared" si="0"/>
        <v>1979581</v>
      </c>
      <c r="N12" s="217"/>
      <c r="O12" s="217">
        <v>540800</v>
      </c>
      <c r="P12" s="217"/>
      <c r="Q12" s="214">
        <f t="shared" si="1"/>
        <v>540800</v>
      </c>
      <c r="R12" s="231">
        <v>239979</v>
      </c>
      <c r="S12" s="199" t="s">
        <v>160</v>
      </c>
      <c r="T12" s="200">
        <v>239979</v>
      </c>
    </row>
    <row r="13" spans="1:24" ht="15" thickBot="1" x14ac:dyDescent="0.35">
      <c r="A13" s="39">
        <v>562.29</v>
      </c>
      <c r="B13" s="82" t="s">
        <v>86</v>
      </c>
      <c r="C13" s="15">
        <v>22789846</v>
      </c>
      <c r="D13" s="14">
        <f t="shared" si="2"/>
        <v>27027252</v>
      </c>
      <c r="E13" s="231">
        <v>93267</v>
      </c>
      <c r="F13" s="276">
        <f>28801+221485</f>
        <v>250286</v>
      </c>
      <c r="G13" s="228">
        <f>924679+39624</f>
        <v>964303</v>
      </c>
      <c r="H13" s="231">
        <f>896166</f>
        <v>896166</v>
      </c>
      <c r="I13" s="219">
        <f>2677412+91940+698121+3530</f>
        <v>3471003</v>
      </c>
      <c r="J13" s="217">
        <v>1984686</v>
      </c>
      <c r="K13" s="217"/>
      <c r="L13" s="217">
        <v>1931725</v>
      </c>
      <c r="M13" s="9">
        <f t="shared" si="0"/>
        <v>3916411</v>
      </c>
      <c r="N13" s="217">
        <f>135864+2868233</f>
        <v>3004097</v>
      </c>
      <c r="O13" s="217">
        <f>265+5169+12694185</f>
        <v>12699619</v>
      </c>
      <c r="P13" s="217"/>
      <c r="Q13" s="214">
        <f t="shared" si="1"/>
        <v>15703716</v>
      </c>
      <c r="R13" s="231">
        <f>1100821+631279</f>
        <v>1732100</v>
      </c>
      <c r="S13" s="199" t="s">
        <v>159</v>
      </c>
      <c r="T13" s="200">
        <v>1100821</v>
      </c>
      <c r="U13" s="199" t="s">
        <v>160</v>
      </c>
      <c r="V13" s="200">
        <v>631279</v>
      </c>
    </row>
    <row r="14" spans="1:24" ht="15" thickBot="1" x14ac:dyDescent="0.35">
      <c r="A14" s="39">
        <v>562.32000000000005</v>
      </c>
      <c r="B14" s="40" t="s">
        <v>50</v>
      </c>
      <c r="C14" s="15">
        <v>779417</v>
      </c>
      <c r="D14" s="14">
        <f t="shared" si="2"/>
        <v>965363</v>
      </c>
      <c r="E14" s="231"/>
      <c r="F14" s="276"/>
      <c r="G14" s="228"/>
      <c r="H14" s="231">
        <f>7603+13638+550222+168571</f>
        <v>740034</v>
      </c>
      <c r="I14" s="219"/>
      <c r="J14" s="217"/>
      <c r="K14" s="217"/>
      <c r="L14" s="217">
        <v>5448</v>
      </c>
      <c r="M14" s="9">
        <f t="shared" si="0"/>
        <v>5448</v>
      </c>
      <c r="N14" s="217"/>
      <c r="O14" s="217">
        <v>219881</v>
      </c>
      <c r="P14" s="217"/>
      <c r="Q14" s="214">
        <f t="shared" si="1"/>
        <v>219881</v>
      </c>
      <c r="R14" s="231"/>
    </row>
    <row r="15" spans="1:24" ht="15" thickBot="1" x14ac:dyDescent="0.35">
      <c r="A15" s="39">
        <v>562.33000000000004</v>
      </c>
      <c r="B15" s="82" t="s">
        <v>95</v>
      </c>
      <c r="C15" s="15">
        <v>5238624</v>
      </c>
      <c r="D15" s="14">
        <f t="shared" si="2"/>
        <v>3633535</v>
      </c>
      <c r="E15" s="231">
        <v>1229662</v>
      </c>
      <c r="F15" s="276">
        <f>40778+445641</f>
        <v>486419</v>
      </c>
      <c r="G15" s="228"/>
      <c r="H15" s="231"/>
      <c r="I15" s="219"/>
      <c r="J15" s="217"/>
      <c r="K15" s="217"/>
      <c r="L15" s="217">
        <v>1218630</v>
      </c>
      <c r="M15" s="9">
        <f t="shared" si="0"/>
        <v>1218630</v>
      </c>
      <c r="N15" s="217"/>
      <c r="O15" s="217">
        <f>201+677707</f>
        <v>677908</v>
      </c>
      <c r="P15" s="217"/>
      <c r="Q15" s="214">
        <f t="shared" si="1"/>
        <v>677908</v>
      </c>
      <c r="R15" s="231">
        <f>2891+18048-23</f>
        <v>20916</v>
      </c>
      <c r="S15" s="199" t="s">
        <v>159</v>
      </c>
      <c r="T15" s="200">
        <v>2891</v>
      </c>
      <c r="U15" s="199" t="s">
        <v>161</v>
      </c>
      <c r="V15" s="200">
        <v>-23</v>
      </c>
      <c r="W15" s="199">
        <v>369.9</v>
      </c>
      <c r="X15" s="200">
        <v>18048</v>
      </c>
    </row>
    <row r="16" spans="1:24" ht="15" thickBot="1" x14ac:dyDescent="0.35">
      <c r="A16" s="39">
        <v>562.34</v>
      </c>
      <c r="B16" s="40" t="s">
        <v>51</v>
      </c>
      <c r="C16" s="15">
        <v>3925697</v>
      </c>
      <c r="D16" s="14">
        <f t="shared" si="2"/>
        <v>4484528</v>
      </c>
      <c r="E16" s="231"/>
      <c r="F16" s="276">
        <f>59378+648917</f>
        <v>708295</v>
      </c>
      <c r="G16" s="228"/>
      <c r="H16" s="231">
        <f>427476-140637+16956</f>
        <v>303795</v>
      </c>
      <c r="I16" s="219"/>
      <c r="J16" s="217"/>
      <c r="K16" s="217"/>
      <c r="L16" s="217">
        <v>2880885</v>
      </c>
      <c r="M16" s="9">
        <f t="shared" si="0"/>
        <v>2880885</v>
      </c>
      <c r="N16" s="217"/>
      <c r="O16" s="217">
        <v>562047</v>
      </c>
      <c r="P16" s="217"/>
      <c r="Q16" s="214">
        <f t="shared" si="1"/>
        <v>562047</v>
      </c>
      <c r="R16" s="231">
        <f>27241+2265</f>
        <v>29506</v>
      </c>
      <c r="S16" s="199" t="s">
        <v>159</v>
      </c>
      <c r="T16" s="204">
        <v>27241</v>
      </c>
      <c r="U16" s="199" t="s">
        <v>160</v>
      </c>
      <c r="V16" s="204">
        <v>2265</v>
      </c>
      <c r="X16" s="204"/>
    </row>
    <row r="17" spans="1:22" ht="15" thickBot="1" x14ac:dyDescent="0.35">
      <c r="A17" s="39">
        <v>562.35</v>
      </c>
      <c r="B17" s="40" t="s">
        <v>52</v>
      </c>
      <c r="C17" s="15">
        <v>13735653</v>
      </c>
      <c r="D17" s="14">
        <f t="shared" si="2"/>
        <v>14618917</v>
      </c>
      <c r="E17" s="231">
        <v>2681867</v>
      </c>
      <c r="F17" s="276">
        <f>1787+19529</f>
        <v>21316</v>
      </c>
      <c r="G17" s="228"/>
      <c r="H17" s="231">
        <f>2795517+71448+131465+22935</f>
        <v>3021365</v>
      </c>
      <c r="I17" s="219">
        <f>6805888+23102</f>
        <v>6828990</v>
      </c>
      <c r="J17" s="217">
        <v>1308272</v>
      </c>
      <c r="K17" s="217"/>
      <c r="L17" s="217">
        <v>673889</v>
      </c>
      <c r="M17" s="9">
        <f t="shared" si="0"/>
        <v>1982161</v>
      </c>
      <c r="N17" s="217"/>
      <c r="O17" s="217">
        <v>83218</v>
      </c>
      <c r="P17" s="217"/>
      <c r="Q17" s="214">
        <f t="shared" si="1"/>
        <v>83218</v>
      </c>
      <c r="R17" s="231"/>
    </row>
    <row r="18" spans="1:22" ht="15" thickBot="1" x14ac:dyDescent="0.35">
      <c r="A18" s="39">
        <v>562.39</v>
      </c>
      <c r="B18" s="40" t="s">
        <v>53</v>
      </c>
      <c r="C18" s="15">
        <v>1562018</v>
      </c>
      <c r="D18" s="14">
        <f t="shared" si="2"/>
        <v>1316624</v>
      </c>
      <c r="E18" s="231"/>
      <c r="F18" s="276"/>
      <c r="G18" s="228"/>
      <c r="H18" s="231">
        <f>1226928+20428</f>
        <v>1247356</v>
      </c>
      <c r="I18" s="219">
        <v>69268</v>
      </c>
      <c r="J18" s="217"/>
      <c r="K18" s="217"/>
      <c r="L18" s="217"/>
      <c r="M18" s="9">
        <f t="shared" si="0"/>
        <v>0</v>
      </c>
      <c r="N18" s="217"/>
      <c r="O18" s="217"/>
      <c r="P18" s="217"/>
      <c r="Q18" s="214">
        <f t="shared" si="1"/>
        <v>0</v>
      </c>
      <c r="R18" s="231"/>
    </row>
    <row r="19" spans="1:22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76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</row>
    <row r="20" spans="1:22" ht="15" thickBot="1" x14ac:dyDescent="0.35">
      <c r="A20" s="39">
        <v>562.41999999999996</v>
      </c>
      <c r="B20" s="40" t="s">
        <v>55</v>
      </c>
      <c r="C20" s="15">
        <v>1340124</v>
      </c>
      <c r="D20" s="14">
        <f t="shared" si="2"/>
        <v>1640957</v>
      </c>
      <c r="E20" s="231">
        <v>202008</v>
      </c>
      <c r="F20" s="276">
        <f>64555+503485</f>
        <v>568040</v>
      </c>
      <c r="G20" s="228"/>
      <c r="H20" s="231">
        <v>664963</v>
      </c>
      <c r="I20" s="219"/>
      <c r="J20" s="217"/>
      <c r="K20" s="217"/>
      <c r="L20" s="217">
        <v>205946</v>
      </c>
      <c r="M20" s="9">
        <f t="shared" si="0"/>
        <v>205946</v>
      </c>
      <c r="N20" s="217"/>
      <c r="O20" s="217"/>
      <c r="P20" s="217"/>
      <c r="Q20" s="214">
        <f t="shared" si="1"/>
        <v>0</v>
      </c>
      <c r="R20" s="231"/>
    </row>
    <row r="21" spans="1:22" ht="15" thickBot="1" x14ac:dyDescent="0.35">
      <c r="A21" s="39">
        <v>562.42999999999995</v>
      </c>
      <c r="B21" s="82" t="s">
        <v>96</v>
      </c>
      <c r="C21" s="15">
        <v>973427</v>
      </c>
      <c r="D21" s="14">
        <f t="shared" si="2"/>
        <v>1073356</v>
      </c>
      <c r="E21" s="231">
        <f>436073+47643</f>
        <v>483716</v>
      </c>
      <c r="F21" s="257"/>
      <c r="G21" s="228"/>
      <c r="H21" s="231">
        <f>4195-9424+588077+6792</f>
        <v>589640</v>
      </c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</row>
    <row r="22" spans="1:22" ht="15" thickBot="1" x14ac:dyDescent="0.35">
      <c r="A22" s="39">
        <v>562.44000000000005</v>
      </c>
      <c r="B22" s="82" t="s">
        <v>97</v>
      </c>
      <c r="C22" s="15">
        <v>487725</v>
      </c>
      <c r="D22" s="14">
        <f t="shared" si="2"/>
        <v>196208</v>
      </c>
      <c r="E22" s="231">
        <v>16383</v>
      </c>
      <c r="F22" s="257">
        <v>85074</v>
      </c>
      <c r="G22" s="228"/>
      <c r="H22" s="231">
        <v>41683</v>
      </c>
      <c r="I22" s="219"/>
      <c r="J22" s="217"/>
      <c r="K22" s="217"/>
      <c r="L22" s="217">
        <v>53068</v>
      </c>
      <c r="M22" s="9">
        <f t="shared" si="0"/>
        <v>53068</v>
      </c>
      <c r="N22" s="217"/>
      <c r="O22" s="217"/>
      <c r="P22" s="217"/>
      <c r="Q22" s="214">
        <f t="shared" si="1"/>
        <v>0</v>
      </c>
      <c r="R22" s="231"/>
    </row>
    <row r="23" spans="1:22" ht="15" thickBot="1" x14ac:dyDescent="0.35">
      <c r="A23" s="39">
        <v>562.45000000000005</v>
      </c>
      <c r="B23" s="82" t="s">
        <v>98</v>
      </c>
      <c r="C23" s="15">
        <v>895661</v>
      </c>
      <c r="D23" s="14">
        <f t="shared" si="2"/>
        <v>1047736</v>
      </c>
      <c r="E23" s="231">
        <v>121565</v>
      </c>
      <c r="F23" s="276">
        <f>436058+172557</f>
        <v>608615</v>
      </c>
      <c r="G23" s="228"/>
      <c r="H23" s="231"/>
      <c r="I23" s="219">
        <f>42427+32361</f>
        <v>74788</v>
      </c>
      <c r="J23" s="217">
        <v>68000</v>
      </c>
      <c r="K23" s="217"/>
      <c r="L23" s="217">
        <v>155474</v>
      </c>
      <c r="M23" s="9">
        <f t="shared" si="0"/>
        <v>223474</v>
      </c>
      <c r="N23" s="217"/>
      <c r="O23" s="217">
        <v>19294</v>
      </c>
      <c r="P23" s="217"/>
      <c r="Q23" s="214">
        <f t="shared" si="1"/>
        <v>19294</v>
      </c>
      <c r="R23" s="231"/>
    </row>
    <row r="24" spans="1:22" ht="15" thickBot="1" x14ac:dyDescent="0.35">
      <c r="A24" s="39">
        <v>562.49</v>
      </c>
      <c r="B24" s="82" t="s">
        <v>87</v>
      </c>
      <c r="C24" s="15">
        <v>1836196</v>
      </c>
      <c r="D24" s="14">
        <f t="shared" si="2"/>
        <v>3458933</v>
      </c>
      <c r="E24" s="231">
        <v>341666</v>
      </c>
      <c r="F24" s="257"/>
      <c r="G24" s="228"/>
      <c r="H24" s="231">
        <v>482349</v>
      </c>
      <c r="I24" s="219">
        <f>97795+443216</f>
        <v>541011</v>
      </c>
      <c r="J24" s="217"/>
      <c r="K24" s="217"/>
      <c r="L24" s="217"/>
      <c r="M24" s="9">
        <f t="shared" si="0"/>
        <v>0</v>
      </c>
      <c r="N24" s="217"/>
      <c r="O24" s="217">
        <v>3250</v>
      </c>
      <c r="P24" s="217"/>
      <c r="Q24" s="214">
        <f t="shared" si="1"/>
        <v>3250</v>
      </c>
      <c r="R24" s="231">
        <f>364176+1726481</f>
        <v>2090657</v>
      </c>
      <c r="S24" s="199" t="s">
        <v>159</v>
      </c>
      <c r="T24" s="200">
        <v>364176</v>
      </c>
      <c r="U24" s="199" t="s">
        <v>160</v>
      </c>
      <c r="V24" s="200">
        <v>1726481</v>
      </c>
    </row>
    <row r="25" spans="1:22" ht="15" thickBot="1" x14ac:dyDescent="0.35">
      <c r="A25" s="39">
        <v>562.52</v>
      </c>
      <c r="B25" s="40" t="s">
        <v>56</v>
      </c>
      <c r="C25" s="15">
        <v>1059858</v>
      </c>
      <c r="D25" s="14">
        <f t="shared" si="2"/>
        <v>1954388</v>
      </c>
      <c r="E25" s="231">
        <v>40636</v>
      </c>
      <c r="F25" s="276">
        <f>2604+28456</f>
        <v>31060</v>
      </c>
      <c r="G25" s="228">
        <f>10715</f>
        <v>10715</v>
      </c>
      <c r="H25" s="231"/>
      <c r="I25" s="219">
        <v>194567</v>
      </c>
      <c r="J25" s="217"/>
      <c r="K25" s="217"/>
      <c r="L25" s="217"/>
      <c r="M25" s="9">
        <f t="shared" si="0"/>
        <v>0</v>
      </c>
      <c r="N25" s="217">
        <f>79237+903232</f>
        <v>982469</v>
      </c>
      <c r="O25" s="217">
        <f>52345+640578</f>
        <v>692923</v>
      </c>
      <c r="P25" s="217">
        <v>2000</v>
      </c>
      <c r="Q25" s="214">
        <f t="shared" si="1"/>
        <v>1677392</v>
      </c>
      <c r="R25" s="231">
        <f>19-1</f>
        <v>18</v>
      </c>
      <c r="S25" s="199" t="s">
        <v>161</v>
      </c>
      <c r="T25" s="200">
        <v>-1</v>
      </c>
      <c r="U25" s="199" t="s">
        <v>160</v>
      </c>
      <c r="V25" s="200">
        <v>19</v>
      </c>
    </row>
    <row r="26" spans="1:22" ht="15" thickBot="1" x14ac:dyDescent="0.35">
      <c r="A26" s="39">
        <v>562.53</v>
      </c>
      <c r="B26" s="82" t="s">
        <v>99</v>
      </c>
      <c r="C26" s="15">
        <v>5392215</v>
      </c>
      <c r="D26" s="14">
        <f t="shared" si="2"/>
        <v>6277644</v>
      </c>
      <c r="E26" s="231"/>
      <c r="F26" s="257"/>
      <c r="G26" s="228">
        <v>100708</v>
      </c>
      <c r="H26" s="231"/>
      <c r="I26" s="219"/>
      <c r="J26" s="217">
        <v>37761</v>
      </c>
      <c r="K26" s="217"/>
      <c r="L26" s="217"/>
      <c r="M26" s="9">
        <f t="shared" si="0"/>
        <v>37761</v>
      </c>
      <c r="N26" s="217">
        <v>285408</v>
      </c>
      <c r="O26" s="217">
        <f>919219+3444486</f>
        <v>4363705</v>
      </c>
      <c r="P26" s="217">
        <v>62146</v>
      </c>
      <c r="Q26" s="214">
        <f t="shared" si="1"/>
        <v>4711259</v>
      </c>
      <c r="R26" s="231">
        <v>1427916</v>
      </c>
      <c r="S26" s="199" t="s">
        <v>160</v>
      </c>
      <c r="T26" s="200">
        <v>1427916</v>
      </c>
    </row>
    <row r="27" spans="1:22" ht="15" thickBot="1" x14ac:dyDescent="0.35">
      <c r="A27" s="39">
        <v>562.54</v>
      </c>
      <c r="B27" s="82" t="s">
        <v>100</v>
      </c>
      <c r="C27" s="15">
        <v>73082</v>
      </c>
      <c r="D27" s="14">
        <f t="shared" si="2"/>
        <v>0</v>
      </c>
      <c r="E27" s="231"/>
      <c r="F27" s="257"/>
      <c r="G27" s="228"/>
      <c r="H27" s="231"/>
      <c r="I27" s="219"/>
      <c r="J27" s="217"/>
      <c r="K27" s="217"/>
      <c r="L27" s="217"/>
      <c r="M27" s="9">
        <f t="shared" si="0"/>
        <v>0</v>
      </c>
      <c r="N27" s="217"/>
      <c r="O27" s="217"/>
      <c r="P27" s="217"/>
      <c r="Q27" s="214">
        <f t="shared" si="1"/>
        <v>0</v>
      </c>
      <c r="R27" s="231"/>
    </row>
    <row r="28" spans="1:22" ht="15" thickBot="1" x14ac:dyDescent="0.35">
      <c r="A28" s="39">
        <v>562.54999999999995</v>
      </c>
      <c r="B28" s="40" t="s">
        <v>57</v>
      </c>
      <c r="C28" s="15">
        <v>784996</v>
      </c>
      <c r="D28" s="14">
        <f t="shared" si="2"/>
        <v>734418</v>
      </c>
      <c r="E28" s="231"/>
      <c r="F28" s="257"/>
      <c r="G28" s="228"/>
      <c r="H28" s="231"/>
      <c r="I28" s="219"/>
      <c r="J28" s="217">
        <v>387015</v>
      </c>
      <c r="K28" s="217"/>
      <c r="L28" s="217">
        <v>221067</v>
      </c>
      <c r="M28" s="9">
        <f t="shared" si="0"/>
        <v>608082</v>
      </c>
      <c r="N28" s="217"/>
      <c r="O28" s="217">
        <v>125838</v>
      </c>
      <c r="P28" s="217">
        <v>498</v>
      </c>
      <c r="Q28" s="214">
        <f t="shared" si="1"/>
        <v>126336</v>
      </c>
      <c r="R28" s="231"/>
    </row>
    <row r="29" spans="1:22" ht="15" thickBot="1" x14ac:dyDescent="0.35">
      <c r="A29" s="39">
        <v>562.55999999999995</v>
      </c>
      <c r="B29" s="40" t="s">
        <v>58</v>
      </c>
      <c r="C29" s="15">
        <v>8323748</v>
      </c>
      <c r="D29" s="14">
        <f t="shared" si="2"/>
        <v>10685287</v>
      </c>
      <c r="E29" s="231"/>
      <c r="F29" s="257"/>
      <c r="G29" s="228"/>
      <c r="H29" s="231"/>
      <c r="I29" s="219"/>
      <c r="J29" s="217"/>
      <c r="K29" s="217"/>
      <c r="L29" s="217">
        <v>30</v>
      </c>
      <c r="M29" s="9">
        <f t="shared" si="0"/>
        <v>30</v>
      </c>
      <c r="N29" s="217">
        <v>10145238</v>
      </c>
      <c r="O29" s="217">
        <v>534821</v>
      </c>
      <c r="P29" s="217">
        <v>1177</v>
      </c>
      <c r="Q29" s="214">
        <f t="shared" si="1"/>
        <v>10681236</v>
      </c>
      <c r="R29" s="231">
        <f>1810+2211</f>
        <v>4021</v>
      </c>
      <c r="S29" s="199" t="s">
        <v>161</v>
      </c>
      <c r="T29" s="200">
        <v>1810</v>
      </c>
      <c r="U29" s="199" t="s">
        <v>160</v>
      </c>
      <c r="V29" s="200">
        <v>2211</v>
      </c>
    </row>
    <row r="30" spans="1:22" ht="15" thickBot="1" x14ac:dyDescent="0.35">
      <c r="A30" s="39">
        <v>562.57000000000005</v>
      </c>
      <c r="B30" s="82" t="s">
        <v>101</v>
      </c>
      <c r="C30" s="15">
        <v>244494</v>
      </c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</row>
    <row r="31" spans="1:22" ht="15" thickBot="1" x14ac:dyDescent="0.35">
      <c r="A31" s="39">
        <v>562.58000000000004</v>
      </c>
      <c r="B31" s="82" t="s">
        <v>88</v>
      </c>
      <c r="C31" s="15">
        <v>794782</v>
      </c>
      <c r="D31" s="14">
        <f t="shared" si="2"/>
        <v>1250546</v>
      </c>
      <c r="E31" s="231">
        <v>2697</v>
      </c>
      <c r="F31" s="257"/>
      <c r="G31" s="228"/>
      <c r="H31" s="231"/>
      <c r="I31" s="219">
        <v>26558</v>
      </c>
      <c r="J31" s="217"/>
      <c r="K31" s="217"/>
      <c r="L31" s="217"/>
      <c r="M31" s="9">
        <f t="shared" si="0"/>
        <v>0</v>
      </c>
      <c r="N31" s="217">
        <f>1133634+65594</f>
        <v>1199228</v>
      </c>
      <c r="O31" s="217">
        <f>19970+1574</f>
        <v>21544</v>
      </c>
      <c r="P31" s="217">
        <v>519</v>
      </c>
      <c r="Q31" s="214">
        <f t="shared" si="1"/>
        <v>1221291</v>
      </c>
      <c r="R31" s="231"/>
    </row>
    <row r="32" spans="1:22" ht="15" thickBot="1" x14ac:dyDescent="0.35">
      <c r="A32" s="39">
        <v>562.59</v>
      </c>
      <c r="B32" s="82" t="s">
        <v>89</v>
      </c>
      <c r="C32" s="15">
        <v>3164838</v>
      </c>
      <c r="D32" s="14">
        <f t="shared" si="2"/>
        <v>697325</v>
      </c>
      <c r="E32" s="231">
        <v>72994</v>
      </c>
      <c r="F32" s="276">
        <f>30436+214518</f>
        <v>244954</v>
      </c>
      <c r="G32" s="228"/>
      <c r="H32" s="231"/>
      <c r="I32" s="219"/>
      <c r="J32" s="247"/>
      <c r="K32" s="247"/>
      <c r="L32" s="247">
        <v>73141</v>
      </c>
      <c r="M32" s="9">
        <f t="shared" si="0"/>
        <v>73141</v>
      </c>
      <c r="N32" s="247"/>
      <c r="O32" s="247"/>
      <c r="P32" s="247"/>
      <c r="Q32" s="214">
        <f t="shared" si="1"/>
        <v>0</v>
      </c>
      <c r="R32" s="231">
        <v>306236</v>
      </c>
      <c r="S32" s="199" t="s">
        <v>160</v>
      </c>
      <c r="T32" s="200">
        <v>306236</v>
      </c>
    </row>
    <row r="33" spans="1:26" ht="15" thickBot="1" x14ac:dyDescent="0.35">
      <c r="A33" s="39">
        <v>562.6</v>
      </c>
      <c r="B33" s="40" t="s">
        <v>59</v>
      </c>
      <c r="C33" s="15">
        <v>499625</v>
      </c>
      <c r="D33" s="14">
        <f t="shared" si="2"/>
        <v>548604</v>
      </c>
      <c r="E33" s="231"/>
      <c r="F33" s="257"/>
      <c r="G33" s="228">
        <v>548604</v>
      </c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</row>
    <row r="34" spans="1:26" ht="15" thickBot="1" x14ac:dyDescent="0.35">
      <c r="A34" s="39">
        <v>562.71</v>
      </c>
      <c r="B34" s="40" t="s">
        <v>60</v>
      </c>
      <c r="C34" s="15">
        <v>1000973</v>
      </c>
      <c r="D34" s="14">
        <f t="shared" si="2"/>
        <v>1097044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1097025</v>
      </c>
      <c r="P34" s="217"/>
      <c r="Q34" s="214">
        <f t="shared" si="1"/>
        <v>1097025</v>
      </c>
      <c r="R34" s="231">
        <v>19</v>
      </c>
      <c r="S34" s="199" t="s">
        <v>162</v>
      </c>
      <c r="T34" s="200">
        <v>19</v>
      </c>
    </row>
    <row r="35" spans="1:26" ht="15" thickBot="1" x14ac:dyDescent="0.35">
      <c r="A35" s="39">
        <v>562.72</v>
      </c>
      <c r="B35" s="40" t="s">
        <v>61</v>
      </c>
      <c r="C35" s="15">
        <v>2257804</v>
      </c>
      <c r="D35" s="14">
        <f t="shared" si="2"/>
        <v>2686026</v>
      </c>
      <c r="E35" s="231"/>
      <c r="F35" s="276">
        <f>23170+253209</f>
        <v>276379</v>
      </c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>
        <v>2371417</v>
      </c>
      <c r="P35" s="217"/>
      <c r="Q35" s="214">
        <f t="shared" si="1"/>
        <v>2371417</v>
      </c>
      <c r="R35" s="231">
        <v>38230</v>
      </c>
      <c r="S35" s="199" t="s">
        <v>160</v>
      </c>
      <c r="T35" s="200">
        <v>38230</v>
      </c>
    </row>
    <row r="36" spans="1:26" ht="15" thickBot="1" x14ac:dyDescent="0.35">
      <c r="A36" s="39">
        <v>562.73</v>
      </c>
      <c r="B36" s="40" t="s">
        <v>62</v>
      </c>
      <c r="C36" s="15">
        <v>901694</v>
      </c>
      <c r="D36" s="14">
        <f t="shared" si="2"/>
        <v>1978410</v>
      </c>
      <c r="E36" s="231">
        <v>70232</v>
      </c>
      <c r="F36" s="276">
        <f>19933+217839</f>
        <v>237772</v>
      </c>
      <c r="G36" s="228"/>
      <c r="H36" s="231">
        <v>20658</v>
      </c>
      <c r="I36" s="219">
        <v>510836</v>
      </c>
      <c r="J36" s="217">
        <v>522611</v>
      </c>
      <c r="K36" s="217"/>
      <c r="L36" s="217">
        <v>31788</v>
      </c>
      <c r="M36" s="9">
        <f t="shared" si="0"/>
        <v>554399</v>
      </c>
      <c r="N36" s="217">
        <v>3620</v>
      </c>
      <c r="O36" s="217">
        <v>580893</v>
      </c>
      <c r="P36" s="217"/>
      <c r="Q36" s="214">
        <f t="shared" si="1"/>
        <v>584513</v>
      </c>
      <c r="R36" s="231"/>
    </row>
    <row r="37" spans="1:26" ht="15" thickBot="1" x14ac:dyDescent="0.35">
      <c r="A37" s="39">
        <v>562.74</v>
      </c>
      <c r="B37" s="82" t="s">
        <v>90</v>
      </c>
      <c r="C37" s="15">
        <v>18765425</v>
      </c>
      <c r="D37" s="14">
        <f t="shared" si="2"/>
        <v>20386885</v>
      </c>
      <c r="E37" s="231"/>
      <c r="F37" s="276">
        <f>4793+52385</f>
        <v>57178</v>
      </c>
      <c r="G37" s="228"/>
      <c r="H37" s="231">
        <f>99610+1351641</f>
        <v>1451251</v>
      </c>
      <c r="I37" s="219"/>
      <c r="J37" s="217">
        <v>14750287</v>
      </c>
      <c r="K37" s="217"/>
      <c r="L37" s="217">
        <v>1056734</v>
      </c>
      <c r="M37" s="9">
        <f t="shared" si="0"/>
        <v>15807021</v>
      </c>
      <c r="N37" s="217"/>
      <c r="O37" s="217">
        <f>2174686</f>
        <v>2174686</v>
      </c>
      <c r="P37" s="217"/>
      <c r="Q37" s="214">
        <f t="shared" si="1"/>
        <v>2174686</v>
      </c>
      <c r="R37" s="231">
        <v>896749</v>
      </c>
      <c r="S37" s="199" t="s">
        <v>159</v>
      </c>
      <c r="T37" s="200">
        <v>896749</v>
      </c>
    </row>
    <row r="38" spans="1:26" ht="15" thickBot="1" x14ac:dyDescent="0.35">
      <c r="A38" s="39">
        <v>562.78</v>
      </c>
      <c r="B38" s="40" t="s">
        <v>63</v>
      </c>
      <c r="C38" s="15">
        <v>888002</v>
      </c>
      <c r="D38" s="14">
        <f t="shared" si="2"/>
        <v>991908</v>
      </c>
      <c r="E38" s="231"/>
      <c r="F38" s="276">
        <f>9078+99207</f>
        <v>108285</v>
      </c>
      <c r="G38" s="228"/>
      <c r="H38" s="231"/>
      <c r="I38" s="219"/>
      <c r="J38" s="217"/>
      <c r="K38" s="217"/>
      <c r="L38" s="217">
        <v>522703</v>
      </c>
      <c r="M38" s="9">
        <f t="shared" si="0"/>
        <v>522703</v>
      </c>
      <c r="N38" s="217"/>
      <c r="O38" s="217">
        <f>169695+96695+60777</f>
        <v>327167</v>
      </c>
      <c r="P38" s="217"/>
      <c r="Q38" s="214">
        <f t="shared" si="1"/>
        <v>327167</v>
      </c>
      <c r="R38" s="231">
        <f>11+33742</f>
        <v>33753</v>
      </c>
      <c r="S38" s="199" t="s">
        <v>159</v>
      </c>
      <c r="T38" s="200">
        <v>11</v>
      </c>
      <c r="U38" s="199" t="s">
        <v>160</v>
      </c>
      <c r="V38" s="200">
        <v>33742</v>
      </c>
    </row>
    <row r="39" spans="1:26" ht="15" thickBot="1" x14ac:dyDescent="0.35">
      <c r="A39" s="39">
        <v>562.79</v>
      </c>
      <c r="B39" s="40" t="s">
        <v>64</v>
      </c>
      <c r="C39" s="15">
        <v>1383451</v>
      </c>
      <c r="D39" s="14">
        <f t="shared" si="2"/>
        <v>2256946</v>
      </c>
      <c r="E39" s="231"/>
      <c r="F39" s="276">
        <f>516395+641657</f>
        <v>1158052</v>
      </c>
      <c r="G39" s="228"/>
      <c r="H39" s="231">
        <v>-324314</v>
      </c>
      <c r="I39" s="219"/>
      <c r="J39" s="217"/>
      <c r="K39" s="217"/>
      <c r="L39" s="217">
        <v>1281433</v>
      </c>
      <c r="M39" s="9">
        <f t="shared" si="0"/>
        <v>1281433</v>
      </c>
      <c r="N39" s="217">
        <v>140000</v>
      </c>
      <c r="O39" s="217">
        <v>1615</v>
      </c>
      <c r="P39" s="217"/>
      <c r="Q39" s="214">
        <f t="shared" si="1"/>
        <v>141615</v>
      </c>
      <c r="R39" s="231">
        <v>160</v>
      </c>
      <c r="S39" s="199" t="s">
        <v>160</v>
      </c>
      <c r="T39" s="200">
        <v>160</v>
      </c>
    </row>
    <row r="40" spans="1:26" ht="15" thickBot="1" x14ac:dyDescent="0.35">
      <c r="A40" s="39">
        <v>562.79999999999995</v>
      </c>
      <c r="B40" s="40" t="s">
        <v>65</v>
      </c>
      <c r="C40" s="15">
        <v>2276274</v>
      </c>
      <c r="D40" s="14">
        <f t="shared" si="2"/>
        <v>3020888</v>
      </c>
      <c r="E40" s="231">
        <v>551973</v>
      </c>
      <c r="F40" s="276">
        <f>80145+323888</f>
        <v>404033</v>
      </c>
      <c r="G40" s="228">
        <f>32641</f>
        <v>32641</v>
      </c>
      <c r="H40" s="231">
        <f>443+94196</f>
        <v>94639</v>
      </c>
      <c r="I40" s="219"/>
      <c r="J40" s="217">
        <v>61359</v>
      </c>
      <c r="K40" s="217"/>
      <c r="L40" s="217">
        <v>1584635</v>
      </c>
      <c r="M40" s="9">
        <f t="shared" si="0"/>
        <v>1645994</v>
      </c>
      <c r="N40" s="217"/>
      <c r="O40" s="217">
        <v>12071</v>
      </c>
      <c r="P40" s="217"/>
      <c r="Q40" s="214">
        <f t="shared" si="1"/>
        <v>12071</v>
      </c>
      <c r="R40" s="231">
        <f>80800+198737</f>
        <v>279537</v>
      </c>
      <c r="S40" s="199" t="s">
        <v>159</v>
      </c>
      <c r="T40" s="200">
        <v>198737</v>
      </c>
      <c r="U40" s="199" t="s">
        <v>160</v>
      </c>
      <c r="V40" s="200">
        <v>80800</v>
      </c>
    </row>
    <row r="41" spans="1:26" ht="15" thickBot="1" x14ac:dyDescent="0.35">
      <c r="A41" s="39">
        <v>562.88</v>
      </c>
      <c r="B41" s="82" t="s">
        <v>91</v>
      </c>
      <c r="C41" s="15">
        <v>2275455</v>
      </c>
      <c r="D41" s="14">
        <f t="shared" si="2"/>
        <v>2501742</v>
      </c>
      <c r="E41" s="231"/>
      <c r="F41" s="257"/>
      <c r="G41" s="228"/>
      <c r="H41" s="231">
        <f>1878578-8236+3500+26212</f>
        <v>1900054</v>
      </c>
      <c r="I41" s="219">
        <f>92837+77897+345937</f>
        <v>516671</v>
      </c>
      <c r="J41" s="217"/>
      <c r="K41" s="217"/>
      <c r="L41" s="217"/>
      <c r="M41" s="9">
        <f t="shared" si="0"/>
        <v>0</v>
      </c>
      <c r="N41" s="217"/>
      <c r="O41" s="217">
        <v>1135</v>
      </c>
      <c r="P41" s="217"/>
      <c r="Q41" s="214">
        <f t="shared" si="1"/>
        <v>1135</v>
      </c>
      <c r="R41" s="231">
        <f>23498+60384</f>
        <v>83882</v>
      </c>
      <c r="S41" s="199" t="s">
        <v>159</v>
      </c>
      <c r="T41" s="200">
        <v>23498</v>
      </c>
      <c r="U41" s="199" t="s">
        <v>163</v>
      </c>
      <c r="V41" s="200">
        <v>30384</v>
      </c>
    </row>
    <row r="42" spans="1:26" ht="15" thickBot="1" x14ac:dyDescent="0.35">
      <c r="A42" s="39">
        <v>562.9</v>
      </c>
      <c r="B42" s="40" t="s">
        <v>66</v>
      </c>
      <c r="C42" s="15">
        <v>36320883</v>
      </c>
      <c r="D42" s="14">
        <f t="shared" si="2"/>
        <v>11847538</v>
      </c>
      <c r="E42" s="231"/>
      <c r="F42" s="276">
        <f>62867+687043</f>
        <v>749910</v>
      </c>
      <c r="G42" s="228"/>
      <c r="H42" s="231">
        <v>298226</v>
      </c>
      <c r="I42" s="219">
        <v>436288</v>
      </c>
      <c r="J42" s="217"/>
      <c r="K42" s="217"/>
      <c r="L42" s="217">
        <v>1788659</v>
      </c>
      <c r="M42" s="9">
        <f t="shared" si="0"/>
        <v>1788659</v>
      </c>
      <c r="N42" s="217"/>
      <c r="O42" s="217">
        <v>72651</v>
      </c>
      <c r="P42" s="217"/>
      <c r="Q42" s="214">
        <f t="shared" si="1"/>
        <v>72651</v>
      </c>
      <c r="R42" s="231">
        <f>47054+8454750</f>
        <v>8501804</v>
      </c>
    </row>
    <row r="43" spans="1:26" x14ac:dyDescent="0.3">
      <c r="A43" s="41">
        <v>562.99</v>
      </c>
      <c r="B43" s="32" t="s">
        <v>67</v>
      </c>
      <c r="C43" s="18">
        <v>1756153</v>
      </c>
      <c r="D43" s="20">
        <f t="shared" si="2"/>
        <v>1764529</v>
      </c>
      <c r="E43" s="232">
        <v>462341</v>
      </c>
      <c r="F43" s="258"/>
      <c r="G43" s="229"/>
      <c r="H43" s="232">
        <v>1291780</v>
      </c>
      <c r="I43" s="220">
        <v>10408</v>
      </c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</row>
    <row r="44" spans="1:26" x14ac:dyDescent="0.3">
      <c r="A44" s="206" t="s">
        <v>110</v>
      </c>
      <c r="B44" s="207" t="s">
        <v>68</v>
      </c>
      <c r="C44" s="208">
        <f>SUM(C5:C43)</f>
        <v>221936866</v>
      </c>
      <c r="D44" s="205">
        <f>E44+F44+G44+H44+I44+M44+Q44+R44</f>
        <v>214697821</v>
      </c>
      <c r="E44" s="233">
        <f t="shared" ref="E44:R44" si="3">SUM(E5:E43)</f>
        <v>7355861</v>
      </c>
      <c r="F44" s="259">
        <f t="shared" si="3"/>
        <v>11768307</v>
      </c>
      <c r="G44" s="223">
        <f t="shared" si="3"/>
        <v>3144130</v>
      </c>
      <c r="H44" s="233">
        <f t="shared" si="3"/>
        <v>15173044</v>
      </c>
      <c r="I44" s="239">
        <f t="shared" si="3"/>
        <v>21234216</v>
      </c>
      <c r="J44" s="245">
        <f>SUM(J5:J43)</f>
        <v>23075339</v>
      </c>
      <c r="K44" s="245">
        <f>SUM(K5:K43)</f>
        <v>0</v>
      </c>
      <c r="L44" s="245">
        <f>SUM(L5:L43)</f>
        <v>26522164</v>
      </c>
      <c r="M44" s="208">
        <f t="shared" si="3"/>
        <v>49597503</v>
      </c>
      <c r="N44" s="245">
        <f>SUM(N5:N43)</f>
        <v>15760060</v>
      </c>
      <c r="O44" s="245">
        <f>SUM(O5:O43)</f>
        <v>59950528</v>
      </c>
      <c r="P44" s="245">
        <f>SUM(P5:P43)</f>
        <v>69759</v>
      </c>
      <c r="Q44" s="216">
        <f t="shared" si="3"/>
        <v>75780347</v>
      </c>
      <c r="R44" s="233">
        <f t="shared" si="3"/>
        <v>30644413</v>
      </c>
    </row>
    <row r="45" spans="1:26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</row>
    <row r="46" spans="1:26" ht="15" thickBot="1" x14ac:dyDescent="0.35">
      <c r="A46" s="39">
        <v>526</v>
      </c>
      <c r="B46" s="40" t="s">
        <v>70</v>
      </c>
      <c r="C46" s="15">
        <v>1398277</v>
      </c>
      <c r="D46" s="14">
        <f t="shared" si="2"/>
        <v>1510591</v>
      </c>
      <c r="E46" s="231"/>
      <c r="F46" s="257"/>
      <c r="G46" s="228"/>
      <c r="H46" s="231"/>
      <c r="I46" s="219">
        <f>25358+35722+79040</f>
        <v>140120</v>
      </c>
      <c r="J46" s="217">
        <v>599564</v>
      </c>
      <c r="K46" s="217"/>
      <c r="L46" s="217"/>
      <c r="M46" s="9">
        <f t="shared" si="0"/>
        <v>599564</v>
      </c>
      <c r="N46" s="217"/>
      <c r="O46" s="217">
        <f>1295+43945+124600</f>
        <v>169840</v>
      </c>
      <c r="P46" s="217"/>
      <c r="Q46" s="214">
        <f t="shared" si="1"/>
        <v>169840</v>
      </c>
      <c r="R46" s="231">
        <f>42094+488688+68660+1625</f>
        <v>601067</v>
      </c>
      <c r="S46" s="199" t="s">
        <v>164</v>
      </c>
      <c r="T46" s="200">
        <v>42094</v>
      </c>
      <c r="U46" s="199" t="s">
        <v>159</v>
      </c>
      <c r="V46" s="200">
        <v>488688</v>
      </c>
      <c r="W46" s="199" t="s">
        <v>165</v>
      </c>
      <c r="X46" s="200">
        <v>68660</v>
      </c>
      <c r="Y46" t="s">
        <v>160</v>
      </c>
      <c r="Z46">
        <v>1625</v>
      </c>
    </row>
    <row r="47" spans="1:26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</row>
    <row r="48" spans="1:26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</row>
    <row r="49" spans="1:20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</row>
    <row r="50" spans="1:20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</row>
    <row r="51" spans="1:20" ht="15" thickBot="1" x14ac:dyDescent="0.35">
      <c r="A51" s="39">
        <v>563</v>
      </c>
      <c r="B51" s="40" t="s">
        <v>74</v>
      </c>
      <c r="C51" s="15">
        <f>2576609+1826107+1549967</f>
        <v>5952683</v>
      </c>
      <c r="D51" s="14">
        <f t="shared" si="2"/>
        <v>6268867</v>
      </c>
      <c r="E51" s="231"/>
      <c r="F51" s="257"/>
      <c r="G51" s="228">
        <v>313376</v>
      </c>
      <c r="H51" s="231"/>
      <c r="I51" s="219"/>
      <c r="J51" s="217"/>
      <c r="K51" s="217"/>
      <c r="L51" s="217">
        <v>3665877</v>
      </c>
      <c r="M51" s="9">
        <f t="shared" si="0"/>
        <v>3665877</v>
      </c>
      <c r="N51" s="217"/>
      <c r="O51" s="217">
        <f>41368+219735+760666</f>
        <v>1021769</v>
      </c>
      <c r="P51" s="217"/>
      <c r="Q51" s="214">
        <f t="shared" si="1"/>
        <v>1021769</v>
      </c>
      <c r="R51" s="231">
        <v>1267845</v>
      </c>
      <c r="S51" s="199" t="s">
        <v>160</v>
      </c>
      <c r="T51" s="200">
        <v>1267845</v>
      </c>
    </row>
    <row r="52" spans="1:20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</row>
    <row r="53" spans="1:20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</row>
    <row r="54" spans="1:20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</row>
    <row r="55" spans="1:20" x14ac:dyDescent="0.3">
      <c r="A55" s="41">
        <v>500</v>
      </c>
      <c r="B55" s="32" t="s">
        <v>118</v>
      </c>
      <c r="C55" s="18"/>
      <c r="D55" s="20"/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</row>
    <row r="56" spans="1:20" ht="15" thickBot="1" x14ac:dyDescent="0.35">
      <c r="A56" s="107"/>
      <c r="B56" s="108" t="s">
        <v>80</v>
      </c>
      <c r="C56" s="111">
        <f>SUM(C44:C55)</f>
        <v>229287826</v>
      </c>
      <c r="D56" s="110">
        <f>E56+F56+G56+H56+I56+M56+Q56+R56</f>
        <v>222477279</v>
      </c>
      <c r="E56" s="235">
        <f t="shared" ref="E56:R56" si="4">SUM(E44:E55)</f>
        <v>7355861</v>
      </c>
      <c r="F56" s="260">
        <f t="shared" si="4"/>
        <v>11768307</v>
      </c>
      <c r="G56" s="225">
        <f t="shared" si="4"/>
        <v>3457506</v>
      </c>
      <c r="H56" s="235">
        <f t="shared" si="4"/>
        <v>15173044</v>
      </c>
      <c r="I56" s="240">
        <f t="shared" si="4"/>
        <v>21374336</v>
      </c>
      <c r="J56" s="218">
        <f>SUM(J44:J55)</f>
        <v>23674903</v>
      </c>
      <c r="K56" s="218">
        <f>SUM(K44:K55)</f>
        <v>0</v>
      </c>
      <c r="L56" s="218">
        <f>SUM(L44:L55)</f>
        <v>30188041</v>
      </c>
      <c r="M56" s="209">
        <f t="shared" si="4"/>
        <v>53862944</v>
      </c>
      <c r="N56" s="218">
        <f>SUM(N44:N55)</f>
        <v>15760060</v>
      </c>
      <c r="O56" s="218">
        <f>SUM(O44:O55)</f>
        <v>61142137</v>
      </c>
      <c r="P56" s="218">
        <f>SUM(P44:P55)</f>
        <v>69759</v>
      </c>
      <c r="Q56" s="218">
        <f t="shared" si="4"/>
        <v>76971956</v>
      </c>
      <c r="R56" s="235">
        <f t="shared" si="4"/>
        <v>32513325</v>
      </c>
    </row>
    <row r="57" spans="1:20" ht="15" thickTop="1" x14ac:dyDescent="0.3"/>
    <row r="58" spans="1:20" ht="15" thickBot="1" x14ac:dyDescent="0.35"/>
    <row r="59" spans="1:20" ht="15" thickBot="1" x14ac:dyDescent="0.35">
      <c r="B59" s="42" t="s">
        <v>109</v>
      </c>
      <c r="C59" s="43"/>
      <c r="D59" s="44"/>
    </row>
    <row r="60" spans="1:20" ht="15" thickTop="1" x14ac:dyDescent="0.3">
      <c r="B60" s="115"/>
      <c r="C60" s="116" t="s">
        <v>82</v>
      </c>
      <c r="D60" s="117" t="s">
        <v>78</v>
      </c>
    </row>
    <row r="61" spans="1:20" x14ac:dyDescent="0.3">
      <c r="B61" s="153" t="s">
        <v>108</v>
      </c>
      <c r="C61" s="45"/>
      <c r="D61" s="46"/>
    </row>
    <row r="62" spans="1:20" x14ac:dyDescent="0.3">
      <c r="B62" s="26" t="s">
        <v>3</v>
      </c>
      <c r="C62" s="47">
        <f>E56</f>
        <v>7355861</v>
      </c>
      <c r="D62" s="48">
        <f>E56/D56</f>
        <v>3.3063425771222239E-2</v>
      </c>
    </row>
    <row r="63" spans="1:20" x14ac:dyDescent="0.3">
      <c r="B63" s="26" t="s">
        <v>4</v>
      </c>
      <c r="C63" s="49">
        <f>F56</f>
        <v>11768307</v>
      </c>
      <c r="D63" s="48">
        <f>F56/D56</f>
        <v>5.2896669057157966E-2</v>
      </c>
    </row>
    <row r="64" spans="1:20" x14ac:dyDescent="0.3">
      <c r="B64" s="56" t="s">
        <v>79</v>
      </c>
      <c r="C64" s="50">
        <f>G56</f>
        <v>3457506</v>
      </c>
      <c r="D64" s="51">
        <f>G56/D56</f>
        <v>1.5540939800868384E-2</v>
      </c>
    </row>
    <row r="65" spans="2:4" ht="15" thickBot="1" x14ac:dyDescent="0.35">
      <c r="B65" s="146" t="s">
        <v>115</v>
      </c>
      <c r="C65" s="52">
        <f>SUM(C62:C64)</f>
        <v>22581674</v>
      </c>
      <c r="D65" s="53">
        <f>SUM(D62:D64)</f>
        <v>0.1015010346292486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15173044</v>
      </c>
      <c r="D67" s="25">
        <f>H56/D56</f>
        <v>6.8200420592163039E-2</v>
      </c>
    </row>
    <row r="68" spans="2:4" x14ac:dyDescent="0.3">
      <c r="B68" s="57" t="s">
        <v>7</v>
      </c>
      <c r="C68" s="27">
        <f>I56</f>
        <v>21374336</v>
      </c>
      <c r="D68" s="28">
        <f>I56/D56</f>
        <v>9.6074242260037704E-2</v>
      </c>
    </row>
    <row r="69" spans="2:4" ht="15" thickBot="1" x14ac:dyDescent="0.35">
      <c r="B69" s="146" t="s">
        <v>116</v>
      </c>
      <c r="C69" s="52">
        <f>SUM(C67:C68)</f>
        <v>36547380</v>
      </c>
      <c r="D69" s="53">
        <f>SUM(D67:D68)</f>
        <v>0.16427466285220074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53862944</v>
      </c>
      <c r="D71" s="25">
        <f>M56/D56</f>
        <v>0.24210537022973927</v>
      </c>
    </row>
    <row r="72" spans="2:4" x14ac:dyDescent="0.3">
      <c r="B72" s="24" t="s">
        <v>8</v>
      </c>
      <c r="C72" s="23">
        <f>Q56</f>
        <v>76971956</v>
      </c>
      <c r="D72" s="25">
        <f>Q56/D56</f>
        <v>0.34597670533358149</v>
      </c>
    </row>
    <row r="73" spans="2:4" x14ac:dyDescent="0.3">
      <c r="B73" s="163" t="s">
        <v>83</v>
      </c>
      <c r="C73" s="27">
        <f>R56</f>
        <v>32513325</v>
      </c>
      <c r="D73" s="28">
        <f>R56/D56</f>
        <v>0.14614222695522988</v>
      </c>
    </row>
    <row r="74" spans="2:4" ht="15" thickBot="1" x14ac:dyDescent="0.35">
      <c r="B74" s="146" t="s">
        <v>117</v>
      </c>
      <c r="C74" s="52">
        <f>SUM(C71:C73)</f>
        <v>163348225</v>
      </c>
      <c r="D74" s="53">
        <f>SUM(D71:D73)</f>
        <v>0.73422430251855064</v>
      </c>
    </row>
    <row r="75" spans="2:4" ht="15" thickBot="1" x14ac:dyDescent="0.35">
      <c r="B75" s="157" t="s">
        <v>80</v>
      </c>
      <c r="C75" s="158">
        <f>C65+C69+C74</f>
        <v>222477279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44:M44 Q44:R55 A5:R43">
    <cfRule type="expression" dxfId="71" priority="7">
      <formula>ROW()=EVEN(ROW())</formula>
    </cfRule>
  </conditionalFormatting>
  <conditionalFormatting sqref="A55:B55">
    <cfRule type="expression" dxfId="70" priority="5">
      <formula>ROW()=EVEN(ROW())</formula>
    </cfRule>
  </conditionalFormatting>
  <conditionalFormatting sqref="A54:B54">
    <cfRule type="expression" dxfId="69" priority="4">
      <formula>ROW()=EVEN(ROW())</formula>
    </cfRule>
  </conditionalFormatting>
  <conditionalFormatting sqref="M45:M55">
    <cfRule type="expression" dxfId="68" priority="3">
      <formula>ROW()=EVEN(ROW())</formula>
    </cfRule>
  </conditionalFormatting>
  <conditionalFormatting sqref="D45:D55">
    <cfRule type="expression" dxfId="67" priority="2">
      <formula>ROW()=EVEN(ROW())</formula>
    </cfRule>
  </conditionalFormatting>
  <conditionalFormatting sqref="N44:P55">
    <cfRule type="expression" dxfId="66" priority="1">
      <formula>ROW()=EVEN(ROW())</formula>
    </cfRule>
  </conditionalFormatting>
  <printOptions horizontalCentered="1"/>
  <pageMargins left="0" right="0" top="1.1000000000000001" bottom="0.5" header="0.3" footer="0.3"/>
  <pageSetup scale="58" fitToHeight="0" orientation="landscape" r:id="rId1"/>
  <headerFooter>
    <oddHeader>&amp;C&amp;"-,Bold"&amp;20Funding by Expenditure Code and Revenue Source&amp;"-,Regular"&amp;11
&amp;"-,Bold"&amp;20 2014&amp;"-,Regular"&amp;11
&amp;"-,Bold"&amp;20SEATTLE-KING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88"/>
  <sheetViews>
    <sheetView showZeros="0" zoomScaleNormal="100" workbookViewId="0">
      <pane xSplit="1" topLeftCell="B1" activePane="topRight" state="frozen"/>
      <selection activeCell="J7" sqref="J7"/>
      <selection pane="topRight"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4" x14ac:dyDescent="0.3">
      <c r="A1" s="22" t="s">
        <v>150</v>
      </c>
      <c r="B1" s="6"/>
      <c r="C1" s="31">
        <v>119500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4" x14ac:dyDescent="0.3">
      <c r="A2" s="80" t="s">
        <v>44</v>
      </c>
      <c r="B2" s="5"/>
      <c r="C2" s="83">
        <v>33.14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4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4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</row>
    <row r="5" spans="1:24" ht="15" thickBot="1" x14ac:dyDescent="0.35">
      <c r="A5" s="36">
        <v>562.1</v>
      </c>
      <c r="B5" s="37" t="s">
        <v>47</v>
      </c>
      <c r="C5" s="16">
        <v>1322409.71</v>
      </c>
      <c r="D5" s="14">
        <f>E5+F5+G5+H5+I5+M5+Q5+R5</f>
        <v>1322409.71</v>
      </c>
      <c r="E5" s="236">
        <v>0</v>
      </c>
      <c r="F5" s="256">
        <v>224872.5</v>
      </c>
      <c r="G5" s="227">
        <v>0</v>
      </c>
      <c r="H5" s="236"/>
      <c r="I5" s="241">
        <f>6571.72+61838.2</f>
        <v>68409.919999999998</v>
      </c>
      <c r="J5" s="214"/>
      <c r="K5" s="214"/>
      <c r="L5" s="214">
        <v>1024307.07</v>
      </c>
      <c r="M5" s="9">
        <f>SUM(J5:L5)</f>
        <v>1024307.07</v>
      </c>
      <c r="N5" s="214"/>
      <c r="O5" s="214"/>
      <c r="P5" s="214">
        <v>6406</v>
      </c>
      <c r="Q5" s="214">
        <f>SUM(N5:P5)</f>
        <v>6406</v>
      </c>
      <c r="R5" s="236">
        <f>48.62-1634.4</f>
        <v>-1585.7800000000002</v>
      </c>
      <c r="S5" s="199">
        <v>361.11</v>
      </c>
      <c r="T5" s="199">
        <v>48.62</v>
      </c>
      <c r="U5" s="211">
        <v>369.9</v>
      </c>
      <c r="V5" s="211">
        <v>-1634.4</v>
      </c>
      <c r="W5" s="211"/>
      <c r="X5" s="211"/>
    </row>
    <row r="6" spans="1:24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  <c r="U6" s="211"/>
      <c r="V6" s="211"/>
      <c r="W6" s="211"/>
      <c r="X6" s="211"/>
    </row>
    <row r="7" spans="1:24" ht="15" thickBot="1" x14ac:dyDescent="0.35">
      <c r="A7" s="39">
        <v>562.22</v>
      </c>
      <c r="B7" s="82" t="s">
        <v>92</v>
      </c>
      <c r="C7" s="15">
        <v>484734.68</v>
      </c>
      <c r="D7" s="14">
        <f t="shared" ref="D7:D55" si="2">E7+F7+G7+H7+I7+M7+Q7+R7</f>
        <v>484735.61</v>
      </c>
      <c r="E7" s="231">
        <v>18018.599999999999</v>
      </c>
      <c r="F7" s="257">
        <v>12592</v>
      </c>
      <c r="G7" s="228"/>
      <c r="H7" s="231">
        <v>84376</v>
      </c>
      <c r="I7" s="219">
        <f>339534.92+21915.34</f>
        <v>361450.26</v>
      </c>
      <c r="J7" s="217"/>
      <c r="K7" s="217"/>
      <c r="L7" s="217"/>
      <c r="M7" s="9">
        <f t="shared" si="0"/>
        <v>0</v>
      </c>
      <c r="N7" s="217"/>
      <c r="O7" s="217">
        <f>975+770+5975+145</f>
        <v>7865</v>
      </c>
      <c r="P7" s="217"/>
      <c r="Q7" s="214">
        <f t="shared" si="1"/>
        <v>7865</v>
      </c>
      <c r="R7" s="231">
        <v>433.75</v>
      </c>
      <c r="S7" s="199">
        <v>369.9</v>
      </c>
      <c r="T7" s="199">
        <v>433.75</v>
      </c>
      <c r="U7" s="211"/>
      <c r="V7" s="211"/>
      <c r="W7" s="211"/>
      <c r="X7" s="211"/>
    </row>
    <row r="8" spans="1:24" ht="15" thickBot="1" x14ac:dyDescent="0.35">
      <c r="A8" s="39">
        <v>562.24</v>
      </c>
      <c r="B8" s="40" t="s">
        <v>49</v>
      </c>
      <c r="C8" s="15">
        <v>32811</v>
      </c>
      <c r="D8" s="14">
        <f t="shared" si="2"/>
        <v>32810.910000000003</v>
      </c>
      <c r="E8" s="231"/>
      <c r="F8" s="257"/>
      <c r="G8" s="228">
        <v>14623.5</v>
      </c>
      <c r="H8" s="231">
        <v>14623.5</v>
      </c>
      <c r="I8" s="219"/>
      <c r="J8" s="217"/>
      <c r="K8" s="217"/>
      <c r="L8" s="217">
        <v>3563.91</v>
      </c>
      <c r="M8" s="9">
        <f t="shared" si="0"/>
        <v>3563.91</v>
      </c>
      <c r="N8" s="217"/>
      <c r="O8" s="217"/>
      <c r="P8" s="217"/>
      <c r="Q8" s="214">
        <f t="shared" si="1"/>
        <v>0</v>
      </c>
      <c r="R8" s="231"/>
      <c r="T8" s="199"/>
      <c r="U8" s="211"/>
      <c r="V8" s="211"/>
      <c r="W8" s="211"/>
      <c r="X8" s="211"/>
    </row>
    <row r="9" spans="1:24" ht="15" thickBot="1" x14ac:dyDescent="0.35">
      <c r="A9" s="39">
        <v>562.25</v>
      </c>
      <c r="B9" s="82" t="s">
        <v>93</v>
      </c>
      <c r="C9" s="15">
        <v>28139.09</v>
      </c>
      <c r="D9" s="14">
        <f t="shared" si="2"/>
        <v>28139.09</v>
      </c>
      <c r="E9" s="231"/>
      <c r="F9" s="257"/>
      <c r="G9" s="228"/>
      <c r="H9" s="231">
        <v>28139.09</v>
      </c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  <c r="T9" s="199"/>
      <c r="U9" s="211"/>
      <c r="V9" s="211"/>
      <c r="W9" s="211"/>
      <c r="X9" s="211"/>
    </row>
    <row r="10" spans="1:24" ht="15" thickBot="1" x14ac:dyDescent="0.35">
      <c r="A10" s="39">
        <v>562.26</v>
      </c>
      <c r="B10" s="82" t="s">
        <v>84</v>
      </c>
      <c r="C10" s="15">
        <v>65606.240000000005</v>
      </c>
      <c r="D10" s="14">
        <f t="shared" si="2"/>
        <v>65606.66</v>
      </c>
      <c r="E10" s="231"/>
      <c r="F10" s="257"/>
      <c r="G10" s="228"/>
      <c r="H10" s="231"/>
      <c r="I10" s="219"/>
      <c r="J10" s="217"/>
      <c r="K10" s="217"/>
      <c r="L10" s="217">
        <v>38968.839999999997</v>
      </c>
      <c r="M10" s="9">
        <f t="shared" si="0"/>
        <v>38968.839999999997</v>
      </c>
      <c r="N10" s="217"/>
      <c r="O10" s="217">
        <f>22027+297+30</f>
        <v>22354</v>
      </c>
      <c r="P10" s="217"/>
      <c r="Q10" s="214">
        <f t="shared" si="1"/>
        <v>22354</v>
      </c>
      <c r="R10" s="231">
        <v>4283.82</v>
      </c>
      <c r="S10" s="199">
        <v>369.9</v>
      </c>
      <c r="T10" s="199">
        <v>4283.82</v>
      </c>
      <c r="U10" s="211"/>
      <c r="V10" s="211"/>
      <c r="W10" s="211"/>
      <c r="X10" s="211"/>
    </row>
    <row r="11" spans="1:24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T11" s="199"/>
      <c r="U11" s="211"/>
      <c r="V11" s="211"/>
      <c r="W11" s="211"/>
      <c r="X11" s="211"/>
    </row>
    <row r="12" spans="1:24" ht="15" thickBot="1" x14ac:dyDescent="0.35">
      <c r="A12" s="39">
        <v>562.28</v>
      </c>
      <c r="B12" s="82" t="s">
        <v>94</v>
      </c>
      <c r="C12" s="15">
        <v>103952.74</v>
      </c>
      <c r="D12" s="14">
        <f t="shared" si="2"/>
        <v>103952.74</v>
      </c>
      <c r="E12" s="231"/>
      <c r="F12" s="257"/>
      <c r="G12" s="228"/>
      <c r="H12" s="231">
        <f>100634+145</f>
        <v>100779</v>
      </c>
      <c r="I12" s="219"/>
      <c r="J12" s="217"/>
      <c r="K12" s="217"/>
      <c r="L12" s="217">
        <v>3173.74</v>
      </c>
      <c r="M12" s="9">
        <f t="shared" si="0"/>
        <v>3173.74</v>
      </c>
      <c r="N12" s="217"/>
      <c r="O12" s="217"/>
      <c r="P12" s="217"/>
      <c r="Q12" s="214">
        <f t="shared" si="1"/>
        <v>0</v>
      </c>
      <c r="R12" s="231"/>
      <c r="T12" s="199"/>
      <c r="U12" s="211"/>
      <c r="V12" s="211"/>
      <c r="W12" s="211"/>
      <c r="X12" s="211"/>
    </row>
    <row r="13" spans="1:24" ht="15" thickBot="1" x14ac:dyDescent="0.35">
      <c r="A13" s="39">
        <v>562.29</v>
      </c>
      <c r="B13" s="82" t="s">
        <v>86</v>
      </c>
      <c r="C13" s="15">
        <v>4398.6899999999996</v>
      </c>
      <c r="D13" s="14">
        <f t="shared" si="2"/>
        <v>4398.6900000000005</v>
      </c>
      <c r="E13" s="231"/>
      <c r="F13" s="257"/>
      <c r="G13" s="228"/>
      <c r="H13" s="231">
        <v>2689.17</v>
      </c>
      <c r="I13" s="219"/>
      <c r="J13" s="217"/>
      <c r="K13" s="217"/>
      <c r="L13" s="217">
        <v>1709.52</v>
      </c>
      <c r="M13" s="9">
        <f t="shared" si="0"/>
        <v>1709.52</v>
      </c>
      <c r="N13" s="217"/>
      <c r="O13" s="217"/>
      <c r="P13" s="217"/>
      <c r="Q13" s="214">
        <f t="shared" si="1"/>
        <v>0</v>
      </c>
      <c r="R13" s="231"/>
      <c r="T13" s="199"/>
      <c r="U13" s="211"/>
      <c r="V13" s="211"/>
      <c r="W13" s="211"/>
      <c r="X13" s="211"/>
    </row>
    <row r="14" spans="1:24" ht="15" thickBot="1" x14ac:dyDescent="0.35">
      <c r="A14" s="39">
        <v>562.32000000000005</v>
      </c>
      <c r="B14" s="40" t="s">
        <v>50</v>
      </c>
      <c r="C14" s="15">
        <v>351242.89</v>
      </c>
      <c r="D14" s="14">
        <f t="shared" si="2"/>
        <v>351242.4</v>
      </c>
      <c r="E14" s="231"/>
      <c r="F14" s="257"/>
      <c r="G14" s="228"/>
      <c r="H14" s="231">
        <v>70284.399999999994</v>
      </c>
      <c r="I14" s="219"/>
      <c r="J14" s="217"/>
      <c r="K14" s="217"/>
      <c r="L14" s="217">
        <v>62881</v>
      </c>
      <c r="M14" s="9">
        <f t="shared" si="0"/>
        <v>62881</v>
      </c>
      <c r="N14" s="217"/>
      <c r="O14" s="217">
        <f>52625+15554+52896+88429+26+8547</f>
        <v>218077</v>
      </c>
      <c r="P14" s="217"/>
      <c r="Q14" s="214">
        <f t="shared" si="1"/>
        <v>218077</v>
      </c>
      <c r="R14" s="231"/>
      <c r="T14" s="199"/>
      <c r="U14" s="211"/>
      <c r="V14" s="211"/>
      <c r="W14" s="211"/>
      <c r="X14" s="211"/>
    </row>
    <row r="15" spans="1:24" ht="15" thickBot="1" x14ac:dyDescent="0.35">
      <c r="A15" s="39">
        <v>562.33000000000004</v>
      </c>
      <c r="B15" s="82" t="s">
        <v>95</v>
      </c>
      <c r="C15" s="15">
        <v>67038.740000000005</v>
      </c>
      <c r="D15" s="14">
        <f t="shared" si="2"/>
        <v>67039</v>
      </c>
      <c r="E15" s="231"/>
      <c r="F15" s="257"/>
      <c r="G15" s="228"/>
      <c r="H15" s="231"/>
      <c r="I15" s="219"/>
      <c r="J15" s="217"/>
      <c r="K15" s="217"/>
      <c r="L15" s="217">
        <v>60902</v>
      </c>
      <c r="M15" s="9">
        <f t="shared" si="0"/>
        <v>60902</v>
      </c>
      <c r="N15" s="217"/>
      <c r="O15" s="217">
        <f>2411+3564+162</f>
        <v>6137</v>
      </c>
      <c r="P15" s="217"/>
      <c r="Q15" s="214">
        <f t="shared" si="1"/>
        <v>6137</v>
      </c>
      <c r="R15" s="231"/>
      <c r="T15" s="199"/>
      <c r="U15" s="211"/>
      <c r="V15" s="211"/>
      <c r="W15" s="211"/>
      <c r="X15" s="211"/>
    </row>
    <row r="16" spans="1:24" ht="15" thickBot="1" x14ac:dyDescent="0.35">
      <c r="A16" s="39">
        <v>562.34</v>
      </c>
      <c r="B16" s="40" t="s">
        <v>51</v>
      </c>
      <c r="C16" s="15">
        <v>177488.33</v>
      </c>
      <c r="D16" s="14">
        <f t="shared" si="2"/>
        <v>177487.5</v>
      </c>
      <c r="E16" s="231"/>
      <c r="F16" s="257">
        <v>116404.5</v>
      </c>
      <c r="G16" s="228"/>
      <c r="H16" s="231"/>
      <c r="I16" s="219"/>
      <c r="J16" s="217"/>
      <c r="K16" s="217"/>
      <c r="L16" s="217">
        <v>29686</v>
      </c>
      <c r="M16" s="9">
        <f t="shared" si="0"/>
        <v>29686</v>
      </c>
      <c r="N16" s="217"/>
      <c r="O16" s="217">
        <f>9686+50+21621+40</f>
        <v>31397</v>
      </c>
      <c r="P16" s="217"/>
      <c r="Q16" s="214">
        <f t="shared" si="1"/>
        <v>31397</v>
      </c>
      <c r="R16" s="231"/>
      <c r="T16" s="213"/>
      <c r="U16" s="211"/>
      <c r="V16" s="211"/>
      <c r="W16" s="211"/>
      <c r="X16" s="211"/>
    </row>
    <row r="17" spans="1:24" ht="15" thickBot="1" x14ac:dyDescent="0.35">
      <c r="A17" s="39">
        <v>562.35</v>
      </c>
      <c r="B17" s="40" t="s">
        <v>52</v>
      </c>
      <c r="C17" s="15">
        <v>4891.84</v>
      </c>
      <c r="D17" s="14">
        <f t="shared" si="2"/>
        <v>4892</v>
      </c>
      <c r="E17" s="231"/>
      <c r="F17" s="257"/>
      <c r="G17" s="228"/>
      <c r="H17" s="231"/>
      <c r="I17" s="219"/>
      <c r="J17" s="217"/>
      <c r="K17" s="217"/>
      <c r="L17" s="217">
        <v>3782</v>
      </c>
      <c r="M17" s="9">
        <f t="shared" si="0"/>
        <v>3782</v>
      </c>
      <c r="N17" s="217"/>
      <c r="O17" s="217">
        <f>207+870+33</f>
        <v>1110</v>
      </c>
      <c r="P17" s="217"/>
      <c r="Q17" s="214">
        <f t="shared" si="1"/>
        <v>1110</v>
      </c>
      <c r="R17" s="231"/>
      <c r="T17" s="199"/>
      <c r="U17" s="211"/>
      <c r="V17" s="211"/>
      <c r="W17" s="211"/>
      <c r="X17" s="211"/>
    </row>
    <row r="18" spans="1:24" ht="15" thickBot="1" x14ac:dyDescent="0.35">
      <c r="A18" s="39">
        <v>562.39</v>
      </c>
      <c r="B18" s="40" t="s">
        <v>53</v>
      </c>
      <c r="C18" s="15">
        <v>95876</v>
      </c>
      <c r="D18" s="14">
        <f t="shared" si="2"/>
        <v>95876</v>
      </c>
      <c r="E18" s="231"/>
      <c r="F18" s="257">
        <v>95876</v>
      </c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/>
      <c r="P18" s="217"/>
      <c r="Q18" s="214">
        <f t="shared" si="1"/>
        <v>0</v>
      </c>
      <c r="R18" s="231"/>
      <c r="T18" s="199"/>
      <c r="U18" s="211"/>
      <c r="V18" s="211"/>
      <c r="W18" s="211"/>
      <c r="X18" s="211"/>
    </row>
    <row r="19" spans="1:24" ht="15" thickBot="1" x14ac:dyDescent="0.35">
      <c r="A19" s="39">
        <v>562.41</v>
      </c>
      <c r="B19" s="40" t="s">
        <v>54</v>
      </c>
      <c r="C19" s="15">
        <v>1</v>
      </c>
      <c r="D19" s="14">
        <f t="shared" si="2"/>
        <v>1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>
        <v>1</v>
      </c>
      <c r="S19" s="199">
        <v>367</v>
      </c>
      <c r="T19" s="199">
        <v>1</v>
      </c>
      <c r="U19" s="211"/>
      <c r="V19" s="211"/>
      <c r="W19" s="211"/>
      <c r="X19" s="211"/>
    </row>
    <row r="20" spans="1:24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  <c r="W20" s="211"/>
      <c r="X20" s="211"/>
    </row>
    <row r="21" spans="1:24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  <c r="T21" s="199"/>
      <c r="U21" s="211"/>
      <c r="V21" s="211"/>
      <c r="W21" s="211"/>
      <c r="X21" s="211"/>
    </row>
    <row r="22" spans="1:24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  <c r="T22" s="199"/>
      <c r="U22" s="211"/>
      <c r="V22" s="211"/>
      <c r="W22" s="211"/>
      <c r="X22" s="211"/>
    </row>
    <row r="23" spans="1:24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  <c r="W23" s="211"/>
      <c r="X23" s="211"/>
    </row>
    <row r="24" spans="1:24" ht="15" thickBot="1" x14ac:dyDescent="0.35">
      <c r="A24" s="39">
        <v>562.49</v>
      </c>
      <c r="B24" s="82" t="s">
        <v>87</v>
      </c>
      <c r="C24" s="15"/>
      <c r="D24" s="14">
        <f t="shared" si="2"/>
        <v>0</v>
      </c>
      <c r="E24" s="231"/>
      <c r="F24" s="257"/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  <c r="T24" s="199"/>
      <c r="U24" s="211"/>
      <c r="V24" s="211"/>
      <c r="W24" s="211"/>
      <c r="X24" s="211"/>
    </row>
    <row r="25" spans="1:24" ht="15" thickBot="1" x14ac:dyDescent="0.35">
      <c r="A25" s="39">
        <v>562.52</v>
      </c>
      <c r="B25" s="40" t="s">
        <v>56</v>
      </c>
      <c r="C25" s="15">
        <v>106249.54</v>
      </c>
      <c r="D25" s="14">
        <f t="shared" si="2"/>
        <v>106249</v>
      </c>
      <c r="E25" s="231"/>
      <c r="F25" s="257"/>
      <c r="G25" s="228"/>
      <c r="H25" s="231"/>
      <c r="I25" s="219"/>
      <c r="J25" s="217"/>
      <c r="K25" s="217"/>
      <c r="L25" s="217">
        <v>43872</v>
      </c>
      <c r="M25" s="9">
        <f t="shared" si="0"/>
        <v>43872</v>
      </c>
      <c r="N25" s="217"/>
      <c r="O25" s="217">
        <f>3080+20425+11450+27422</f>
        <v>62377</v>
      </c>
      <c r="P25" s="217"/>
      <c r="Q25" s="214">
        <f t="shared" si="1"/>
        <v>62377</v>
      </c>
      <c r="R25" s="231"/>
      <c r="T25" s="199"/>
      <c r="U25" s="211"/>
      <c r="V25" s="211"/>
      <c r="W25" s="211"/>
      <c r="X25" s="211"/>
    </row>
    <row r="26" spans="1:24" ht="15" thickBot="1" x14ac:dyDescent="0.35">
      <c r="A26" s="39">
        <v>562.53</v>
      </c>
      <c r="B26" s="82" t="s">
        <v>99</v>
      </c>
      <c r="C26" s="15">
        <v>337806.8</v>
      </c>
      <c r="D26" s="14">
        <f t="shared" si="2"/>
        <v>337807</v>
      </c>
      <c r="E26" s="231"/>
      <c r="F26" s="257"/>
      <c r="G26" s="228">
        <f>76002+39592+96459</f>
        <v>212053</v>
      </c>
      <c r="H26" s="231"/>
      <c r="I26" s="219"/>
      <c r="J26" s="217"/>
      <c r="K26" s="217"/>
      <c r="L26" s="217"/>
      <c r="M26" s="9">
        <f t="shared" si="0"/>
        <v>0</v>
      </c>
      <c r="N26" s="217"/>
      <c r="O26" s="217">
        <f>8570+1473+8650+107061</f>
        <v>125754</v>
      </c>
      <c r="P26" s="217"/>
      <c r="Q26" s="214">
        <f t="shared" si="1"/>
        <v>125754</v>
      </c>
      <c r="R26" s="231"/>
      <c r="T26" s="199"/>
      <c r="U26" s="211"/>
      <c r="V26" s="211"/>
      <c r="W26" s="211"/>
      <c r="X26" s="211"/>
    </row>
    <row r="27" spans="1:24" ht="15" thickBot="1" x14ac:dyDescent="0.35">
      <c r="A27" s="39">
        <v>562.54</v>
      </c>
      <c r="B27" s="82" t="s">
        <v>100</v>
      </c>
      <c r="C27" s="15">
        <v>734726.08</v>
      </c>
      <c r="D27" s="14">
        <f t="shared" si="2"/>
        <v>734725.73</v>
      </c>
      <c r="E27" s="231">
        <v>31393</v>
      </c>
      <c r="F27" s="257"/>
      <c r="G27" s="228"/>
      <c r="H27" s="231">
        <v>390685.73</v>
      </c>
      <c r="I27" s="219"/>
      <c r="J27" s="217"/>
      <c r="K27" s="217"/>
      <c r="L27" s="217"/>
      <c r="M27" s="9">
        <f t="shared" si="0"/>
        <v>0</v>
      </c>
      <c r="N27" s="217">
        <f>25985+109338</f>
        <v>135323</v>
      </c>
      <c r="O27" s="217">
        <f>177024+300</f>
        <v>177324</v>
      </c>
      <c r="P27" s="217"/>
      <c r="Q27" s="214">
        <f t="shared" si="1"/>
        <v>312647</v>
      </c>
      <c r="R27" s="231"/>
      <c r="T27" s="199"/>
      <c r="U27" s="211"/>
      <c r="V27" s="211"/>
      <c r="W27" s="211"/>
      <c r="X27" s="211"/>
    </row>
    <row r="28" spans="1:24" ht="15" thickBot="1" x14ac:dyDescent="0.35">
      <c r="A28" s="39">
        <v>562.54999999999995</v>
      </c>
      <c r="B28" s="40" t="s">
        <v>57</v>
      </c>
      <c r="C28" s="15"/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  <c r="T28" s="199"/>
      <c r="U28" s="211"/>
      <c r="V28" s="211"/>
      <c r="W28" s="211"/>
      <c r="X28" s="211"/>
    </row>
    <row r="29" spans="1:24" ht="15" thickBot="1" x14ac:dyDescent="0.35">
      <c r="A29" s="39">
        <v>562.55999999999995</v>
      </c>
      <c r="B29" s="40" t="s">
        <v>58</v>
      </c>
      <c r="C29" s="15">
        <v>322553.67</v>
      </c>
      <c r="D29" s="14">
        <f t="shared" si="2"/>
        <v>322553</v>
      </c>
      <c r="E29" s="231">
        <v>2776</v>
      </c>
      <c r="F29" s="257"/>
      <c r="G29" s="228"/>
      <c r="H29" s="231"/>
      <c r="I29" s="219"/>
      <c r="J29" s="217"/>
      <c r="K29" s="217"/>
      <c r="L29" s="217"/>
      <c r="M29" s="9">
        <f t="shared" si="0"/>
        <v>0</v>
      </c>
      <c r="N29" s="217">
        <f>228927+52015</f>
        <v>280942</v>
      </c>
      <c r="O29" s="217">
        <f>37715+1120</f>
        <v>38835</v>
      </c>
      <c r="P29" s="217"/>
      <c r="Q29" s="214">
        <f t="shared" si="1"/>
        <v>319777</v>
      </c>
      <c r="R29" s="231"/>
      <c r="T29" s="199"/>
      <c r="U29" s="211"/>
      <c r="V29" s="211"/>
      <c r="W29" s="211"/>
      <c r="X29" s="211"/>
    </row>
    <row r="30" spans="1:24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  <c r="T30" s="199"/>
      <c r="U30" s="211"/>
      <c r="V30" s="211"/>
      <c r="W30" s="211"/>
      <c r="X30" s="211"/>
    </row>
    <row r="31" spans="1:24" ht="15" thickBot="1" x14ac:dyDescent="0.35">
      <c r="A31" s="39">
        <v>562.58000000000004</v>
      </c>
      <c r="B31" s="82" t="s">
        <v>88</v>
      </c>
      <c r="C31" s="15">
        <v>17000</v>
      </c>
      <c r="D31" s="14">
        <f t="shared" si="2"/>
        <v>17000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v>14780</v>
      </c>
      <c r="O31" s="217">
        <v>2220</v>
      </c>
      <c r="P31" s="217"/>
      <c r="Q31" s="214">
        <f t="shared" si="1"/>
        <v>17000</v>
      </c>
      <c r="R31" s="231"/>
      <c r="T31" s="199"/>
      <c r="U31" s="211"/>
      <c r="V31" s="211"/>
      <c r="W31" s="211"/>
      <c r="X31" s="211"/>
    </row>
    <row r="32" spans="1:24" ht="15" thickBot="1" x14ac:dyDescent="0.35">
      <c r="A32" s="39">
        <v>562.59</v>
      </c>
      <c r="B32" s="82" t="s">
        <v>89</v>
      </c>
      <c r="C32" s="15">
        <v>18721</v>
      </c>
      <c r="D32" s="14">
        <f t="shared" si="2"/>
        <v>18721</v>
      </c>
      <c r="E32" s="231"/>
      <c r="F32" s="257"/>
      <c r="G32" s="228"/>
      <c r="H32" s="231"/>
      <c r="I32" s="219"/>
      <c r="J32" s="247"/>
      <c r="K32" s="247"/>
      <c r="L32" s="247">
        <v>18537</v>
      </c>
      <c r="M32" s="9">
        <f t="shared" si="0"/>
        <v>18537</v>
      </c>
      <c r="N32" s="247"/>
      <c r="O32" s="247"/>
      <c r="P32" s="247"/>
      <c r="Q32" s="214">
        <f t="shared" si="1"/>
        <v>0</v>
      </c>
      <c r="R32" s="231">
        <v>184</v>
      </c>
      <c r="S32" s="199">
        <v>369.9</v>
      </c>
      <c r="T32" s="199">
        <v>183.6</v>
      </c>
      <c r="U32" s="211"/>
      <c r="V32" s="211"/>
      <c r="W32" s="211"/>
      <c r="X32" s="211"/>
    </row>
    <row r="33" spans="1:24" ht="15" thickBot="1" x14ac:dyDescent="0.35">
      <c r="A33" s="39">
        <v>562.6</v>
      </c>
      <c r="B33" s="40" t="s">
        <v>59</v>
      </c>
      <c r="C33" s="15">
        <v>9215.5300000000007</v>
      </c>
      <c r="D33" s="14">
        <f t="shared" si="2"/>
        <v>9215.5300000000007</v>
      </c>
      <c r="E33" s="231"/>
      <c r="F33" s="257"/>
      <c r="G33" s="228"/>
      <c r="H33" s="231"/>
      <c r="I33" s="219"/>
      <c r="J33" s="217"/>
      <c r="K33" s="217"/>
      <c r="L33" s="217">
        <v>9215.5300000000007</v>
      </c>
      <c r="M33" s="9">
        <f t="shared" si="0"/>
        <v>9215.5300000000007</v>
      </c>
      <c r="N33" s="217"/>
      <c r="O33" s="217"/>
      <c r="P33" s="217"/>
      <c r="Q33" s="214">
        <f t="shared" si="1"/>
        <v>0</v>
      </c>
      <c r="R33" s="231"/>
      <c r="T33" s="199"/>
      <c r="U33" s="211"/>
      <c r="V33" s="211"/>
      <c r="W33" s="211"/>
      <c r="X33" s="211"/>
    </row>
    <row r="34" spans="1:24" ht="15" thickBot="1" x14ac:dyDescent="0.35">
      <c r="A34" s="39">
        <v>562.71</v>
      </c>
      <c r="B34" s="40" t="s">
        <v>60</v>
      </c>
      <c r="C34" s="15">
        <v>72398</v>
      </c>
      <c r="D34" s="14">
        <f t="shared" si="2"/>
        <v>72398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72398</v>
      </c>
      <c r="P34" s="217"/>
      <c r="Q34" s="214">
        <f t="shared" si="1"/>
        <v>72398</v>
      </c>
      <c r="R34" s="231"/>
      <c r="T34" s="199"/>
      <c r="U34" s="211"/>
      <c r="V34" s="211"/>
      <c r="W34" s="211"/>
      <c r="X34" s="211"/>
    </row>
    <row r="35" spans="1:24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T35" s="199"/>
      <c r="U35" s="211"/>
      <c r="V35" s="211"/>
      <c r="W35" s="211"/>
      <c r="X35" s="211"/>
    </row>
    <row r="36" spans="1:24" ht="15" thickBot="1" x14ac:dyDescent="0.35">
      <c r="A36" s="39">
        <v>562.73</v>
      </c>
      <c r="B36" s="40" t="s">
        <v>62</v>
      </c>
      <c r="C36" s="15">
        <v>5098</v>
      </c>
      <c r="D36" s="14">
        <f t="shared" si="2"/>
        <v>23500</v>
      </c>
      <c r="E36" s="231"/>
      <c r="F36" s="257"/>
      <c r="G36" s="228"/>
      <c r="H36" s="231"/>
      <c r="I36" s="219">
        <v>23500</v>
      </c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  <c r="T36" s="199"/>
      <c r="U36" s="211"/>
      <c r="V36" s="211"/>
      <c r="W36" s="211"/>
      <c r="X36" s="211"/>
    </row>
    <row r="37" spans="1:24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  <c r="U37" s="211"/>
      <c r="V37" s="211"/>
      <c r="W37" s="211"/>
      <c r="X37" s="211"/>
    </row>
    <row r="38" spans="1:24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  <c r="W38" s="211"/>
      <c r="X38" s="211"/>
    </row>
    <row r="39" spans="1:24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  <c r="W39" s="211"/>
      <c r="X39" s="211"/>
    </row>
    <row r="40" spans="1:24" ht="15" thickBot="1" x14ac:dyDescent="0.35">
      <c r="A40" s="39">
        <v>562.79999999999995</v>
      </c>
      <c r="B40" s="40" t="s">
        <v>65</v>
      </c>
      <c r="C40" s="15">
        <v>46390</v>
      </c>
      <c r="D40" s="14">
        <f t="shared" si="2"/>
        <v>46390</v>
      </c>
      <c r="E40" s="231"/>
      <c r="F40" s="257"/>
      <c r="G40" s="228"/>
      <c r="H40" s="231"/>
      <c r="I40" s="219"/>
      <c r="J40" s="217"/>
      <c r="K40" s="217"/>
      <c r="L40" s="217">
        <v>46390</v>
      </c>
      <c r="M40" s="9">
        <f t="shared" si="0"/>
        <v>46390</v>
      </c>
      <c r="N40" s="217"/>
      <c r="O40" s="217"/>
      <c r="P40" s="217"/>
      <c r="Q40" s="214">
        <f t="shared" si="1"/>
        <v>0</v>
      </c>
      <c r="R40" s="231"/>
      <c r="T40" s="199"/>
      <c r="U40" s="211"/>
      <c r="V40" s="211"/>
      <c r="W40" s="211"/>
      <c r="X40" s="211"/>
    </row>
    <row r="41" spans="1:24" ht="15" thickBot="1" x14ac:dyDescent="0.35">
      <c r="A41" s="39">
        <v>562.88</v>
      </c>
      <c r="B41" s="82" t="s">
        <v>91</v>
      </c>
      <c r="C41" s="15">
        <v>40409.730000000003</v>
      </c>
      <c r="D41" s="14">
        <f t="shared" si="2"/>
        <v>40409.730000000003</v>
      </c>
      <c r="E41" s="231"/>
      <c r="F41" s="257"/>
      <c r="G41" s="228"/>
      <c r="H41" s="231">
        <v>33571.760000000002</v>
      </c>
      <c r="I41" s="219"/>
      <c r="J41" s="217"/>
      <c r="K41" s="217"/>
      <c r="L41" s="217">
        <v>6837.97</v>
      </c>
      <c r="M41" s="9">
        <f t="shared" si="0"/>
        <v>6837.97</v>
      </c>
      <c r="N41" s="217"/>
      <c r="O41" s="217"/>
      <c r="P41" s="217"/>
      <c r="Q41" s="214">
        <f t="shared" si="1"/>
        <v>0</v>
      </c>
      <c r="R41" s="231"/>
      <c r="T41" s="199"/>
      <c r="U41" s="211"/>
      <c r="V41" s="211"/>
      <c r="W41" s="211"/>
      <c r="X41" s="211"/>
    </row>
    <row r="42" spans="1:24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T42" s="199"/>
      <c r="U42" s="211"/>
      <c r="V42" s="211"/>
      <c r="W42" s="211"/>
      <c r="X42" s="211"/>
    </row>
    <row r="43" spans="1:24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  <c r="U43" s="211"/>
      <c r="V43" s="211"/>
      <c r="W43" s="211"/>
      <c r="X43" s="211"/>
    </row>
    <row r="44" spans="1:24" x14ac:dyDescent="0.3">
      <c r="A44" s="206" t="s">
        <v>110</v>
      </c>
      <c r="B44" s="207" t="s">
        <v>68</v>
      </c>
      <c r="C44" s="208">
        <f>SUM(C5:C43)</f>
        <v>4449159.3000000007</v>
      </c>
      <c r="D44" s="205">
        <f>E44+F44+G44+H44+I44+M44+Q44+R44</f>
        <v>4467560.3</v>
      </c>
      <c r="E44" s="233">
        <f t="shared" ref="E44:R44" si="3">SUM(E5:E43)</f>
        <v>52187.6</v>
      </c>
      <c r="F44" s="259">
        <f t="shared" si="3"/>
        <v>449745</v>
      </c>
      <c r="G44" s="223">
        <f t="shared" si="3"/>
        <v>226676.5</v>
      </c>
      <c r="H44" s="233">
        <f t="shared" si="3"/>
        <v>725148.65</v>
      </c>
      <c r="I44" s="239">
        <f t="shared" si="3"/>
        <v>453360.18</v>
      </c>
      <c r="J44" s="245">
        <f>SUM(J5:J43)</f>
        <v>0</v>
      </c>
      <c r="K44" s="245">
        <f>SUM(K5:K43)</f>
        <v>0</v>
      </c>
      <c r="L44" s="245">
        <f>SUM(L5:L43)</f>
        <v>1353826.58</v>
      </c>
      <c r="M44" s="208">
        <f t="shared" si="3"/>
        <v>1353826.58</v>
      </c>
      <c r="N44" s="245">
        <f>SUM(N5:N43)</f>
        <v>431045</v>
      </c>
      <c r="O44" s="245">
        <f>SUM(O5:O43)</f>
        <v>765848</v>
      </c>
      <c r="P44" s="245">
        <f>SUM(P5:P43)</f>
        <v>6406</v>
      </c>
      <c r="Q44" s="216">
        <f t="shared" si="3"/>
        <v>1203299</v>
      </c>
      <c r="R44" s="233">
        <f t="shared" si="3"/>
        <v>3316.7899999999995</v>
      </c>
      <c r="T44" s="199"/>
      <c r="U44" s="211"/>
      <c r="V44" s="211"/>
      <c r="W44" s="211"/>
      <c r="X44" s="211"/>
    </row>
    <row r="45" spans="1:24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  <c r="W45" s="211"/>
      <c r="X45" s="211"/>
    </row>
    <row r="46" spans="1:24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  <c r="W46" s="211"/>
      <c r="X46" s="211"/>
    </row>
    <row r="47" spans="1:24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T47" s="199"/>
      <c r="U47" s="211"/>
      <c r="V47" s="211"/>
      <c r="W47" s="211"/>
      <c r="X47" s="211"/>
    </row>
    <row r="48" spans="1:24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  <c r="W48" s="211"/>
      <c r="X48" s="211"/>
    </row>
    <row r="49" spans="1:24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T49" s="199"/>
      <c r="U49" s="211"/>
      <c r="V49" s="211"/>
      <c r="W49" s="211"/>
      <c r="X49" s="211"/>
    </row>
    <row r="50" spans="1:24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  <c r="W50" s="211"/>
      <c r="X50" s="211"/>
    </row>
    <row r="51" spans="1:24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  <c r="W51" s="211"/>
      <c r="X51" s="211"/>
    </row>
    <row r="52" spans="1:24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  <c r="W52" s="211"/>
      <c r="X52" s="211"/>
    </row>
    <row r="53" spans="1:24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  <c r="T53" s="199"/>
      <c r="U53" s="211"/>
      <c r="V53" s="211"/>
      <c r="W53" s="211"/>
      <c r="X53" s="211"/>
    </row>
    <row r="54" spans="1:24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  <c r="U54" s="211"/>
      <c r="V54" s="211"/>
      <c r="W54" s="211"/>
      <c r="X54" s="211"/>
    </row>
    <row r="55" spans="1:24" x14ac:dyDescent="0.3">
      <c r="A55" s="41">
        <v>500</v>
      </c>
      <c r="B55" s="32" t="s">
        <v>118</v>
      </c>
      <c r="C55" s="18">
        <v>213060.83</v>
      </c>
      <c r="D55" s="20">
        <f t="shared" si="2"/>
        <v>213061.01</v>
      </c>
      <c r="E55" s="232"/>
      <c r="F55" s="258"/>
      <c r="G55" s="229">
        <v>65539.009999999995</v>
      </c>
      <c r="H55" s="232">
        <v>147522</v>
      </c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T55" s="199"/>
      <c r="U55" s="211"/>
      <c r="V55" s="211"/>
      <c r="W55" s="211"/>
      <c r="X55" s="211"/>
    </row>
    <row r="56" spans="1:24" ht="15" thickBot="1" x14ac:dyDescent="0.35">
      <c r="A56" s="107"/>
      <c r="B56" s="108" t="s">
        <v>80</v>
      </c>
      <c r="C56" s="111">
        <f>SUM(C44:C55)</f>
        <v>4662220.1300000008</v>
      </c>
      <c r="D56" s="110">
        <f>E56+F56+G56+H56+I56+M56+Q56+R56</f>
        <v>4680621.3099999996</v>
      </c>
      <c r="E56" s="235">
        <f t="shared" ref="E56:R56" si="4">SUM(E44:E55)</f>
        <v>52187.6</v>
      </c>
      <c r="F56" s="260">
        <f t="shared" si="4"/>
        <v>449745</v>
      </c>
      <c r="G56" s="225">
        <f t="shared" si="4"/>
        <v>292215.51</v>
      </c>
      <c r="H56" s="235">
        <f t="shared" si="4"/>
        <v>872670.65</v>
      </c>
      <c r="I56" s="240">
        <f t="shared" si="4"/>
        <v>453360.18</v>
      </c>
      <c r="J56" s="218">
        <f>SUM(J44:J55)</f>
        <v>0</v>
      </c>
      <c r="K56" s="218">
        <f>SUM(K44:K55)</f>
        <v>0</v>
      </c>
      <c r="L56" s="218">
        <f>SUM(L44:L55)</f>
        <v>1353826.58</v>
      </c>
      <c r="M56" s="209">
        <f t="shared" si="4"/>
        <v>1353826.58</v>
      </c>
      <c r="N56" s="218">
        <f>SUM(N44:N55)</f>
        <v>431045</v>
      </c>
      <c r="O56" s="218">
        <f>SUM(O44:O55)</f>
        <v>765848</v>
      </c>
      <c r="P56" s="218">
        <f>SUM(P44:P55)</f>
        <v>6406</v>
      </c>
      <c r="Q56" s="218">
        <f t="shared" si="4"/>
        <v>1203299</v>
      </c>
      <c r="R56" s="235">
        <f t="shared" si="4"/>
        <v>3316.7899999999995</v>
      </c>
    </row>
    <row r="57" spans="1:24" ht="15" thickTop="1" x14ac:dyDescent="0.3"/>
    <row r="58" spans="1:24" ht="15" thickBot="1" x14ac:dyDescent="0.35"/>
    <row r="59" spans="1:24" ht="15" thickBot="1" x14ac:dyDescent="0.35">
      <c r="B59" s="42" t="s">
        <v>109</v>
      </c>
      <c r="C59" s="43"/>
      <c r="D59" s="44"/>
    </row>
    <row r="60" spans="1:24" ht="15" thickTop="1" x14ac:dyDescent="0.3">
      <c r="B60" s="115"/>
      <c r="C60" s="116" t="s">
        <v>82</v>
      </c>
      <c r="D60" s="117" t="s">
        <v>78</v>
      </c>
    </row>
    <row r="61" spans="1:24" x14ac:dyDescent="0.3">
      <c r="B61" s="153" t="s">
        <v>108</v>
      </c>
      <c r="C61" s="45"/>
      <c r="D61" s="46"/>
    </row>
    <row r="62" spans="1:24" x14ac:dyDescent="0.3">
      <c r="B62" s="26" t="s">
        <v>3</v>
      </c>
      <c r="C62" s="47">
        <f>E56</f>
        <v>52187.6</v>
      </c>
      <c r="D62" s="48">
        <f>E56/D56</f>
        <v>1.1149716361052931E-2</v>
      </c>
    </row>
    <row r="63" spans="1:24" x14ac:dyDescent="0.3">
      <c r="B63" s="26" t="s">
        <v>4</v>
      </c>
      <c r="C63" s="49">
        <f>F56</f>
        <v>449745</v>
      </c>
      <c r="D63" s="48">
        <f>F56/D56</f>
        <v>9.6086602656603307E-2</v>
      </c>
    </row>
    <row r="64" spans="1:24" x14ac:dyDescent="0.3">
      <c r="B64" s="56" t="s">
        <v>79</v>
      </c>
      <c r="C64" s="50">
        <f>G56</f>
        <v>292215.51</v>
      </c>
      <c r="D64" s="51">
        <f>G56/D56</f>
        <v>6.2430923299795861E-2</v>
      </c>
    </row>
    <row r="65" spans="2:4" ht="15" thickBot="1" x14ac:dyDescent="0.35">
      <c r="B65" s="146" t="s">
        <v>115</v>
      </c>
      <c r="C65" s="52">
        <f>SUM(C62:C64)</f>
        <v>794148.11</v>
      </c>
      <c r="D65" s="53">
        <f>SUM(D62:D64)</f>
        <v>0.16966724231745209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872670.65</v>
      </c>
      <c r="D67" s="25">
        <f>H56/D56</f>
        <v>0.18644333566049592</v>
      </c>
    </row>
    <row r="68" spans="2:4" x14ac:dyDescent="0.3">
      <c r="B68" s="57" t="s">
        <v>7</v>
      </c>
      <c r="C68" s="27">
        <f>I56</f>
        <v>453360.18</v>
      </c>
      <c r="D68" s="28">
        <f>I56/D56</f>
        <v>9.6858974476617093E-2</v>
      </c>
    </row>
    <row r="69" spans="2:4" ht="15" thickBot="1" x14ac:dyDescent="0.35">
      <c r="B69" s="146" t="s">
        <v>116</v>
      </c>
      <c r="C69" s="52">
        <f>SUM(C67:C68)</f>
        <v>1326030.83</v>
      </c>
      <c r="D69" s="53">
        <f>SUM(D67:D68)</f>
        <v>0.28330231013711304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1353826.58</v>
      </c>
      <c r="D71" s="25">
        <f>M56/D56</f>
        <v>0.28924078457438812</v>
      </c>
    </row>
    <row r="72" spans="2:4" x14ac:dyDescent="0.3">
      <c r="B72" s="24" t="s">
        <v>8</v>
      </c>
      <c r="C72" s="23">
        <f>Q56</f>
        <v>1203299</v>
      </c>
      <c r="D72" s="25">
        <f>Q56/D56</f>
        <v>0.25708104123467318</v>
      </c>
    </row>
    <row r="73" spans="2:4" x14ac:dyDescent="0.3">
      <c r="B73" s="163" t="s">
        <v>83</v>
      </c>
      <c r="C73" s="27">
        <f>R56</f>
        <v>3316.7899999999995</v>
      </c>
      <c r="D73" s="28">
        <f>R56/D56</f>
        <v>7.0862173637371232E-4</v>
      </c>
    </row>
    <row r="74" spans="2:4" ht="15" thickBot="1" x14ac:dyDescent="0.35">
      <c r="B74" s="146" t="s">
        <v>117</v>
      </c>
      <c r="C74" s="52">
        <f>SUM(C71:C73)</f>
        <v>2560442.37</v>
      </c>
      <c r="D74" s="53">
        <f>SUM(D71:D73)</f>
        <v>0.54703044754543506</v>
      </c>
    </row>
    <row r="75" spans="2:4" ht="15" thickBot="1" x14ac:dyDescent="0.35">
      <c r="B75" s="157" t="s">
        <v>80</v>
      </c>
      <c r="C75" s="158">
        <f>C65+C69+C74</f>
        <v>4680621.3100000005</v>
      </c>
      <c r="D75" s="159">
        <f>D65+D69+D74</f>
        <v>1.0000000000000002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65" priority="7">
      <formula>ROW()=EVEN(ROW())</formula>
    </cfRule>
  </conditionalFormatting>
  <conditionalFormatting sqref="A55:B55">
    <cfRule type="expression" dxfId="64" priority="5">
      <formula>ROW()=EVEN(ROW())</formula>
    </cfRule>
  </conditionalFormatting>
  <conditionalFormatting sqref="A54:B54">
    <cfRule type="expression" dxfId="63" priority="4">
      <formula>ROW()=EVEN(ROW())</formula>
    </cfRule>
  </conditionalFormatting>
  <conditionalFormatting sqref="M45:M55">
    <cfRule type="expression" dxfId="62" priority="3">
      <formula>ROW()=EVEN(ROW())</formula>
    </cfRule>
  </conditionalFormatting>
  <conditionalFormatting sqref="D45:D55">
    <cfRule type="expression" dxfId="61" priority="2">
      <formula>ROW()=EVEN(ROW())</formula>
    </cfRule>
  </conditionalFormatting>
  <conditionalFormatting sqref="N44:P55">
    <cfRule type="expression" dxfId="60" priority="1">
      <formula>ROW()=EVEN(ROW())</formula>
    </cfRule>
  </conditionalFormatting>
  <printOptions horizontalCentered="1"/>
  <pageMargins left="0" right="0" top="1.1000000000000001" bottom="0.5" header="0.3" footer="0.3"/>
  <pageSetup scale="59" fitToHeight="0" orientation="landscape" r:id="rId1"/>
  <headerFooter>
    <oddHeader>&amp;C&amp;"-,Bold"&amp;20Funding by Expenditure Code and Revenue Source&amp;"-,Regular"&amp;11
&amp;"-,Bold"&amp;20 2014&amp;"-,Regular"&amp;11
&amp;"-,Bold"&amp;20SKAGIT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8"/>
  <sheetViews>
    <sheetView showZeros="0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0" x14ac:dyDescent="0.3">
      <c r="A1" s="22" t="s">
        <v>150</v>
      </c>
      <c r="B1" s="6"/>
      <c r="C1" s="31">
        <v>11370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0" x14ac:dyDescent="0.3">
      <c r="A2" s="80" t="s">
        <v>44</v>
      </c>
      <c r="B2" s="5"/>
      <c r="C2" s="83">
        <v>4.5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147</v>
      </c>
    </row>
    <row r="3" spans="1:20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0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</row>
    <row r="5" spans="1:20" ht="15" thickBot="1" x14ac:dyDescent="0.35">
      <c r="A5" s="36">
        <v>562.1</v>
      </c>
      <c r="B5" s="37" t="s">
        <v>47</v>
      </c>
      <c r="C5" s="16">
        <v>35564</v>
      </c>
      <c r="D5" s="14">
        <f>E5+F5+G5+H5+I5+M5+Q5+R5</f>
        <v>38319</v>
      </c>
      <c r="E5" s="236">
        <v>0</v>
      </c>
      <c r="F5" s="256">
        <v>26000</v>
      </c>
      <c r="G5" s="227">
        <v>0</v>
      </c>
      <c r="H5" s="236">
        <f>957+7838</f>
        <v>8795</v>
      </c>
      <c r="I5" s="241"/>
      <c r="J5" s="214"/>
      <c r="K5" s="214"/>
      <c r="L5" s="214">
        <v>3524</v>
      </c>
      <c r="M5" s="9">
        <f>SUM(J5:L5)</f>
        <v>3524</v>
      </c>
      <c r="N5" s="214"/>
      <c r="O5" s="214"/>
      <c r="P5" s="214"/>
      <c r="Q5" s="214">
        <f>SUM(N5:P5)</f>
        <v>0</v>
      </c>
      <c r="R5" s="236">
        <v>0</v>
      </c>
    </row>
    <row r="6" spans="1:20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</row>
    <row r="7" spans="1:20" ht="15" thickBot="1" x14ac:dyDescent="0.35">
      <c r="A7" s="39">
        <v>562.22</v>
      </c>
      <c r="B7" s="82" t="s">
        <v>92</v>
      </c>
      <c r="C7" s="15">
        <v>29294</v>
      </c>
      <c r="D7" s="14">
        <f t="shared" ref="D7:D55" si="2">E7+F7+G7+H7+I7+M7+Q7+R7</f>
        <v>30184</v>
      </c>
      <c r="E7" s="231"/>
      <c r="F7" s="257"/>
      <c r="G7" s="228"/>
      <c r="H7" s="231">
        <v>27281</v>
      </c>
      <c r="I7" s="219"/>
      <c r="J7" s="217"/>
      <c r="K7" s="217"/>
      <c r="L7" s="217">
        <v>2903</v>
      </c>
      <c r="M7" s="9">
        <f t="shared" si="0"/>
        <v>2903</v>
      </c>
      <c r="N7" s="217"/>
      <c r="O7" s="217"/>
      <c r="P7" s="217"/>
      <c r="Q7" s="214">
        <f t="shared" si="1"/>
        <v>0</v>
      </c>
      <c r="R7" s="231"/>
    </row>
    <row r="8" spans="1:20" ht="15" thickBot="1" x14ac:dyDescent="0.35">
      <c r="A8" s="39">
        <v>562.24</v>
      </c>
      <c r="B8" s="40" t="s">
        <v>49</v>
      </c>
      <c r="C8" s="15">
        <v>11696</v>
      </c>
      <c r="D8" s="14">
        <f t="shared" si="2"/>
        <v>11659</v>
      </c>
      <c r="E8" s="231">
        <v>8800</v>
      </c>
      <c r="F8" s="257">
        <v>1700</v>
      </c>
      <c r="G8" s="228"/>
      <c r="H8" s="231"/>
      <c r="I8" s="219"/>
      <c r="J8" s="217"/>
      <c r="K8" s="217"/>
      <c r="L8" s="217">
        <v>1159</v>
      </c>
      <c r="M8" s="9">
        <f t="shared" si="0"/>
        <v>1159</v>
      </c>
      <c r="N8" s="217"/>
      <c r="O8" s="217"/>
      <c r="P8" s="217"/>
      <c r="Q8" s="214">
        <f t="shared" si="1"/>
        <v>0</v>
      </c>
      <c r="R8" s="231"/>
    </row>
    <row r="9" spans="1:20" ht="15" thickBot="1" x14ac:dyDescent="0.35">
      <c r="A9" s="39">
        <v>562.25</v>
      </c>
      <c r="B9" s="82" t="s">
        <v>93</v>
      </c>
      <c r="C9" s="15"/>
      <c r="D9" s="14">
        <f t="shared" si="2"/>
        <v>0</v>
      </c>
      <c r="E9" s="231"/>
      <c r="F9" s="257"/>
      <c r="G9" s="228"/>
      <c r="H9" s="231"/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</row>
    <row r="10" spans="1:20" ht="15" thickBot="1" x14ac:dyDescent="0.35">
      <c r="A10" s="39">
        <v>562.26</v>
      </c>
      <c r="B10" s="82" t="s">
        <v>84</v>
      </c>
      <c r="C10" s="15">
        <v>48708</v>
      </c>
      <c r="D10" s="14">
        <f t="shared" si="2"/>
        <v>48454</v>
      </c>
      <c r="E10" s="231">
        <v>15778</v>
      </c>
      <c r="F10" s="257">
        <v>22200</v>
      </c>
      <c r="G10" s="228"/>
      <c r="H10" s="231"/>
      <c r="I10" s="219"/>
      <c r="J10" s="217"/>
      <c r="K10" s="217"/>
      <c r="L10" s="217">
        <v>8196</v>
      </c>
      <c r="M10" s="9">
        <f t="shared" si="0"/>
        <v>8196</v>
      </c>
      <c r="N10" s="217"/>
      <c r="O10" s="217">
        <f>385+1895</f>
        <v>2280</v>
      </c>
      <c r="P10" s="217"/>
      <c r="Q10" s="214">
        <f t="shared" si="1"/>
        <v>2280</v>
      </c>
      <c r="R10" s="231"/>
    </row>
    <row r="11" spans="1:20" ht="15" thickBot="1" x14ac:dyDescent="0.35">
      <c r="A11" s="39">
        <v>562.27</v>
      </c>
      <c r="B11" s="82" t="s">
        <v>85</v>
      </c>
      <c r="C11" s="15">
        <v>34000</v>
      </c>
      <c r="D11" s="14">
        <f t="shared" si="2"/>
        <v>32452</v>
      </c>
      <c r="E11" s="231"/>
      <c r="F11" s="257"/>
      <c r="G11" s="228"/>
      <c r="H11" s="231">
        <f>5707+4930</f>
        <v>10637</v>
      </c>
      <c r="I11" s="219"/>
      <c r="J11" s="217"/>
      <c r="K11" s="217"/>
      <c r="L11" s="217"/>
      <c r="M11" s="9">
        <f t="shared" si="0"/>
        <v>0</v>
      </c>
      <c r="N11" s="217"/>
      <c r="O11" s="217">
        <f>10048+11767</f>
        <v>21815</v>
      </c>
      <c r="P11" s="217"/>
      <c r="Q11" s="214">
        <f t="shared" si="1"/>
        <v>21815</v>
      </c>
      <c r="R11" s="231"/>
    </row>
    <row r="12" spans="1:20" ht="15" thickBot="1" x14ac:dyDescent="0.35">
      <c r="A12" s="39">
        <v>562.28</v>
      </c>
      <c r="B12" s="82" t="s">
        <v>94</v>
      </c>
      <c r="C12" s="15">
        <v>62228</v>
      </c>
      <c r="D12" s="14">
        <f t="shared" si="2"/>
        <v>62305</v>
      </c>
      <c r="E12" s="231"/>
      <c r="F12" s="257">
        <v>11400</v>
      </c>
      <c r="G12" s="228"/>
      <c r="H12" s="231">
        <v>44738</v>
      </c>
      <c r="I12" s="219"/>
      <c r="J12" s="217"/>
      <c r="K12" s="217"/>
      <c r="L12" s="217">
        <v>6167</v>
      </c>
      <c r="M12" s="9">
        <f t="shared" si="0"/>
        <v>6167</v>
      </c>
      <c r="N12" s="217"/>
      <c r="O12" s="217"/>
      <c r="P12" s="217"/>
      <c r="Q12" s="214">
        <f t="shared" si="1"/>
        <v>0</v>
      </c>
      <c r="R12" s="231"/>
    </row>
    <row r="13" spans="1:20" ht="15" thickBot="1" x14ac:dyDescent="0.35">
      <c r="A13" s="39">
        <v>562.29</v>
      </c>
      <c r="B13" s="82" t="s">
        <v>86</v>
      </c>
      <c r="C13" s="15">
        <v>246</v>
      </c>
      <c r="D13" s="14">
        <f t="shared" si="2"/>
        <v>324</v>
      </c>
      <c r="E13" s="231"/>
      <c r="F13" s="257">
        <v>300</v>
      </c>
      <c r="G13" s="228"/>
      <c r="H13" s="231"/>
      <c r="I13" s="219"/>
      <c r="J13" s="217"/>
      <c r="K13" s="217"/>
      <c r="L13" s="217">
        <v>24</v>
      </c>
      <c r="M13" s="9">
        <f t="shared" si="0"/>
        <v>24</v>
      </c>
      <c r="N13" s="217"/>
      <c r="O13" s="217"/>
      <c r="P13" s="217"/>
      <c r="Q13" s="214">
        <f t="shared" si="1"/>
        <v>0</v>
      </c>
      <c r="R13" s="231"/>
    </row>
    <row r="14" spans="1:20" ht="15" thickBot="1" x14ac:dyDescent="0.35">
      <c r="A14" s="39">
        <v>562.32000000000005</v>
      </c>
      <c r="B14" s="40" t="s">
        <v>50</v>
      </c>
      <c r="C14" s="15">
        <v>47471</v>
      </c>
      <c r="D14" s="14">
        <f t="shared" si="2"/>
        <v>48402</v>
      </c>
      <c r="E14" s="231"/>
      <c r="F14" s="257">
        <v>29000</v>
      </c>
      <c r="G14" s="228">
        <v>4704</v>
      </c>
      <c r="H14" s="231">
        <v>2559</v>
      </c>
      <c r="I14" s="219"/>
      <c r="J14" s="217"/>
      <c r="K14" s="217"/>
      <c r="L14" s="217"/>
      <c r="M14" s="9">
        <f t="shared" si="0"/>
        <v>0</v>
      </c>
      <c r="N14" s="217"/>
      <c r="O14" s="217">
        <f>706+5499+4434+1500</f>
        <v>12139</v>
      </c>
      <c r="P14" s="217"/>
      <c r="Q14" s="214">
        <f t="shared" si="1"/>
        <v>12139</v>
      </c>
      <c r="R14" s="231"/>
    </row>
    <row r="15" spans="1:20" ht="15" thickBot="1" x14ac:dyDescent="0.35">
      <c r="A15" s="39">
        <v>562.33000000000004</v>
      </c>
      <c r="B15" s="82" t="s">
        <v>95</v>
      </c>
      <c r="C15" s="15">
        <v>2244</v>
      </c>
      <c r="D15" s="14">
        <f t="shared" si="2"/>
        <v>2716</v>
      </c>
      <c r="E15" s="231"/>
      <c r="F15" s="257"/>
      <c r="G15" s="228"/>
      <c r="H15" s="231"/>
      <c r="I15" s="219"/>
      <c r="J15" s="217"/>
      <c r="K15" s="217"/>
      <c r="L15" s="217"/>
      <c r="M15" s="9">
        <f t="shared" si="0"/>
        <v>0</v>
      </c>
      <c r="N15" s="217"/>
      <c r="O15" s="217">
        <f>12+459+2023+222</f>
        <v>2716</v>
      </c>
      <c r="P15" s="217"/>
      <c r="Q15" s="214">
        <f t="shared" si="1"/>
        <v>2716</v>
      </c>
      <c r="R15" s="231"/>
    </row>
    <row r="16" spans="1:20" ht="15" thickBot="1" x14ac:dyDescent="0.35">
      <c r="A16" s="39">
        <v>562.34</v>
      </c>
      <c r="B16" s="40" t="s">
        <v>51</v>
      </c>
      <c r="C16" s="15">
        <v>7452</v>
      </c>
      <c r="D16" s="14">
        <f t="shared" si="2"/>
        <v>7908</v>
      </c>
      <c r="E16" s="231"/>
      <c r="F16" s="257">
        <v>6907</v>
      </c>
      <c r="G16" s="228"/>
      <c r="H16" s="231"/>
      <c r="I16" s="219"/>
      <c r="J16" s="217"/>
      <c r="K16" s="217"/>
      <c r="L16" s="217">
        <v>738</v>
      </c>
      <c r="M16" s="9">
        <f t="shared" si="0"/>
        <v>738</v>
      </c>
      <c r="N16" s="217"/>
      <c r="O16" s="217">
        <f>171+77+15</f>
        <v>263</v>
      </c>
      <c r="P16" s="217"/>
      <c r="Q16" s="214">
        <f t="shared" si="1"/>
        <v>263</v>
      </c>
      <c r="R16" s="231"/>
      <c r="T16" s="204"/>
    </row>
    <row r="17" spans="1:18" ht="15" thickBot="1" x14ac:dyDescent="0.35">
      <c r="A17" s="39">
        <v>562.35</v>
      </c>
      <c r="B17" s="40" t="s">
        <v>52</v>
      </c>
      <c r="C17" s="15"/>
      <c r="D17" s="14">
        <f t="shared" si="2"/>
        <v>0</v>
      </c>
      <c r="E17" s="231"/>
      <c r="F17" s="257"/>
      <c r="G17" s="228"/>
      <c r="H17" s="231"/>
      <c r="I17" s="219"/>
      <c r="J17" s="217"/>
      <c r="K17" s="217"/>
      <c r="L17" s="217"/>
      <c r="M17" s="9">
        <f t="shared" si="0"/>
        <v>0</v>
      </c>
      <c r="N17" s="217"/>
      <c r="O17" s="217"/>
      <c r="P17" s="217"/>
      <c r="Q17" s="214">
        <f t="shared" si="1"/>
        <v>0</v>
      </c>
      <c r="R17" s="231"/>
    </row>
    <row r="18" spans="1:18" ht="15" thickBot="1" x14ac:dyDescent="0.35">
      <c r="A18" s="39">
        <v>562.39</v>
      </c>
      <c r="B18" s="40" t="s">
        <v>53</v>
      </c>
      <c r="C18" s="15">
        <v>7157</v>
      </c>
      <c r="D18" s="14">
        <f t="shared" si="2"/>
        <v>7772</v>
      </c>
      <c r="E18" s="231"/>
      <c r="F18" s="257">
        <v>7000</v>
      </c>
      <c r="G18" s="228"/>
      <c r="H18" s="231"/>
      <c r="I18" s="219"/>
      <c r="J18" s="217"/>
      <c r="K18" s="217"/>
      <c r="L18" s="217">
        <v>772</v>
      </c>
      <c r="M18" s="9">
        <f t="shared" si="0"/>
        <v>772</v>
      </c>
      <c r="N18" s="217"/>
      <c r="O18" s="217"/>
      <c r="P18" s="217"/>
      <c r="Q18" s="214">
        <f t="shared" si="1"/>
        <v>0</v>
      </c>
      <c r="R18" s="231"/>
    </row>
    <row r="19" spans="1:18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</row>
    <row r="20" spans="1:18" ht="15" thickBot="1" x14ac:dyDescent="0.35">
      <c r="A20" s="39">
        <v>562.41999999999996</v>
      </c>
      <c r="B20" s="40" t="s">
        <v>55</v>
      </c>
      <c r="C20" s="15">
        <v>1824</v>
      </c>
      <c r="D20" s="14">
        <f t="shared" si="2"/>
        <v>1880</v>
      </c>
      <c r="E20" s="231"/>
      <c r="F20" s="257">
        <v>1700</v>
      </c>
      <c r="G20" s="228"/>
      <c r="H20" s="231"/>
      <c r="I20" s="219"/>
      <c r="J20" s="217"/>
      <c r="K20" s="217"/>
      <c r="L20" s="217">
        <v>180</v>
      </c>
      <c r="M20" s="9">
        <f t="shared" si="0"/>
        <v>180</v>
      </c>
      <c r="N20" s="217"/>
      <c r="O20" s="217"/>
      <c r="P20" s="217"/>
      <c r="Q20" s="214">
        <f t="shared" si="1"/>
        <v>0</v>
      </c>
      <c r="R20" s="231"/>
    </row>
    <row r="21" spans="1:18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</row>
    <row r="22" spans="1:18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</row>
    <row r="23" spans="1:18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</row>
    <row r="24" spans="1:18" ht="15" thickBot="1" x14ac:dyDescent="0.35">
      <c r="A24" s="39">
        <v>562.49</v>
      </c>
      <c r="B24" s="82" t="s">
        <v>87</v>
      </c>
      <c r="C24" s="15">
        <v>62</v>
      </c>
      <c r="D24" s="14">
        <f t="shared" si="2"/>
        <v>100</v>
      </c>
      <c r="E24" s="231"/>
      <c r="F24" s="257">
        <v>100</v>
      </c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</row>
    <row r="25" spans="1:18" ht="15" thickBot="1" x14ac:dyDescent="0.35">
      <c r="A25" s="39">
        <v>562.52</v>
      </c>
      <c r="B25" s="40" t="s">
        <v>56</v>
      </c>
      <c r="C25" s="15">
        <v>14521</v>
      </c>
      <c r="D25" s="14">
        <f t="shared" si="2"/>
        <v>24341</v>
      </c>
      <c r="E25" s="231"/>
      <c r="F25" s="257"/>
      <c r="G25" s="228">
        <v>376</v>
      </c>
      <c r="H25" s="231"/>
      <c r="I25" s="219"/>
      <c r="J25" s="217"/>
      <c r="K25" s="217"/>
      <c r="L25" s="217">
        <v>6111</v>
      </c>
      <c r="M25" s="9">
        <f t="shared" si="0"/>
        <v>6111</v>
      </c>
      <c r="N25" s="217"/>
      <c r="O25" s="217">
        <f>1750+2526+4900+4650+4028</f>
        <v>17854</v>
      </c>
      <c r="P25" s="217"/>
      <c r="Q25" s="214">
        <f t="shared" si="1"/>
        <v>17854</v>
      </c>
      <c r="R25" s="231"/>
    </row>
    <row r="26" spans="1:18" ht="15" thickBot="1" x14ac:dyDescent="0.35">
      <c r="A26" s="39">
        <v>562.53</v>
      </c>
      <c r="B26" s="82" t="s">
        <v>99</v>
      </c>
      <c r="C26" s="15">
        <v>9681</v>
      </c>
      <c r="D26" s="14">
        <f t="shared" si="2"/>
        <v>2850</v>
      </c>
      <c r="E26" s="231"/>
      <c r="F26" s="257"/>
      <c r="G26" s="228"/>
      <c r="H26" s="231"/>
      <c r="I26" s="219"/>
      <c r="J26" s="217"/>
      <c r="K26" s="217"/>
      <c r="L26" s="217"/>
      <c r="M26" s="9">
        <f t="shared" si="0"/>
        <v>0</v>
      </c>
      <c r="N26" s="217"/>
      <c r="O26" s="217">
        <f>1450+1400</f>
        <v>2850</v>
      </c>
      <c r="P26" s="217"/>
      <c r="Q26" s="214">
        <f t="shared" si="1"/>
        <v>2850</v>
      </c>
      <c r="R26" s="231"/>
    </row>
    <row r="27" spans="1:18" ht="15" thickBot="1" x14ac:dyDescent="0.35">
      <c r="A27" s="39">
        <v>562.54</v>
      </c>
      <c r="B27" s="82" t="s">
        <v>100</v>
      </c>
      <c r="C27" s="15">
        <v>38722</v>
      </c>
      <c r="D27" s="14">
        <f t="shared" si="2"/>
        <v>30925</v>
      </c>
      <c r="E27" s="231"/>
      <c r="F27" s="257"/>
      <c r="G27" s="228"/>
      <c r="H27" s="231"/>
      <c r="I27" s="219"/>
      <c r="J27" s="217"/>
      <c r="K27" s="217"/>
      <c r="L27" s="217"/>
      <c r="M27" s="9">
        <f t="shared" si="0"/>
        <v>0</v>
      </c>
      <c r="N27" s="217"/>
      <c r="O27" s="217">
        <f>14500+9925+3900+2600</f>
        <v>30925</v>
      </c>
      <c r="P27" s="217"/>
      <c r="Q27" s="214">
        <f t="shared" si="1"/>
        <v>30925</v>
      </c>
      <c r="R27" s="231"/>
    </row>
    <row r="28" spans="1:18" ht="15" thickBot="1" x14ac:dyDescent="0.35">
      <c r="A28" s="39">
        <v>562.54999999999995</v>
      </c>
      <c r="B28" s="40" t="s">
        <v>57</v>
      </c>
      <c r="C28" s="15">
        <v>4840</v>
      </c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</row>
    <row r="29" spans="1:18" ht="15" thickBot="1" x14ac:dyDescent="0.35">
      <c r="A29" s="39">
        <v>562.55999999999995</v>
      </c>
      <c r="B29" s="40" t="s">
        <v>58</v>
      </c>
      <c r="C29" s="15">
        <v>29864</v>
      </c>
      <c r="D29" s="14">
        <f t="shared" si="2"/>
        <v>27890</v>
      </c>
      <c r="E29" s="231"/>
      <c r="F29" s="257"/>
      <c r="G29" s="228"/>
      <c r="H29" s="231"/>
      <c r="I29" s="219"/>
      <c r="J29" s="217"/>
      <c r="K29" s="217"/>
      <c r="L29" s="217">
        <v>10360</v>
      </c>
      <c r="M29" s="9">
        <f t="shared" si="0"/>
        <v>10360</v>
      </c>
      <c r="N29" s="217"/>
      <c r="O29" s="217">
        <v>17530</v>
      </c>
      <c r="P29" s="217"/>
      <c r="Q29" s="214">
        <f t="shared" si="1"/>
        <v>17530</v>
      </c>
      <c r="R29" s="231"/>
    </row>
    <row r="30" spans="1:18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</row>
    <row r="31" spans="1:18" ht="15" thickBot="1" x14ac:dyDescent="0.35">
      <c r="A31" s="39">
        <v>562.58000000000004</v>
      </c>
      <c r="B31" s="82" t="s">
        <v>88</v>
      </c>
      <c r="C31" s="15">
        <v>4840</v>
      </c>
      <c r="D31" s="14">
        <f t="shared" si="2"/>
        <v>10405</v>
      </c>
      <c r="E31" s="231"/>
      <c r="F31" s="257"/>
      <c r="G31" s="228"/>
      <c r="H31" s="231"/>
      <c r="I31" s="219"/>
      <c r="J31" s="217"/>
      <c r="K31" s="217"/>
      <c r="L31" s="217">
        <v>9205</v>
      </c>
      <c r="M31" s="9">
        <f t="shared" si="0"/>
        <v>9205</v>
      </c>
      <c r="N31" s="217"/>
      <c r="O31" s="217">
        <v>1200</v>
      </c>
      <c r="P31" s="217"/>
      <c r="Q31" s="214">
        <f t="shared" si="1"/>
        <v>1200</v>
      </c>
      <c r="R31" s="231"/>
    </row>
    <row r="32" spans="1:18" ht="15" thickBot="1" x14ac:dyDescent="0.35">
      <c r="A32" s="39">
        <v>562.59</v>
      </c>
      <c r="B32" s="82" t="s">
        <v>89</v>
      </c>
      <c r="C32" s="15">
        <v>4840</v>
      </c>
      <c r="D32" s="14">
        <f t="shared" si="2"/>
        <v>9205</v>
      </c>
      <c r="E32" s="231"/>
      <c r="F32" s="257"/>
      <c r="G32" s="228"/>
      <c r="H32" s="231"/>
      <c r="I32" s="219"/>
      <c r="J32" s="247"/>
      <c r="K32" s="247"/>
      <c r="L32" s="247">
        <v>9205</v>
      </c>
      <c r="M32" s="9">
        <f t="shared" si="0"/>
        <v>9205</v>
      </c>
      <c r="N32" s="247"/>
      <c r="O32" s="247"/>
      <c r="P32" s="247"/>
      <c r="Q32" s="214">
        <f t="shared" si="1"/>
        <v>0</v>
      </c>
      <c r="R32" s="231"/>
    </row>
    <row r="33" spans="1:18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</row>
    <row r="34" spans="1:18" ht="15" thickBot="1" x14ac:dyDescent="0.35">
      <c r="A34" s="39">
        <v>562.71</v>
      </c>
      <c r="B34" s="40" t="s">
        <v>60</v>
      </c>
      <c r="C34" s="15">
        <v>6752</v>
      </c>
      <c r="D34" s="14">
        <f t="shared" si="2"/>
        <v>6763</v>
      </c>
      <c r="E34" s="231"/>
      <c r="F34" s="257">
        <v>4950</v>
      </c>
      <c r="G34" s="228"/>
      <c r="H34" s="231"/>
      <c r="I34" s="219"/>
      <c r="J34" s="217"/>
      <c r="K34" s="217"/>
      <c r="L34" s="217">
        <v>669</v>
      </c>
      <c r="M34" s="9">
        <f t="shared" si="0"/>
        <v>669</v>
      </c>
      <c r="N34" s="217"/>
      <c r="O34" s="217">
        <v>1144</v>
      </c>
      <c r="P34" s="217"/>
      <c r="Q34" s="214">
        <f t="shared" si="1"/>
        <v>1144</v>
      </c>
      <c r="R34" s="231"/>
    </row>
    <row r="35" spans="1:18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</row>
    <row r="36" spans="1:18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</row>
    <row r="37" spans="1:18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</row>
    <row r="38" spans="1:18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</row>
    <row r="39" spans="1:18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</row>
    <row r="40" spans="1:18" ht="15" thickBot="1" x14ac:dyDescent="0.35">
      <c r="A40" s="39">
        <v>562.79999999999995</v>
      </c>
      <c r="B40" s="40" t="s">
        <v>65</v>
      </c>
      <c r="C40" s="15"/>
      <c r="D40" s="14">
        <f t="shared" si="2"/>
        <v>0</v>
      </c>
      <c r="E40" s="231"/>
      <c r="F40" s="257"/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</row>
    <row r="41" spans="1:18" ht="15" thickBot="1" x14ac:dyDescent="0.35">
      <c r="A41" s="39">
        <v>562.88</v>
      </c>
      <c r="B41" s="82" t="s">
        <v>91</v>
      </c>
      <c r="C41" s="15">
        <v>29400</v>
      </c>
      <c r="D41" s="14">
        <f t="shared" si="2"/>
        <v>22886</v>
      </c>
      <c r="E41" s="231"/>
      <c r="F41" s="257"/>
      <c r="G41" s="228"/>
      <c r="H41" s="231">
        <v>19971</v>
      </c>
      <c r="I41" s="219"/>
      <c r="J41" s="217"/>
      <c r="K41" s="217"/>
      <c r="L41" s="217">
        <v>2915</v>
      </c>
      <c r="M41" s="9">
        <f t="shared" si="0"/>
        <v>2915</v>
      </c>
      <c r="N41" s="217"/>
      <c r="O41" s="217"/>
      <c r="P41" s="217"/>
      <c r="Q41" s="214">
        <f t="shared" si="1"/>
        <v>0</v>
      </c>
      <c r="R41" s="231"/>
    </row>
    <row r="42" spans="1:18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</row>
    <row r="43" spans="1:18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</row>
    <row r="44" spans="1:18" x14ac:dyDescent="0.3">
      <c r="A44" s="206" t="s">
        <v>110</v>
      </c>
      <c r="B44" s="207" t="s">
        <v>68</v>
      </c>
      <c r="C44" s="208">
        <f>SUM(C5:C43)</f>
        <v>431406</v>
      </c>
      <c r="D44" s="205">
        <f>E44+F44+G44+H44+I44+M44+Q44+R44</f>
        <v>427740</v>
      </c>
      <c r="E44" s="233">
        <f t="shared" ref="E44:R44" si="3">SUM(E5:E43)</f>
        <v>24578</v>
      </c>
      <c r="F44" s="259">
        <f t="shared" si="3"/>
        <v>111257</v>
      </c>
      <c r="G44" s="223">
        <f t="shared" si="3"/>
        <v>5080</v>
      </c>
      <c r="H44" s="233">
        <f t="shared" si="3"/>
        <v>113981</v>
      </c>
      <c r="I44" s="239">
        <f t="shared" si="3"/>
        <v>0</v>
      </c>
      <c r="J44" s="245">
        <f>SUM(J5:J43)</f>
        <v>0</v>
      </c>
      <c r="K44" s="245">
        <f>SUM(K5:K43)</f>
        <v>0</v>
      </c>
      <c r="L44" s="245">
        <f>SUM(L5:L43)</f>
        <v>62128</v>
      </c>
      <c r="M44" s="208">
        <f t="shared" si="3"/>
        <v>62128</v>
      </c>
      <c r="N44" s="245">
        <f>SUM(N5:N43)</f>
        <v>0</v>
      </c>
      <c r="O44" s="245">
        <f>SUM(O5:O43)</f>
        <v>110716</v>
      </c>
      <c r="P44" s="245">
        <f>SUM(P5:P43)</f>
        <v>0</v>
      </c>
      <c r="Q44" s="216">
        <f t="shared" si="3"/>
        <v>110716</v>
      </c>
      <c r="R44" s="233">
        <f t="shared" si="3"/>
        <v>0</v>
      </c>
    </row>
    <row r="45" spans="1:18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</row>
    <row r="46" spans="1:18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</row>
    <row r="47" spans="1:18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</row>
    <row r="48" spans="1:18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</row>
    <row r="49" spans="1:18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</row>
    <row r="50" spans="1:18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</row>
    <row r="51" spans="1:18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</row>
    <row r="52" spans="1:18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</row>
    <row r="53" spans="1:18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</row>
    <row r="54" spans="1:18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</row>
    <row r="55" spans="1:18" x14ac:dyDescent="0.3">
      <c r="A55" s="41">
        <v>500</v>
      </c>
      <c r="B55" s="32" t="s">
        <v>118</v>
      </c>
      <c r="C55" s="18">
        <v>8478</v>
      </c>
      <c r="D55" s="20">
        <f t="shared" si="2"/>
        <v>8478</v>
      </c>
      <c r="E55" s="232"/>
      <c r="F55" s="258"/>
      <c r="G55" s="229"/>
      <c r="H55" s="232">
        <v>8478</v>
      </c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</row>
    <row r="56" spans="1:18" ht="15" thickBot="1" x14ac:dyDescent="0.35">
      <c r="A56" s="107"/>
      <c r="B56" s="108" t="s">
        <v>80</v>
      </c>
      <c r="C56" s="111">
        <f>SUM(C44:C55)</f>
        <v>439884</v>
      </c>
      <c r="D56" s="110">
        <f>E56+F56+G56+H56+I56+M56+Q56+R56</f>
        <v>436218</v>
      </c>
      <c r="E56" s="235">
        <f t="shared" ref="E56:R56" si="4">SUM(E44:E55)</f>
        <v>24578</v>
      </c>
      <c r="F56" s="260">
        <f t="shared" si="4"/>
        <v>111257</v>
      </c>
      <c r="G56" s="225">
        <f t="shared" si="4"/>
        <v>5080</v>
      </c>
      <c r="H56" s="235">
        <f t="shared" si="4"/>
        <v>122459</v>
      </c>
      <c r="I56" s="240">
        <f t="shared" si="4"/>
        <v>0</v>
      </c>
      <c r="J56" s="218">
        <f>SUM(J44:J55)</f>
        <v>0</v>
      </c>
      <c r="K56" s="218">
        <f>SUM(K44:K55)</f>
        <v>0</v>
      </c>
      <c r="L56" s="218">
        <f>SUM(L44:L55)</f>
        <v>62128</v>
      </c>
      <c r="M56" s="209">
        <f t="shared" si="4"/>
        <v>62128</v>
      </c>
      <c r="N56" s="218">
        <f>SUM(N44:N55)</f>
        <v>0</v>
      </c>
      <c r="O56" s="218">
        <f>SUM(O44:O55)</f>
        <v>110716</v>
      </c>
      <c r="P56" s="218">
        <f>SUM(P44:P55)</f>
        <v>0</v>
      </c>
      <c r="Q56" s="218">
        <f t="shared" si="4"/>
        <v>110716</v>
      </c>
      <c r="R56" s="235">
        <f t="shared" si="4"/>
        <v>0</v>
      </c>
    </row>
    <row r="57" spans="1:18" ht="15" thickTop="1" x14ac:dyDescent="0.3"/>
    <row r="58" spans="1:18" ht="15" thickBot="1" x14ac:dyDescent="0.35"/>
    <row r="59" spans="1:18" ht="15" thickBot="1" x14ac:dyDescent="0.35">
      <c r="B59" s="42" t="s">
        <v>109</v>
      </c>
      <c r="C59" s="43"/>
      <c r="D59" s="44"/>
    </row>
    <row r="60" spans="1:18" ht="15" thickTop="1" x14ac:dyDescent="0.3">
      <c r="B60" s="115"/>
      <c r="C60" s="116" t="s">
        <v>82</v>
      </c>
      <c r="D60" s="117" t="s">
        <v>78</v>
      </c>
    </row>
    <row r="61" spans="1:18" x14ac:dyDescent="0.3">
      <c r="B61" s="153" t="s">
        <v>108</v>
      </c>
      <c r="C61" s="45"/>
      <c r="D61" s="46"/>
    </row>
    <row r="62" spans="1:18" x14ac:dyDescent="0.3">
      <c r="B62" s="26" t="s">
        <v>3</v>
      </c>
      <c r="C62" s="47">
        <f>E56</f>
        <v>24578</v>
      </c>
      <c r="D62" s="48">
        <f>E56/D56</f>
        <v>5.6343387939057993E-2</v>
      </c>
    </row>
    <row r="63" spans="1:18" x14ac:dyDescent="0.3">
      <c r="B63" s="26" t="s">
        <v>4</v>
      </c>
      <c r="C63" s="49">
        <f>F56</f>
        <v>111257</v>
      </c>
      <c r="D63" s="48">
        <f>F56/D56</f>
        <v>0.25504908096410511</v>
      </c>
    </row>
    <row r="64" spans="1:18" x14ac:dyDescent="0.3">
      <c r="B64" s="56" t="s">
        <v>79</v>
      </c>
      <c r="C64" s="50">
        <f>G56</f>
        <v>5080</v>
      </c>
      <c r="D64" s="51">
        <f>G56/D56</f>
        <v>1.1645553370103938E-2</v>
      </c>
    </row>
    <row r="65" spans="2:4" ht="15" thickBot="1" x14ac:dyDescent="0.35">
      <c r="B65" s="146" t="s">
        <v>115</v>
      </c>
      <c r="C65" s="52">
        <f>SUM(C62:C64)</f>
        <v>140915</v>
      </c>
      <c r="D65" s="53">
        <f>SUM(D62:D64)</f>
        <v>0.323038022273267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122459</v>
      </c>
      <c r="D67" s="25">
        <f>H56/D56</f>
        <v>0.28072890160424374</v>
      </c>
    </row>
    <row r="68" spans="2:4" x14ac:dyDescent="0.3">
      <c r="B68" s="57" t="s">
        <v>7</v>
      </c>
      <c r="C68" s="27">
        <f>I56</f>
        <v>0</v>
      </c>
      <c r="D68" s="28">
        <f>I56/D56</f>
        <v>0</v>
      </c>
    </row>
    <row r="69" spans="2:4" ht="15" thickBot="1" x14ac:dyDescent="0.35">
      <c r="B69" s="146" t="s">
        <v>116</v>
      </c>
      <c r="C69" s="52">
        <f>SUM(C67:C68)</f>
        <v>122459</v>
      </c>
      <c r="D69" s="53">
        <f>SUM(D67:D68)</f>
        <v>0.28072890160424374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62128</v>
      </c>
      <c r="D71" s="25">
        <f>M56/D56</f>
        <v>0.14242420074366485</v>
      </c>
    </row>
    <row r="72" spans="2:4" x14ac:dyDescent="0.3">
      <c r="B72" s="24" t="s">
        <v>8</v>
      </c>
      <c r="C72" s="23">
        <f>Q56</f>
        <v>110716</v>
      </c>
      <c r="D72" s="25">
        <f>Q56/D56</f>
        <v>0.25380887537882435</v>
      </c>
    </row>
    <row r="73" spans="2:4" x14ac:dyDescent="0.3">
      <c r="B73" s="163" t="s">
        <v>83</v>
      </c>
      <c r="C73" s="27">
        <f>R56</f>
        <v>0</v>
      </c>
      <c r="D73" s="28">
        <f>R56/D56</f>
        <v>0</v>
      </c>
    </row>
    <row r="74" spans="2:4" ht="15" thickBot="1" x14ac:dyDescent="0.35">
      <c r="B74" s="146" t="s">
        <v>117</v>
      </c>
      <c r="C74" s="52">
        <f>SUM(C71:C73)</f>
        <v>172844</v>
      </c>
      <c r="D74" s="53">
        <f>SUM(D71:D73)</f>
        <v>0.3962330761224892</v>
      </c>
    </row>
    <row r="75" spans="2:4" ht="15" thickBot="1" x14ac:dyDescent="0.35">
      <c r="B75" s="157" t="s">
        <v>80</v>
      </c>
      <c r="C75" s="158">
        <f>C65+C69+C74</f>
        <v>436218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59" priority="8">
      <formula>ROW()=EVEN(ROW())</formula>
    </cfRule>
  </conditionalFormatting>
  <conditionalFormatting sqref="A55:B55">
    <cfRule type="expression" dxfId="58" priority="6">
      <formula>ROW()=EVEN(ROW())</formula>
    </cfRule>
  </conditionalFormatting>
  <conditionalFormatting sqref="A54:B54">
    <cfRule type="expression" dxfId="57" priority="5">
      <formula>ROW()=EVEN(ROW())</formula>
    </cfRule>
  </conditionalFormatting>
  <conditionalFormatting sqref="M45:M55">
    <cfRule type="expression" dxfId="56" priority="3">
      <formula>ROW()=EVEN(ROW())</formula>
    </cfRule>
  </conditionalFormatting>
  <conditionalFormatting sqref="D45:D55">
    <cfRule type="expression" dxfId="55" priority="2">
      <formula>ROW()=EVEN(ROW())</formula>
    </cfRule>
  </conditionalFormatting>
  <conditionalFormatting sqref="N44:P55">
    <cfRule type="expression" dxfId="54" priority="1">
      <formula>ROW()=EVEN(ROW())</formula>
    </cfRule>
  </conditionalFormatting>
  <printOptions horizontalCentered="1"/>
  <pageMargins left="0" right="0" top="1.1000000000000001" bottom="0.5" header="0.3" footer="0.3"/>
  <pageSetup scale="59" fitToHeight="0" orientation="landscape" r:id="rId1"/>
  <headerFooter>
    <oddHeader>&amp;C&amp;"-,Bold"&amp;20Funding by Expenditure Code and Revenue Source&amp;"-,Regular"&amp;11
&amp;"-,Bold"&amp;20 2014&amp;"-,Regular"&amp;11
&amp;"-,Bold"&amp;20SKAMANIA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88"/>
  <sheetViews>
    <sheetView showZeros="0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9.109375" style="199" bestFit="1" customWidth="1"/>
    <col min="20" max="20" width="9.6640625" style="200" bestFit="1" customWidth="1"/>
    <col min="21" max="21" width="9" bestFit="1" customWidth="1"/>
    <col min="22" max="22" width="9.5546875" bestFit="1" customWidth="1"/>
  </cols>
  <sheetData>
    <row r="1" spans="1:24" x14ac:dyDescent="0.3">
      <c r="A1" s="22" t="s">
        <v>150</v>
      </c>
      <c r="B1" s="6"/>
      <c r="C1" s="31">
        <v>741000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4" x14ac:dyDescent="0.3">
      <c r="A2" s="80" t="s">
        <v>44</v>
      </c>
      <c r="B2" s="5"/>
      <c r="C2" s="83">
        <v>139.69999999999999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4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4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</row>
    <row r="5" spans="1:24" ht="15" thickBot="1" x14ac:dyDescent="0.35">
      <c r="A5" s="36">
        <v>562.1</v>
      </c>
      <c r="B5" s="37" t="s">
        <v>47</v>
      </c>
      <c r="C5" s="16">
        <v>721766</v>
      </c>
      <c r="D5" s="14">
        <f>E5+F5+G5+H5+I5+M5+Q5+R5</f>
        <v>2002322</v>
      </c>
      <c r="E5" s="236">
        <v>0</v>
      </c>
      <c r="F5" s="256"/>
      <c r="G5" s="227"/>
      <c r="H5" s="236"/>
      <c r="I5" s="241"/>
      <c r="J5" s="214">
        <v>1280556</v>
      </c>
      <c r="K5" s="214"/>
      <c r="L5" s="214"/>
      <c r="M5" s="9">
        <f>SUM(J5:L5)</f>
        <v>1280556</v>
      </c>
      <c r="N5" s="214"/>
      <c r="O5" s="214"/>
      <c r="P5" s="214"/>
      <c r="Q5" s="214">
        <f>SUM(N5:P5)</f>
        <v>0</v>
      </c>
      <c r="R5" s="236">
        <v>721766</v>
      </c>
      <c r="S5" s="199">
        <v>308</v>
      </c>
      <c r="T5" s="199">
        <v>721766</v>
      </c>
      <c r="U5" s="211"/>
      <c r="V5" s="211"/>
      <c r="W5" s="211"/>
      <c r="X5" s="211"/>
    </row>
    <row r="6" spans="1:24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  <c r="U6" s="211"/>
      <c r="V6" s="211"/>
      <c r="W6" s="211"/>
      <c r="X6" s="211"/>
    </row>
    <row r="7" spans="1:24" ht="15" thickBot="1" x14ac:dyDescent="0.35">
      <c r="A7" s="39">
        <v>562.22</v>
      </c>
      <c r="B7" s="82" t="s">
        <v>92</v>
      </c>
      <c r="C7" s="15">
        <v>1800071</v>
      </c>
      <c r="D7" s="14">
        <f t="shared" ref="D7:D55" si="2">E7+F7+G7+H7+I7+M7+Q7+R7</f>
        <v>1800071</v>
      </c>
      <c r="E7" s="231"/>
      <c r="F7" s="257">
        <v>458173</v>
      </c>
      <c r="G7" s="228">
        <v>0</v>
      </c>
      <c r="H7" s="231">
        <f>103874-33919</f>
        <v>69955</v>
      </c>
      <c r="I7" s="219">
        <v>12910</v>
      </c>
      <c r="J7" s="217">
        <v>900000</v>
      </c>
      <c r="K7" s="217"/>
      <c r="L7" s="217"/>
      <c r="M7" s="9">
        <f t="shared" si="0"/>
        <v>900000</v>
      </c>
      <c r="N7" s="217"/>
      <c r="O7" s="217">
        <v>301017</v>
      </c>
      <c r="P7" s="217"/>
      <c r="Q7" s="214">
        <f t="shared" si="1"/>
        <v>301017</v>
      </c>
      <c r="R7" s="231">
        <v>58016</v>
      </c>
      <c r="S7" s="199">
        <v>308</v>
      </c>
      <c r="T7" s="199">
        <v>58016</v>
      </c>
      <c r="U7" s="211"/>
      <c r="V7" s="211"/>
      <c r="W7" s="211"/>
      <c r="X7" s="211"/>
    </row>
    <row r="8" spans="1:24" ht="15" thickBot="1" x14ac:dyDescent="0.35">
      <c r="A8" s="39">
        <v>562.24</v>
      </c>
      <c r="B8" s="40" t="s">
        <v>49</v>
      </c>
      <c r="C8" s="15">
        <v>259006</v>
      </c>
      <c r="D8" s="14">
        <f t="shared" si="2"/>
        <v>259006</v>
      </c>
      <c r="E8" s="231"/>
      <c r="F8" s="257"/>
      <c r="G8" s="228"/>
      <c r="H8" s="231"/>
      <c r="I8" s="219">
        <f>188147+45248+13330</f>
        <v>246725</v>
      </c>
      <c r="J8" s="217"/>
      <c r="K8" s="217"/>
      <c r="L8" s="217"/>
      <c r="M8" s="9">
        <f t="shared" si="0"/>
        <v>0</v>
      </c>
      <c r="N8" s="217"/>
      <c r="O8" s="217">
        <f>16454+10</f>
        <v>16464</v>
      </c>
      <c r="P8" s="217"/>
      <c r="Q8" s="214">
        <f t="shared" si="1"/>
        <v>16464</v>
      </c>
      <c r="R8" s="231">
        <v>-4183</v>
      </c>
      <c r="S8" s="199">
        <v>308</v>
      </c>
      <c r="T8" s="199">
        <v>-4183</v>
      </c>
      <c r="U8" s="211"/>
      <c r="V8" s="211"/>
      <c r="W8" s="211"/>
      <c r="X8" s="211"/>
    </row>
    <row r="9" spans="1:24" ht="15" thickBot="1" x14ac:dyDescent="0.35">
      <c r="A9" s="39">
        <v>562.25</v>
      </c>
      <c r="B9" s="82" t="s">
        <v>93</v>
      </c>
      <c r="C9" s="15">
        <v>249992</v>
      </c>
      <c r="D9" s="14">
        <f t="shared" si="2"/>
        <v>249992</v>
      </c>
      <c r="E9" s="231"/>
      <c r="F9" s="257">
        <v>927</v>
      </c>
      <c r="G9" s="228"/>
      <c r="H9" s="231">
        <v>245007</v>
      </c>
      <c r="I9" s="219">
        <v>1016</v>
      </c>
      <c r="J9" s="217"/>
      <c r="K9" s="217"/>
      <c r="L9" s="217"/>
      <c r="M9" s="9">
        <f t="shared" si="0"/>
        <v>0</v>
      </c>
      <c r="N9" s="217"/>
      <c r="O9" s="217">
        <v>2925</v>
      </c>
      <c r="P9" s="217"/>
      <c r="Q9" s="214">
        <f t="shared" si="1"/>
        <v>2925</v>
      </c>
      <c r="R9" s="231">
        <v>117</v>
      </c>
      <c r="S9" s="199">
        <v>308</v>
      </c>
      <c r="T9" s="199">
        <v>20941</v>
      </c>
      <c r="U9" s="211"/>
      <c r="V9" s="211"/>
      <c r="W9" s="211"/>
      <c r="X9" s="211"/>
    </row>
    <row r="10" spans="1:24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T10" s="199"/>
      <c r="U10" s="211"/>
      <c r="V10" s="211"/>
      <c r="W10" s="211"/>
      <c r="X10" s="211"/>
    </row>
    <row r="11" spans="1:24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T11" s="199"/>
      <c r="U11" s="211"/>
      <c r="V11" s="211"/>
      <c r="W11" s="211"/>
      <c r="X11" s="211"/>
    </row>
    <row r="12" spans="1:24" ht="15" thickBot="1" x14ac:dyDescent="0.35">
      <c r="A12" s="39">
        <v>562.28</v>
      </c>
      <c r="B12" s="82" t="s">
        <v>94</v>
      </c>
      <c r="C12" s="15">
        <v>1579576</v>
      </c>
      <c r="D12" s="14">
        <f t="shared" si="2"/>
        <v>1579576</v>
      </c>
      <c r="E12" s="231"/>
      <c r="F12" s="257">
        <v>165376</v>
      </c>
      <c r="G12" s="228"/>
      <c r="H12" s="231">
        <f>1392311+948</f>
        <v>1393259</v>
      </c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>
        <v>20941</v>
      </c>
      <c r="S12" s="199">
        <v>308</v>
      </c>
      <c r="T12" s="199">
        <v>20941</v>
      </c>
      <c r="U12" s="211"/>
      <c r="V12" s="211"/>
      <c r="W12" s="211"/>
      <c r="X12" s="211"/>
    </row>
    <row r="13" spans="1:24" ht="15" thickBot="1" x14ac:dyDescent="0.35">
      <c r="A13" s="39">
        <v>562.29</v>
      </c>
      <c r="B13" s="82" t="s">
        <v>86</v>
      </c>
      <c r="C13" s="15">
        <v>155896</v>
      </c>
      <c r="D13" s="14">
        <f t="shared" si="2"/>
        <v>155896</v>
      </c>
      <c r="E13" s="231"/>
      <c r="F13" s="257">
        <v>752</v>
      </c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>
        <v>155049</v>
      </c>
      <c r="P13" s="217"/>
      <c r="Q13" s="214">
        <f t="shared" si="1"/>
        <v>155049</v>
      </c>
      <c r="R13" s="231">
        <v>95</v>
      </c>
      <c r="S13" s="199">
        <v>308</v>
      </c>
      <c r="T13" s="199">
        <v>95</v>
      </c>
      <c r="U13" s="211"/>
      <c r="V13" s="211"/>
      <c r="W13" s="211"/>
      <c r="X13" s="211"/>
    </row>
    <row r="14" spans="1:24" ht="15" thickBot="1" x14ac:dyDescent="0.35">
      <c r="A14" s="39">
        <v>562.32000000000005</v>
      </c>
      <c r="B14" s="40" t="s">
        <v>50</v>
      </c>
      <c r="C14" s="15">
        <v>1658823</v>
      </c>
      <c r="D14" s="14">
        <f t="shared" si="2"/>
        <v>1658823</v>
      </c>
      <c r="E14" s="231"/>
      <c r="F14" s="257">
        <v>848263</v>
      </c>
      <c r="G14" s="228"/>
      <c r="H14" s="231">
        <f>53400+29173+6600+142915</f>
        <v>232088</v>
      </c>
      <c r="I14" s="219"/>
      <c r="J14" s="217"/>
      <c r="K14" s="217"/>
      <c r="L14" s="217"/>
      <c r="M14" s="9">
        <f t="shared" si="0"/>
        <v>0</v>
      </c>
      <c r="N14" s="217"/>
      <c r="O14" s="217">
        <f>135900+6183+321172</f>
        <v>463255</v>
      </c>
      <c r="P14" s="217"/>
      <c r="Q14" s="214">
        <f t="shared" si="1"/>
        <v>463255</v>
      </c>
      <c r="R14" s="231">
        <f>7806+107410+1</f>
        <v>115217</v>
      </c>
      <c r="S14" s="199">
        <v>367.01</v>
      </c>
      <c r="T14" s="199">
        <v>7806</v>
      </c>
      <c r="U14" s="211">
        <v>308</v>
      </c>
      <c r="V14" s="211">
        <v>107410</v>
      </c>
      <c r="W14" s="211">
        <v>369.81</v>
      </c>
      <c r="X14" s="211">
        <v>1</v>
      </c>
    </row>
    <row r="15" spans="1:24" ht="15" thickBot="1" x14ac:dyDescent="0.35">
      <c r="A15" s="39">
        <v>562.33000000000004</v>
      </c>
      <c r="B15" s="82" t="s">
        <v>95</v>
      </c>
      <c r="C15" s="15">
        <v>272478</v>
      </c>
      <c r="D15" s="14">
        <f t="shared" si="2"/>
        <v>272478</v>
      </c>
      <c r="E15" s="231"/>
      <c r="F15" s="257">
        <v>224101</v>
      </c>
      <c r="G15" s="228"/>
      <c r="H15" s="231">
        <v>20000</v>
      </c>
      <c r="I15" s="219"/>
      <c r="J15" s="217"/>
      <c r="K15" s="217"/>
      <c r="L15" s="217"/>
      <c r="M15" s="9">
        <f t="shared" si="0"/>
        <v>0</v>
      </c>
      <c r="N15" s="217"/>
      <c r="O15" s="217"/>
      <c r="P15" s="217"/>
      <c r="Q15" s="214">
        <f t="shared" si="1"/>
        <v>0</v>
      </c>
      <c r="R15" s="231">
        <v>28377</v>
      </c>
      <c r="S15" s="199">
        <v>308</v>
      </c>
      <c r="T15" s="199">
        <v>28377</v>
      </c>
      <c r="U15" s="211"/>
      <c r="V15" s="211"/>
      <c r="W15" s="211"/>
      <c r="X15" s="211"/>
    </row>
    <row r="16" spans="1:24" ht="15" thickBot="1" x14ac:dyDescent="0.35">
      <c r="A16" s="39">
        <v>562.34</v>
      </c>
      <c r="B16" s="40" t="s">
        <v>51</v>
      </c>
      <c r="C16" s="15">
        <v>1154768</v>
      </c>
      <c r="D16" s="14">
        <f t="shared" si="2"/>
        <v>1154768</v>
      </c>
      <c r="E16" s="231"/>
      <c r="F16" s="257"/>
      <c r="G16" s="228"/>
      <c r="H16" s="231">
        <v>82758</v>
      </c>
      <c r="I16" s="219"/>
      <c r="J16" s="217">
        <v>972644</v>
      </c>
      <c r="K16" s="217"/>
      <c r="L16" s="217"/>
      <c r="M16" s="9">
        <f t="shared" si="0"/>
        <v>972644</v>
      </c>
      <c r="N16" s="217"/>
      <c r="O16" s="217">
        <f>67201+9671+22494</f>
        <v>99366</v>
      </c>
      <c r="P16" s="217"/>
      <c r="Q16" s="214">
        <f t="shared" si="1"/>
        <v>99366</v>
      </c>
      <c r="R16" s="231"/>
      <c r="T16" s="213"/>
      <c r="U16" s="211"/>
      <c r="V16" s="211"/>
      <c r="W16" s="211"/>
      <c r="X16" s="211"/>
    </row>
    <row r="17" spans="1:24" ht="15" thickBot="1" x14ac:dyDescent="0.35">
      <c r="A17" s="39">
        <v>562.35</v>
      </c>
      <c r="B17" s="40" t="s">
        <v>52</v>
      </c>
      <c r="C17" s="15">
        <v>341628</v>
      </c>
      <c r="D17" s="14">
        <f t="shared" si="2"/>
        <v>341628</v>
      </c>
      <c r="E17" s="231">
        <v>69475</v>
      </c>
      <c r="F17" s="257">
        <v>36687</v>
      </c>
      <c r="G17" s="228"/>
      <c r="H17" s="231">
        <v>227525</v>
      </c>
      <c r="I17" s="219"/>
      <c r="J17" s="217"/>
      <c r="K17" s="217"/>
      <c r="L17" s="217"/>
      <c r="M17" s="9">
        <f t="shared" si="0"/>
        <v>0</v>
      </c>
      <c r="N17" s="217"/>
      <c r="O17" s="217">
        <v>3296</v>
      </c>
      <c r="P17" s="217"/>
      <c r="Q17" s="214">
        <f t="shared" si="1"/>
        <v>3296</v>
      </c>
      <c r="R17" s="231">
        <v>4645</v>
      </c>
      <c r="S17" s="199">
        <v>308</v>
      </c>
      <c r="T17" s="199">
        <v>4645</v>
      </c>
      <c r="U17" s="211"/>
      <c r="V17" s="211"/>
      <c r="W17" s="211"/>
      <c r="X17" s="211"/>
    </row>
    <row r="18" spans="1:24" ht="15" thickBot="1" x14ac:dyDescent="0.35">
      <c r="A18" s="39">
        <v>562.39</v>
      </c>
      <c r="B18" s="40" t="s">
        <v>53</v>
      </c>
      <c r="C18" s="15">
        <v>774703</v>
      </c>
      <c r="D18" s="14">
        <f t="shared" si="2"/>
        <v>774703</v>
      </c>
      <c r="E18" s="231"/>
      <c r="F18" s="257">
        <v>687627</v>
      </c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>
        <v>6</v>
      </c>
      <c r="P18" s="217"/>
      <c r="Q18" s="214">
        <f t="shared" si="1"/>
        <v>6</v>
      </c>
      <c r="R18" s="231">
        <v>87070</v>
      </c>
      <c r="S18" s="199">
        <v>308</v>
      </c>
      <c r="T18" s="199">
        <v>87070</v>
      </c>
      <c r="U18" s="211"/>
      <c r="V18" s="211"/>
      <c r="W18" s="211"/>
      <c r="X18" s="211"/>
    </row>
    <row r="19" spans="1:24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  <c r="T19" s="199"/>
      <c r="U19" s="211"/>
      <c r="V19" s="211"/>
      <c r="W19" s="211"/>
      <c r="X19" s="211"/>
    </row>
    <row r="20" spans="1:24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  <c r="W20" s="211"/>
      <c r="X20" s="211"/>
    </row>
    <row r="21" spans="1:24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  <c r="T21" s="199"/>
      <c r="U21" s="211"/>
      <c r="V21" s="211"/>
      <c r="W21" s="211"/>
      <c r="X21" s="211"/>
    </row>
    <row r="22" spans="1:24" ht="15" thickBot="1" x14ac:dyDescent="0.35">
      <c r="A22" s="39">
        <v>562.44000000000005</v>
      </c>
      <c r="B22" s="82" t="s">
        <v>97</v>
      </c>
      <c r="C22" s="15">
        <v>419901</v>
      </c>
      <c r="D22" s="14">
        <f t="shared" si="2"/>
        <v>419901</v>
      </c>
      <c r="E22" s="231">
        <v>3809</v>
      </c>
      <c r="F22" s="257">
        <v>330781</v>
      </c>
      <c r="G22" s="228"/>
      <c r="H22" s="231">
        <v>43426</v>
      </c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>
        <v>41885</v>
      </c>
      <c r="S22" s="199">
        <v>308</v>
      </c>
      <c r="T22" s="199">
        <v>41885</v>
      </c>
      <c r="U22" s="211"/>
      <c r="V22" s="211"/>
      <c r="W22" s="211"/>
      <c r="X22" s="211"/>
    </row>
    <row r="23" spans="1:24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  <c r="W23" s="211"/>
      <c r="X23" s="211"/>
    </row>
    <row r="24" spans="1:24" ht="15" thickBot="1" x14ac:dyDescent="0.35">
      <c r="A24" s="39">
        <v>562.49</v>
      </c>
      <c r="B24" s="82" t="s">
        <v>87</v>
      </c>
      <c r="C24" s="15">
        <v>30934</v>
      </c>
      <c r="D24" s="14">
        <f t="shared" si="2"/>
        <v>30934</v>
      </c>
      <c r="E24" s="231"/>
      <c r="F24" s="257">
        <v>5765</v>
      </c>
      <c r="G24" s="228"/>
      <c r="H24" s="231">
        <v>24439</v>
      </c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>
        <v>730</v>
      </c>
      <c r="S24" s="199">
        <v>308</v>
      </c>
      <c r="T24" s="199">
        <v>730</v>
      </c>
      <c r="U24" s="211"/>
      <c r="V24" s="211"/>
      <c r="W24" s="211"/>
      <c r="X24" s="211"/>
    </row>
    <row r="25" spans="1:24" ht="15" thickBot="1" x14ac:dyDescent="0.35">
      <c r="A25" s="39">
        <v>562.52</v>
      </c>
      <c r="B25" s="40" t="s">
        <v>56</v>
      </c>
      <c r="C25" s="15">
        <v>107103</v>
      </c>
      <c r="D25" s="14">
        <f t="shared" si="2"/>
        <v>107103</v>
      </c>
      <c r="E25" s="231"/>
      <c r="F25" s="257"/>
      <c r="G25" s="228">
        <v>21333</v>
      </c>
      <c r="H25" s="231"/>
      <c r="I25" s="219"/>
      <c r="J25" s="217"/>
      <c r="K25" s="217"/>
      <c r="L25" s="217"/>
      <c r="M25" s="9">
        <f t="shared" si="0"/>
        <v>0</v>
      </c>
      <c r="N25" s="217"/>
      <c r="O25" s="217">
        <f>3600+3600</f>
        <v>7200</v>
      </c>
      <c r="P25" s="217"/>
      <c r="Q25" s="214">
        <f t="shared" si="1"/>
        <v>7200</v>
      </c>
      <c r="R25" s="231">
        <v>78570</v>
      </c>
      <c r="S25" s="199">
        <v>308</v>
      </c>
      <c r="T25" s="199">
        <v>78570</v>
      </c>
      <c r="U25" s="211"/>
      <c r="V25" s="211"/>
      <c r="W25" s="211"/>
      <c r="X25" s="211"/>
    </row>
    <row r="26" spans="1:24" ht="15" thickBot="1" x14ac:dyDescent="0.35">
      <c r="A26" s="39">
        <v>562.53</v>
      </c>
      <c r="B26" s="82" t="s">
        <v>99</v>
      </c>
      <c r="C26" s="15">
        <v>1238014</v>
      </c>
      <c r="D26" s="14">
        <f t="shared" si="2"/>
        <v>1238014</v>
      </c>
      <c r="E26" s="231"/>
      <c r="F26" s="257"/>
      <c r="G26" s="228">
        <v>413841</v>
      </c>
      <c r="H26" s="231"/>
      <c r="I26" s="219"/>
      <c r="J26" s="217"/>
      <c r="K26" s="217"/>
      <c r="L26" s="217"/>
      <c r="M26" s="9">
        <f t="shared" si="0"/>
        <v>0</v>
      </c>
      <c r="N26" s="217">
        <v>70700</v>
      </c>
      <c r="O26" s="217">
        <f>9660+3192+754000</f>
        <v>766852</v>
      </c>
      <c r="P26" s="217"/>
      <c r="Q26" s="214">
        <f t="shared" si="1"/>
        <v>837552</v>
      </c>
      <c r="R26" s="231">
        <f>49069-62448</f>
        <v>-13379</v>
      </c>
      <c r="S26" s="199">
        <v>308</v>
      </c>
      <c r="T26" s="199">
        <v>-62448</v>
      </c>
      <c r="U26" s="211">
        <v>369.9</v>
      </c>
      <c r="V26" s="211">
        <v>49069</v>
      </c>
      <c r="W26" s="211"/>
      <c r="X26" s="211"/>
    </row>
    <row r="27" spans="1:24" ht="15" thickBot="1" x14ac:dyDescent="0.35">
      <c r="A27" s="39">
        <v>562.54</v>
      </c>
      <c r="B27" s="82" t="s">
        <v>100</v>
      </c>
      <c r="C27" s="15">
        <v>856554</v>
      </c>
      <c r="D27" s="14">
        <f t="shared" si="2"/>
        <v>856554</v>
      </c>
      <c r="E27" s="231"/>
      <c r="F27" s="257"/>
      <c r="G27" s="228">
        <v>48220</v>
      </c>
      <c r="H27" s="231"/>
      <c r="I27" s="219"/>
      <c r="J27" s="217"/>
      <c r="K27" s="217"/>
      <c r="L27" s="217"/>
      <c r="M27" s="9">
        <f t="shared" si="0"/>
        <v>0</v>
      </c>
      <c r="N27" s="217">
        <f>44458+588088</f>
        <v>632546</v>
      </c>
      <c r="O27" s="217">
        <v>208005</v>
      </c>
      <c r="P27" s="217"/>
      <c r="Q27" s="214">
        <f t="shared" si="1"/>
        <v>840551</v>
      </c>
      <c r="R27" s="231">
        <f>1577-33794</f>
        <v>-32217</v>
      </c>
      <c r="S27" s="199">
        <v>308</v>
      </c>
      <c r="T27" s="199">
        <v>33794</v>
      </c>
      <c r="U27" s="211"/>
      <c r="V27" s="211"/>
      <c r="W27" s="211"/>
      <c r="X27" s="211"/>
    </row>
    <row r="28" spans="1:24" ht="15" thickBot="1" x14ac:dyDescent="0.35">
      <c r="A28" s="39">
        <v>562.54999999999995</v>
      </c>
      <c r="B28" s="40" t="s">
        <v>57</v>
      </c>
      <c r="C28" s="15"/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  <c r="T28" s="199"/>
      <c r="U28" s="211"/>
      <c r="V28" s="211"/>
      <c r="W28" s="211"/>
      <c r="X28" s="211"/>
    </row>
    <row r="29" spans="1:24" ht="15" thickBot="1" x14ac:dyDescent="0.35">
      <c r="A29" s="39">
        <v>562.55999999999995</v>
      </c>
      <c r="B29" s="40" t="s">
        <v>58</v>
      </c>
      <c r="C29" s="15">
        <v>2122211</v>
      </c>
      <c r="D29" s="14">
        <f t="shared" si="2"/>
        <v>2122211</v>
      </c>
      <c r="E29" s="231"/>
      <c r="F29" s="257"/>
      <c r="G29" s="228"/>
      <c r="H29" s="231"/>
      <c r="I29" s="219"/>
      <c r="J29" s="217"/>
      <c r="K29" s="217"/>
      <c r="L29" s="217"/>
      <c r="M29" s="9">
        <f t="shared" si="0"/>
        <v>0</v>
      </c>
      <c r="N29" s="217">
        <v>2136960</v>
      </c>
      <c r="O29" s="217">
        <v>105727</v>
      </c>
      <c r="P29" s="217"/>
      <c r="Q29" s="214">
        <f t="shared" si="1"/>
        <v>2242687</v>
      </c>
      <c r="R29" s="231">
        <v>-120476</v>
      </c>
      <c r="S29" s="199">
        <v>308</v>
      </c>
      <c r="T29" s="199">
        <v>120476</v>
      </c>
      <c r="U29" s="211"/>
      <c r="V29" s="211"/>
      <c r="W29" s="211"/>
      <c r="X29" s="211"/>
    </row>
    <row r="30" spans="1:24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  <c r="T30" s="199"/>
      <c r="U30" s="211"/>
      <c r="V30" s="211"/>
      <c r="W30" s="211"/>
      <c r="X30" s="211"/>
    </row>
    <row r="31" spans="1:24" ht="15" thickBot="1" x14ac:dyDescent="0.35">
      <c r="A31" s="39">
        <v>562.58000000000004</v>
      </c>
      <c r="B31" s="82" t="s">
        <v>88</v>
      </c>
      <c r="C31" s="15">
        <v>276642</v>
      </c>
      <c r="D31" s="14">
        <f t="shared" si="2"/>
        <v>276642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v>236890</v>
      </c>
      <c r="O31" s="217">
        <v>65961</v>
      </c>
      <c r="P31" s="217"/>
      <c r="Q31" s="214">
        <f t="shared" si="1"/>
        <v>302851</v>
      </c>
      <c r="R31" s="231">
        <v>-26209</v>
      </c>
      <c r="S31" s="199">
        <v>308</v>
      </c>
      <c r="T31" s="199">
        <v>-26209</v>
      </c>
      <c r="U31" s="211"/>
      <c r="V31" s="211"/>
      <c r="W31" s="211"/>
      <c r="X31" s="211"/>
    </row>
    <row r="32" spans="1:24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  <c r="T32" s="199"/>
      <c r="U32" s="211"/>
      <c r="V32" s="211"/>
      <c r="W32" s="211"/>
      <c r="X32" s="211"/>
    </row>
    <row r="33" spans="1:24" ht="15" thickBot="1" x14ac:dyDescent="0.35">
      <c r="A33" s="39">
        <v>562.6</v>
      </c>
      <c r="B33" s="40" t="s">
        <v>59</v>
      </c>
      <c r="C33" s="15">
        <v>17728</v>
      </c>
      <c r="D33" s="14">
        <f t="shared" si="2"/>
        <v>17728</v>
      </c>
      <c r="E33" s="231">
        <v>3234</v>
      </c>
      <c r="F33" s="257">
        <v>12865</v>
      </c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>
        <v>1629</v>
      </c>
      <c r="S33" s="199">
        <v>308</v>
      </c>
      <c r="T33" s="199">
        <v>1629</v>
      </c>
      <c r="U33" s="211"/>
      <c r="V33" s="211"/>
      <c r="W33" s="211"/>
      <c r="X33" s="211"/>
    </row>
    <row r="34" spans="1:24" ht="15" thickBot="1" x14ac:dyDescent="0.35">
      <c r="A34" s="39">
        <v>562.71</v>
      </c>
      <c r="B34" s="40" t="s">
        <v>60</v>
      </c>
      <c r="C34" s="15">
        <v>320017</v>
      </c>
      <c r="D34" s="14">
        <f t="shared" si="2"/>
        <v>320017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f>136+320647</f>
        <v>320783</v>
      </c>
      <c r="P34" s="217"/>
      <c r="Q34" s="214">
        <f t="shared" si="1"/>
        <v>320783</v>
      </c>
      <c r="R34" s="231">
        <f>44-810</f>
        <v>-766</v>
      </c>
      <c r="S34" s="199">
        <v>369.8</v>
      </c>
      <c r="T34" s="199">
        <v>44</v>
      </c>
      <c r="U34" s="211">
        <v>308</v>
      </c>
      <c r="V34" s="211">
        <v>-810</v>
      </c>
      <c r="W34" s="211"/>
      <c r="X34" s="211"/>
    </row>
    <row r="35" spans="1:24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T35" s="199"/>
      <c r="U35" s="211"/>
      <c r="V35" s="211"/>
      <c r="W35" s="211"/>
      <c r="X35" s="211"/>
    </row>
    <row r="36" spans="1:24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  <c r="T36" s="199"/>
      <c r="U36" s="211"/>
      <c r="V36" s="211"/>
      <c r="W36" s="211"/>
      <c r="X36" s="211"/>
    </row>
    <row r="37" spans="1:24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  <c r="U37" s="211"/>
      <c r="V37" s="211"/>
      <c r="W37" s="211"/>
      <c r="X37" s="211"/>
    </row>
    <row r="38" spans="1:24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  <c r="W38" s="211"/>
      <c r="X38" s="211"/>
    </row>
    <row r="39" spans="1:24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  <c r="W39" s="211"/>
      <c r="X39" s="211"/>
    </row>
    <row r="40" spans="1:24" ht="15" thickBot="1" x14ac:dyDescent="0.35">
      <c r="A40" s="39">
        <v>562.79999999999995</v>
      </c>
      <c r="B40" s="40" t="s">
        <v>65</v>
      </c>
      <c r="C40" s="15">
        <v>644546</v>
      </c>
      <c r="D40" s="14">
        <f t="shared" si="2"/>
        <v>644546</v>
      </c>
      <c r="E40" s="231"/>
      <c r="F40" s="257">
        <v>572104</v>
      </c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>
        <v>72442</v>
      </c>
      <c r="S40" s="199">
        <v>308</v>
      </c>
      <c r="T40" s="199">
        <v>72442</v>
      </c>
      <c r="U40" s="211"/>
      <c r="V40" s="211"/>
      <c r="W40" s="211"/>
      <c r="X40" s="211"/>
    </row>
    <row r="41" spans="1:24" ht="15" thickBot="1" x14ac:dyDescent="0.35">
      <c r="A41" s="39">
        <v>562.88</v>
      </c>
      <c r="B41" s="82" t="s">
        <v>91</v>
      </c>
      <c r="C41" s="15">
        <v>835270</v>
      </c>
      <c r="D41" s="14">
        <f t="shared" si="2"/>
        <v>835270</v>
      </c>
      <c r="E41" s="231"/>
      <c r="F41" s="257">
        <v>71993</v>
      </c>
      <c r="G41" s="228"/>
      <c r="H41" s="231">
        <f>32469+713327</f>
        <v>745796</v>
      </c>
      <c r="I41" s="219">
        <v>8365</v>
      </c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>
        <v>9116</v>
      </c>
      <c r="S41" s="199">
        <v>308</v>
      </c>
      <c r="T41" s="199">
        <v>9116</v>
      </c>
      <c r="U41" s="211"/>
      <c r="V41" s="211"/>
      <c r="W41" s="211"/>
      <c r="X41" s="211"/>
    </row>
    <row r="42" spans="1:24" ht="15" thickBot="1" x14ac:dyDescent="0.35">
      <c r="A42" s="39">
        <v>562.9</v>
      </c>
      <c r="B42" s="40" t="s">
        <v>66</v>
      </c>
      <c r="C42" s="15">
        <v>17471</v>
      </c>
      <c r="D42" s="14">
        <f t="shared" si="2"/>
        <v>17471</v>
      </c>
      <c r="E42" s="231"/>
      <c r="F42" s="257">
        <v>7753</v>
      </c>
      <c r="G42" s="228"/>
      <c r="H42" s="231"/>
      <c r="I42" s="219">
        <v>8736</v>
      </c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>
        <v>982</v>
      </c>
      <c r="S42" s="199">
        <v>308</v>
      </c>
      <c r="T42" s="199">
        <v>982</v>
      </c>
      <c r="U42" s="211"/>
      <c r="V42" s="211"/>
      <c r="W42" s="211"/>
      <c r="X42" s="211"/>
    </row>
    <row r="43" spans="1:24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  <c r="U43" s="211"/>
      <c r="V43" s="211"/>
      <c r="W43" s="211"/>
      <c r="X43" s="211"/>
    </row>
    <row r="44" spans="1:24" x14ac:dyDescent="0.3">
      <c r="A44" s="206" t="s">
        <v>110</v>
      </c>
      <c r="B44" s="207" t="s">
        <v>68</v>
      </c>
      <c r="C44" s="208">
        <f>SUM(C5:C43)</f>
        <v>15855098</v>
      </c>
      <c r="D44" s="205">
        <f>E44+F44+G44+H44+I44+M44+Q44+R44</f>
        <v>17135654</v>
      </c>
      <c r="E44" s="233">
        <f t="shared" ref="E44:R44" si="3">SUM(E5:E43)</f>
        <v>76518</v>
      </c>
      <c r="F44" s="259">
        <f t="shared" si="3"/>
        <v>3423167</v>
      </c>
      <c r="G44" s="223">
        <f t="shared" si="3"/>
        <v>483394</v>
      </c>
      <c r="H44" s="233">
        <f t="shared" si="3"/>
        <v>3084253</v>
      </c>
      <c r="I44" s="239">
        <f t="shared" si="3"/>
        <v>277752</v>
      </c>
      <c r="J44" s="245">
        <f>SUM(J5:J43)</f>
        <v>3153200</v>
      </c>
      <c r="K44" s="245">
        <f>SUM(K5:K43)</f>
        <v>0</v>
      </c>
      <c r="L44" s="245">
        <f>SUM(L5:L43)</f>
        <v>0</v>
      </c>
      <c r="M44" s="208">
        <f t="shared" si="3"/>
        <v>3153200</v>
      </c>
      <c r="N44" s="245">
        <f>SUM(N5:N43)</f>
        <v>3077096</v>
      </c>
      <c r="O44" s="245">
        <f>SUM(O5:O43)</f>
        <v>2515906</v>
      </c>
      <c r="P44" s="245">
        <f>SUM(P5:P43)</f>
        <v>0</v>
      </c>
      <c r="Q44" s="216">
        <f t="shared" si="3"/>
        <v>5593002</v>
      </c>
      <c r="R44" s="233">
        <f t="shared" si="3"/>
        <v>1044368</v>
      </c>
      <c r="T44" s="199"/>
      <c r="U44" s="211"/>
      <c r="V44" s="211"/>
      <c r="W44" s="211"/>
      <c r="X44" s="211"/>
    </row>
    <row r="45" spans="1:24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  <c r="W45" s="211"/>
      <c r="X45" s="211"/>
    </row>
    <row r="46" spans="1:24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  <c r="W46" s="211"/>
      <c r="X46" s="211"/>
    </row>
    <row r="47" spans="1:24" ht="15" thickBot="1" x14ac:dyDescent="0.35">
      <c r="A47" s="39">
        <v>527.70000000000005</v>
      </c>
      <c r="B47" s="40" t="s">
        <v>154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T47" s="199"/>
      <c r="U47" s="211"/>
      <c r="V47" s="211"/>
      <c r="W47" s="211"/>
      <c r="X47" s="211"/>
    </row>
    <row r="48" spans="1:24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  <c r="W48" s="211"/>
      <c r="X48" s="211"/>
    </row>
    <row r="49" spans="1:24" ht="15" thickBot="1" x14ac:dyDescent="0.35">
      <c r="A49" s="39">
        <v>554</v>
      </c>
      <c r="B49" s="82" t="s">
        <v>102</v>
      </c>
      <c r="C49" s="15">
        <v>123172</v>
      </c>
      <c r="D49" s="14">
        <f t="shared" si="2"/>
        <v>123172</v>
      </c>
      <c r="E49" s="231"/>
      <c r="F49" s="257">
        <v>10124</v>
      </c>
      <c r="G49" s="228">
        <v>100359</v>
      </c>
      <c r="H49" s="231"/>
      <c r="I49" s="219">
        <v>11407</v>
      </c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>
        <v>1282</v>
      </c>
      <c r="S49" s="199">
        <v>308</v>
      </c>
      <c r="T49" s="199">
        <v>1282</v>
      </c>
      <c r="U49" s="211"/>
      <c r="V49" s="211"/>
      <c r="W49" s="211"/>
      <c r="X49" s="211"/>
    </row>
    <row r="50" spans="1:24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  <c r="W50" s="211"/>
      <c r="X50" s="211"/>
    </row>
    <row r="51" spans="1:24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  <c r="W51" s="211"/>
      <c r="X51" s="211"/>
    </row>
    <row r="52" spans="1:24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  <c r="W52" s="211"/>
      <c r="X52" s="211"/>
    </row>
    <row r="53" spans="1:24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  <c r="T53" s="199"/>
      <c r="U53" s="211"/>
      <c r="V53" s="211"/>
      <c r="W53" s="211"/>
      <c r="X53" s="211"/>
    </row>
    <row r="54" spans="1:24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  <c r="U54" s="211"/>
      <c r="V54" s="211"/>
      <c r="W54" s="211"/>
      <c r="X54" s="211"/>
    </row>
    <row r="55" spans="1:24" x14ac:dyDescent="0.3">
      <c r="A55" s="41">
        <v>500</v>
      </c>
      <c r="B55" s="32" t="s">
        <v>118</v>
      </c>
      <c r="C55" s="18">
        <v>467321</v>
      </c>
      <c r="D55" s="20">
        <f t="shared" si="2"/>
        <v>467321</v>
      </c>
      <c r="E55" s="232"/>
      <c r="F55" s="258"/>
      <c r="G55" s="229">
        <v>178595</v>
      </c>
      <c r="H55" s="232">
        <v>282120</v>
      </c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>
        <v>6606</v>
      </c>
      <c r="S55" s="199">
        <v>367.01</v>
      </c>
      <c r="T55" s="199">
        <v>6606</v>
      </c>
      <c r="U55" s="211"/>
      <c r="V55" s="211"/>
      <c r="W55" s="211"/>
      <c r="X55" s="211"/>
    </row>
    <row r="56" spans="1:24" ht="15" thickBot="1" x14ac:dyDescent="0.35">
      <c r="A56" s="107"/>
      <c r="B56" s="108" t="s">
        <v>80</v>
      </c>
      <c r="C56" s="111">
        <f>SUM(C44:C55)</f>
        <v>16445591</v>
      </c>
      <c r="D56" s="110">
        <f>E56+F56+G56+H56+I56+M56+Q56+R56</f>
        <v>17726147</v>
      </c>
      <c r="E56" s="235">
        <f t="shared" ref="E56:R56" si="4">SUM(E44:E55)</f>
        <v>76518</v>
      </c>
      <c r="F56" s="260">
        <f t="shared" si="4"/>
        <v>3433291</v>
      </c>
      <c r="G56" s="225">
        <f t="shared" si="4"/>
        <v>762348</v>
      </c>
      <c r="H56" s="235">
        <f t="shared" si="4"/>
        <v>3366373</v>
      </c>
      <c r="I56" s="240">
        <f t="shared" si="4"/>
        <v>289159</v>
      </c>
      <c r="J56" s="218">
        <f>SUM(J44:J55)</f>
        <v>3153200</v>
      </c>
      <c r="K56" s="218">
        <f>SUM(K44:K55)</f>
        <v>0</v>
      </c>
      <c r="L56" s="218">
        <f>SUM(L44:L55)</f>
        <v>0</v>
      </c>
      <c r="M56" s="209">
        <f t="shared" si="4"/>
        <v>3153200</v>
      </c>
      <c r="N56" s="218">
        <f>SUM(N44:N55)</f>
        <v>3077096</v>
      </c>
      <c r="O56" s="218">
        <f>SUM(O44:O55)</f>
        <v>2515906</v>
      </c>
      <c r="P56" s="218">
        <f>SUM(P44:P55)</f>
        <v>0</v>
      </c>
      <c r="Q56" s="218">
        <f t="shared" si="4"/>
        <v>5593002</v>
      </c>
      <c r="R56" s="235">
        <f t="shared" si="4"/>
        <v>1052256</v>
      </c>
      <c r="T56" s="199"/>
      <c r="U56" s="211"/>
      <c r="V56" s="211"/>
      <c r="W56" s="211"/>
      <c r="X56" s="211"/>
    </row>
    <row r="57" spans="1:24" ht="15" thickTop="1" x14ac:dyDescent="0.3"/>
    <row r="58" spans="1:24" ht="15" thickBot="1" x14ac:dyDescent="0.35"/>
    <row r="59" spans="1:24" ht="15" thickBot="1" x14ac:dyDescent="0.35">
      <c r="B59" s="42" t="s">
        <v>109</v>
      </c>
      <c r="C59" s="43"/>
      <c r="D59" s="44"/>
    </row>
    <row r="60" spans="1:24" ht="15" thickTop="1" x14ac:dyDescent="0.3">
      <c r="B60" s="115"/>
      <c r="C60" s="116" t="s">
        <v>82</v>
      </c>
      <c r="D60" s="117" t="s">
        <v>78</v>
      </c>
    </row>
    <row r="61" spans="1:24" x14ac:dyDescent="0.3">
      <c r="B61" s="153" t="s">
        <v>108</v>
      </c>
      <c r="C61" s="45"/>
      <c r="D61" s="46"/>
    </row>
    <row r="62" spans="1:24" x14ac:dyDescent="0.3">
      <c r="B62" s="26" t="s">
        <v>3</v>
      </c>
      <c r="C62" s="47">
        <f>E56</f>
        <v>76518</v>
      </c>
      <c r="D62" s="48">
        <f>E56/D56</f>
        <v>4.316674119875007E-3</v>
      </c>
    </row>
    <row r="63" spans="1:24" x14ac:dyDescent="0.3">
      <c r="B63" s="26" t="s">
        <v>4</v>
      </c>
      <c r="C63" s="49">
        <f>F56</f>
        <v>3433291</v>
      </c>
      <c r="D63" s="48">
        <f>F56/D56</f>
        <v>0.19368512514310077</v>
      </c>
    </row>
    <row r="64" spans="1:24" x14ac:dyDescent="0.3">
      <c r="B64" s="56" t="s">
        <v>79</v>
      </c>
      <c r="C64" s="50">
        <f>G56</f>
        <v>762348</v>
      </c>
      <c r="D64" s="51">
        <f>G56/D56</f>
        <v>4.3006977207173107E-2</v>
      </c>
    </row>
    <row r="65" spans="2:4" ht="15" thickBot="1" x14ac:dyDescent="0.35">
      <c r="B65" s="146" t="s">
        <v>115</v>
      </c>
      <c r="C65" s="52">
        <f>SUM(C62:C64)</f>
        <v>4272157</v>
      </c>
      <c r="D65" s="53">
        <f>SUM(D62:D64)</f>
        <v>0.2410087764701489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3366373</v>
      </c>
      <c r="D67" s="25">
        <f>H56/D56</f>
        <v>0.18991002387602901</v>
      </c>
    </row>
    <row r="68" spans="2:4" x14ac:dyDescent="0.3">
      <c r="B68" s="57" t="s">
        <v>7</v>
      </c>
      <c r="C68" s="27">
        <f>I56</f>
        <v>289159</v>
      </c>
      <c r="D68" s="28">
        <f>I56/D56</f>
        <v>1.6312569223306112E-2</v>
      </c>
    </row>
    <row r="69" spans="2:4" ht="15" thickBot="1" x14ac:dyDescent="0.35">
      <c r="B69" s="146" t="s">
        <v>116</v>
      </c>
      <c r="C69" s="52">
        <f>SUM(C67:C68)</f>
        <v>3655532</v>
      </c>
      <c r="D69" s="53">
        <f>SUM(D67:D68)</f>
        <v>0.20622259309933513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3153200</v>
      </c>
      <c r="D71" s="25">
        <f>M56/D56</f>
        <v>0.1778841166103384</v>
      </c>
    </row>
    <row r="72" spans="2:4" x14ac:dyDescent="0.3">
      <c r="B72" s="24" t="s">
        <v>8</v>
      </c>
      <c r="C72" s="23">
        <f>Q56</f>
        <v>5593002</v>
      </c>
      <c r="D72" s="25">
        <f>Q56/D56</f>
        <v>0.31552271342441196</v>
      </c>
    </row>
    <row r="73" spans="2:4" x14ac:dyDescent="0.3">
      <c r="B73" s="163" t="s">
        <v>83</v>
      </c>
      <c r="C73" s="27">
        <f>R56</f>
        <v>1052256</v>
      </c>
      <c r="D73" s="28">
        <f>R56/D56</f>
        <v>5.9361800395765642E-2</v>
      </c>
    </row>
    <row r="74" spans="2:4" ht="15" thickBot="1" x14ac:dyDescent="0.35">
      <c r="B74" s="146" t="s">
        <v>117</v>
      </c>
      <c r="C74" s="52">
        <f>SUM(C71:C73)</f>
        <v>9798458</v>
      </c>
      <c r="D74" s="53">
        <f>SUM(D71:D73)</f>
        <v>0.55276863043051605</v>
      </c>
    </row>
    <row r="75" spans="2:4" ht="15" thickBot="1" x14ac:dyDescent="0.35">
      <c r="B75" s="157" t="s">
        <v>80</v>
      </c>
      <c r="C75" s="158">
        <f>C65+C69+C74</f>
        <v>17726147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53" priority="7">
      <formula>ROW()=EVEN(ROW())</formula>
    </cfRule>
  </conditionalFormatting>
  <conditionalFormatting sqref="A55:B55">
    <cfRule type="expression" dxfId="52" priority="5">
      <formula>ROW()=EVEN(ROW())</formula>
    </cfRule>
  </conditionalFormatting>
  <conditionalFormatting sqref="A54:B54">
    <cfRule type="expression" dxfId="51" priority="4">
      <formula>ROW()=EVEN(ROW())</formula>
    </cfRule>
  </conditionalFormatting>
  <conditionalFormatting sqref="M45:M55">
    <cfRule type="expression" dxfId="50" priority="3">
      <formula>ROW()=EVEN(ROW())</formula>
    </cfRule>
  </conditionalFormatting>
  <conditionalFormatting sqref="D45:D55">
    <cfRule type="expression" dxfId="49" priority="2">
      <formula>ROW()=EVEN(ROW())</formula>
    </cfRule>
  </conditionalFormatting>
  <conditionalFormatting sqref="N44:P55">
    <cfRule type="expression" dxfId="48" priority="1">
      <formula>ROW()=EVEN(ROW())</formula>
    </cfRule>
  </conditionalFormatting>
  <printOptions horizontalCentered="1"/>
  <pageMargins left="0" right="0" top="1.1000000000000001" bottom="0.5" header="0.3" footer="0.3"/>
  <pageSetup scale="59" fitToHeight="0" orientation="landscape" r:id="rId1"/>
  <headerFooter>
    <oddHeader>&amp;C&amp;"-,Bold"&amp;20Funding by Expenditure Code and Revenue Source&amp;"-,Regular"&amp;11
&amp;"-,Bold"&amp;20 2014&amp;"-,Regular"&amp;11
&amp;"-,Bold"&amp;20SNOHOMISH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88"/>
  <sheetViews>
    <sheetView showZeros="0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9.5546875" style="200" bestFit="1" customWidth="1"/>
  </cols>
  <sheetData>
    <row r="1" spans="1:26" x14ac:dyDescent="0.3">
      <c r="A1" s="22" t="s">
        <v>150</v>
      </c>
      <c r="B1" s="6"/>
      <c r="C1" s="31">
        <v>484500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6" x14ac:dyDescent="0.3">
      <c r="A2" s="80" t="s">
        <v>44</v>
      </c>
      <c r="B2" s="5"/>
      <c r="C2" s="83">
        <v>188.31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6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6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  <c r="W4" s="202" t="s">
        <v>153</v>
      </c>
      <c r="X4" s="203" t="s">
        <v>82</v>
      </c>
      <c r="Y4" s="202" t="s">
        <v>153</v>
      </c>
      <c r="Z4" s="203" t="s">
        <v>82</v>
      </c>
    </row>
    <row r="5" spans="1:26" ht="15" thickBot="1" x14ac:dyDescent="0.35">
      <c r="A5" s="36">
        <v>562.1</v>
      </c>
      <c r="B5" s="37" t="s">
        <v>47</v>
      </c>
      <c r="C5" s="16">
        <v>755084</v>
      </c>
      <c r="D5" s="14">
        <f>E5+F5+G5+H5+I5+M5+Q5+R5</f>
        <v>755085</v>
      </c>
      <c r="E5" s="236">
        <v>0</v>
      </c>
      <c r="F5" s="256">
        <v>277386</v>
      </c>
      <c r="G5" s="227"/>
      <c r="H5" s="236">
        <v>10768</v>
      </c>
      <c r="I5" s="241">
        <v>269521</v>
      </c>
      <c r="J5" s="214"/>
      <c r="K5" s="214"/>
      <c r="L5" s="214"/>
      <c r="M5" s="9">
        <f>SUM(J5:L5)</f>
        <v>0</v>
      </c>
      <c r="N5" s="214"/>
      <c r="O5" s="214">
        <v>7476</v>
      </c>
      <c r="P5" s="214"/>
      <c r="Q5" s="214">
        <f>SUM(N5:P5)</f>
        <v>7476</v>
      </c>
      <c r="R5" s="236">
        <f>104832+52020+5017+28065</f>
        <v>189934</v>
      </c>
      <c r="S5" s="199">
        <v>362</v>
      </c>
      <c r="T5" s="199">
        <v>104832</v>
      </c>
      <c r="U5" s="211">
        <v>361</v>
      </c>
      <c r="V5" s="211">
        <v>52020</v>
      </c>
      <c r="W5" s="211">
        <v>367</v>
      </c>
      <c r="X5" s="211">
        <v>5017</v>
      </c>
      <c r="Y5" s="211">
        <v>369</v>
      </c>
      <c r="Z5" s="211">
        <v>28065</v>
      </c>
    </row>
    <row r="6" spans="1:26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  <c r="U6" s="211"/>
      <c r="V6" s="211"/>
      <c r="W6" s="211"/>
      <c r="X6" s="211"/>
      <c r="Y6" s="211"/>
      <c r="Z6" s="211"/>
    </row>
    <row r="7" spans="1:26" ht="15" thickBot="1" x14ac:dyDescent="0.35">
      <c r="A7" s="39">
        <v>562.22</v>
      </c>
      <c r="B7" s="82" t="s">
        <v>92</v>
      </c>
      <c r="C7" s="15">
        <v>1407598</v>
      </c>
      <c r="D7" s="14">
        <f t="shared" ref="D7:D55" si="2">E7+F7+G7+H7+I7+M7+Q7+R7</f>
        <v>1407598</v>
      </c>
      <c r="E7" s="231"/>
      <c r="F7" s="257">
        <v>482211</v>
      </c>
      <c r="G7" s="228"/>
      <c r="H7" s="231">
        <f>749617+159120</f>
        <v>908737</v>
      </c>
      <c r="I7" s="219"/>
      <c r="J7" s="217"/>
      <c r="K7" s="217"/>
      <c r="L7" s="217"/>
      <c r="M7" s="9">
        <f t="shared" si="0"/>
        <v>0</v>
      </c>
      <c r="N7" s="217"/>
      <c r="O7" s="217"/>
      <c r="P7" s="217"/>
      <c r="Q7" s="214">
        <f t="shared" si="1"/>
        <v>0</v>
      </c>
      <c r="R7" s="231">
        <v>16650</v>
      </c>
      <c r="S7" s="199">
        <v>367</v>
      </c>
      <c r="T7" s="199">
        <v>16650</v>
      </c>
      <c r="U7" s="211"/>
      <c r="V7" s="211"/>
      <c r="W7" s="211"/>
      <c r="X7" s="211"/>
      <c r="Y7" s="211"/>
      <c r="Z7" s="211"/>
    </row>
    <row r="8" spans="1:26" ht="15" thickBot="1" x14ac:dyDescent="0.35">
      <c r="A8" s="39">
        <v>562.24</v>
      </c>
      <c r="B8" s="40" t="s">
        <v>49</v>
      </c>
      <c r="C8" s="15">
        <v>128774</v>
      </c>
      <c r="D8" s="14">
        <f t="shared" si="2"/>
        <v>128775</v>
      </c>
      <c r="E8" s="231">
        <v>22625</v>
      </c>
      <c r="F8" s="257">
        <v>82072</v>
      </c>
      <c r="G8" s="228"/>
      <c r="H8" s="231">
        <v>22625</v>
      </c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>
        <v>1453</v>
      </c>
      <c r="S8" s="199">
        <v>367</v>
      </c>
      <c r="T8" s="199">
        <v>1453</v>
      </c>
      <c r="U8" s="211"/>
      <c r="V8" s="211"/>
      <c r="W8" s="211"/>
      <c r="X8" s="211"/>
      <c r="Y8" s="211"/>
      <c r="Z8" s="211"/>
    </row>
    <row r="9" spans="1:26" ht="15" thickBot="1" x14ac:dyDescent="0.35">
      <c r="A9" s="39">
        <v>562.25</v>
      </c>
      <c r="B9" s="82" t="s">
        <v>93</v>
      </c>
      <c r="C9" s="15">
        <v>4000373</v>
      </c>
      <c r="D9" s="14">
        <f t="shared" si="2"/>
        <v>4000373</v>
      </c>
      <c r="E9" s="231">
        <v>1000</v>
      </c>
      <c r="F9" s="257">
        <v>463236</v>
      </c>
      <c r="G9" s="228">
        <v>2683711</v>
      </c>
      <c r="H9" s="231">
        <f>25456+204577</f>
        <v>230033</v>
      </c>
      <c r="I9" s="219">
        <v>612043</v>
      </c>
      <c r="J9" s="217"/>
      <c r="K9" s="217"/>
      <c r="L9" s="217"/>
      <c r="M9" s="9">
        <f t="shared" si="0"/>
        <v>0</v>
      </c>
      <c r="N9" s="217"/>
      <c r="O9" s="217">
        <v>350</v>
      </c>
      <c r="P9" s="217"/>
      <c r="Q9" s="214">
        <f t="shared" si="1"/>
        <v>350</v>
      </c>
      <c r="R9" s="231">
        <v>10000</v>
      </c>
      <c r="S9" s="199">
        <v>367</v>
      </c>
      <c r="T9" s="199">
        <v>10000</v>
      </c>
      <c r="U9" s="211"/>
      <c r="V9" s="211"/>
      <c r="W9" s="211"/>
      <c r="X9" s="211"/>
      <c r="Y9" s="211"/>
      <c r="Z9" s="211"/>
    </row>
    <row r="10" spans="1:26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T10" s="199"/>
      <c r="U10" s="211"/>
      <c r="V10" s="211"/>
      <c r="W10" s="211"/>
      <c r="X10" s="211"/>
      <c r="Y10" s="211"/>
      <c r="Z10" s="211"/>
    </row>
    <row r="11" spans="1:26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T11" s="199"/>
      <c r="U11" s="211"/>
      <c r="V11" s="211"/>
      <c r="W11" s="211"/>
      <c r="X11" s="211"/>
      <c r="Y11" s="211"/>
      <c r="Z11" s="211"/>
    </row>
    <row r="12" spans="1:26" ht="15" thickBot="1" x14ac:dyDescent="0.35">
      <c r="A12" s="39">
        <v>562.28</v>
      </c>
      <c r="B12" s="82" t="s">
        <v>94</v>
      </c>
      <c r="C12" s="15">
        <v>2380026</v>
      </c>
      <c r="D12" s="14">
        <f t="shared" si="2"/>
        <v>2380026</v>
      </c>
      <c r="E12" s="231"/>
      <c r="F12" s="257">
        <v>198949</v>
      </c>
      <c r="G12" s="228"/>
      <c r="H12" s="231">
        <f>2179191+1616</f>
        <v>2180807</v>
      </c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>
        <v>270</v>
      </c>
      <c r="S12" s="199">
        <v>367</v>
      </c>
      <c r="T12" s="199">
        <v>270</v>
      </c>
      <c r="U12" s="211"/>
      <c r="V12" s="211"/>
      <c r="W12" s="211"/>
      <c r="X12" s="211"/>
      <c r="Y12" s="211"/>
      <c r="Z12" s="211"/>
    </row>
    <row r="13" spans="1:26" ht="15" thickBot="1" x14ac:dyDescent="0.35">
      <c r="A13" s="39">
        <v>562.29</v>
      </c>
      <c r="B13" s="82" t="s">
        <v>86</v>
      </c>
      <c r="C13" s="15"/>
      <c r="D13" s="14">
        <f t="shared" si="2"/>
        <v>0</v>
      </c>
      <c r="E13" s="231"/>
      <c r="F13" s="257"/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/>
      <c r="P13" s="217"/>
      <c r="Q13" s="214">
        <f t="shared" si="1"/>
        <v>0</v>
      </c>
      <c r="R13" s="231"/>
      <c r="T13" s="199"/>
      <c r="U13" s="211"/>
      <c r="V13" s="211"/>
      <c r="W13" s="211"/>
      <c r="X13" s="211"/>
      <c r="Y13" s="211"/>
      <c r="Z13" s="211"/>
    </row>
    <row r="14" spans="1:26" ht="15" thickBot="1" x14ac:dyDescent="0.35">
      <c r="A14" s="39">
        <v>562.32000000000005</v>
      </c>
      <c r="B14" s="40" t="s">
        <v>50</v>
      </c>
      <c r="C14" s="15">
        <v>223969</v>
      </c>
      <c r="D14" s="14">
        <f t="shared" si="2"/>
        <v>223970</v>
      </c>
      <c r="E14" s="231">
        <v>-10371</v>
      </c>
      <c r="F14" s="257">
        <v>77095</v>
      </c>
      <c r="G14" s="228"/>
      <c r="H14" s="231">
        <f>86341+2043+5241</f>
        <v>93625</v>
      </c>
      <c r="I14" s="219"/>
      <c r="J14" s="217"/>
      <c r="K14" s="217"/>
      <c r="L14" s="217">
        <v>34570</v>
      </c>
      <c r="M14" s="9">
        <f t="shared" si="0"/>
        <v>34570</v>
      </c>
      <c r="N14" s="217"/>
      <c r="O14" s="217"/>
      <c r="P14" s="217"/>
      <c r="Q14" s="214">
        <f t="shared" si="1"/>
        <v>0</v>
      </c>
      <c r="R14" s="231">
        <v>29051</v>
      </c>
      <c r="S14" s="199">
        <v>367</v>
      </c>
      <c r="T14" s="199">
        <v>29051</v>
      </c>
      <c r="U14" s="211"/>
      <c r="V14" s="211"/>
      <c r="W14" s="211"/>
      <c r="X14" s="211"/>
      <c r="Y14" s="211"/>
      <c r="Z14" s="211"/>
    </row>
    <row r="15" spans="1:26" ht="15" thickBot="1" x14ac:dyDescent="0.35">
      <c r="A15" s="39">
        <v>562.33000000000004</v>
      </c>
      <c r="B15" s="82" t="s">
        <v>95</v>
      </c>
      <c r="C15" s="15">
        <v>22475</v>
      </c>
      <c r="D15" s="14">
        <f t="shared" si="2"/>
        <v>22475</v>
      </c>
      <c r="E15" s="231"/>
      <c r="F15" s="257">
        <v>475</v>
      </c>
      <c r="G15" s="228"/>
      <c r="H15" s="231">
        <v>22000</v>
      </c>
      <c r="I15" s="219"/>
      <c r="J15" s="217"/>
      <c r="K15" s="217"/>
      <c r="L15" s="217"/>
      <c r="M15" s="9">
        <f t="shared" si="0"/>
        <v>0</v>
      </c>
      <c r="N15" s="217"/>
      <c r="O15" s="217"/>
      <c r="P15" s="217"/>
      <c r="Q15" s="214">
        <f t="shared" si="1"/>
        <v>0</v>
      </c>
      <c r="R15" s="231"/>
      <c r="T15" s="199"/>
      <c r="U15" s="211"/>
      <c r="V15" s="211"/>
      <c r="W15" s="211"/>
      <c r="X15" s="211"/>
      <c r="Y15" s="211"/>
      <c r="Z15" s="211"/>
    </row>
    <row r="16" spans="1:26" ht="15" thickBot="1" x14ac:dyDescent="0.35">
      <c r="A16" s="39">
        <v>562.34</v>
      </c>
      <c r="B16" s="40" t="s">
        <v>51</v>
      </c>
      <c r="C16" s="15">
        <v>121283</v>
      </c>
      <c r="D16" s="14">
        <f t="shared" si="2"/>
        <v>121398</v>
      </c>
      <c r="E16" s="231"/>
      <c r="F16" s="257"/>
      <c r="G16" s="228"/>
      <c r="H16" s="231"/>
      <c r="I16" s="219"/>
      <c r="J16" s="217"/>
      <c r="K16" s="217"/>
      <c r="L16" s="217">
        <v>111802</v>
      </c>
      <c r="M16" s="9">
        <f t="shared" si="0"/>
        <v>111802</v>
      </c>
      <c r="N16" s="217"/>
      <c r="O16" s="217">
        <f>646+8950</f>
        <v>9596</v>
      </c>
      <c r="P16" s="217"/>
      <c r="Q16" s="214">
        <f t="shared" si="1"/>
        <v>9596</v>
      </c>
      <c r="R16" s="231"/>
      <c r="T16" s="213"/>
      <c r="U16" s="211"/>
      <c r="V16" s="211"/>
      <c r="W16" s="211"/>
      <c r="X16" s="211"/>
      <c r="Y16" s="211"/>
      <c r="Z16" s="211"/>
    </row>
    <row r="17" spans="1:26" ht="15" thickBot="1" x14ac:dyDescent="0.35">
      <c r="A17" s="39">
        <v>562.35</v>
      </c>
      <c r="B17" s="40" t="s">
        <v>52</v>
      </c>
      <c r="C17" s="15">
        <v>840740</v>
      </c>
      <c r="D17" s="14">
        <f t="shared" si="2"/>
        <v>840740</v>
      </c>
      <c r="E17" s="231">
        <f>154678+31636</f>
        <v>186314</v>
      </c>
      <c r="F17" s="257">
        <v>205519</v>
      </c>
      <c r="G17" s="228"/>
      <c r="H17" s="231">
        <f>224861+111322</f>
        <v>336183</v>
      </c>
      <c r="I17" s="219"/>
      <c r="J17" s="217"/>
      <c r="K17" s="217"/>
      <c r="L17" s="217"/>
      <c r="M17" s="9">
        <f t="shared" si="0"/>
        <v>0</v>
      </c>
      <c r="N17" s="217"/>
      <c r="O17" s="217">
        <v>112431</v>
      </c>
      <c r="P17" s="217"/>
      <c r="Q17" s="214">
        <f t="shared" si="1"/>
        <v>112431</v>
      </c>
      <c r="R17" s="231">
        <v>293</v>
      </c>
      <c r="S17" s="199">
        <v>367</v>
      </c>
      <c r="T17" s="199">
        <v>293</v>
      </c>
      <c r="U17" s="211"/>
      <c r="V17" s="211"/>
      <c r="W17" s="211"/>
      <c r="X17" s="211"/>
      <c r="Y17" s="211"/>
      <c r="Z17" s="211"/>
    </row>
    <row r="18" spans="1:26" ht="15" thickBot="1" x14ac:dyDescent="0.35">
      <c r="A18" s="39">
        <v>562.39</v>
      </c>
      <c r="B18" s="40" t="s">
        <v>53</v>
      </c>
      <c r="C18" s="15"/>
      <c r="D18" s="14">
        <f t="shared" si="2"/>
        <v>0</v>
      </c>
      <c r="E18" s="231"/>
      <c r="F18" s="257"/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/>
      <c r="P18" s="217"/>
      <c r="Q18" s="214">
        <f t="shared" si="1"/>
        <v>0</v>
      </c>
      <c r="R18" s="231"/>
      <c r="T18" s="199"/>
      <c r="U18" s="211"/>
      <c r="V18" s="211"/>
      <c r="W18" s="211"/>
      <c r="X18" s="211"/>
      <c r="Y18" s="211"/>
      <c r="Z18" s="211"/>
    </row>
    <row r="19" spans="1:26" ht="15" thickBot="1" x14ac:dyDescent="0.35">
      <c r="A19" s="39">
        <v>562.41</v>
      </c>
      <c r="B19" s="40" t="s">
        <v>54</v>
      </c>
      <c r="C19" s="15">
        <v>1082957</v>
      </c>
      <c r="D19" s="14">
        <f t="shared" si="2"/>
        <v>1082956</v>
      </c>
      <c r="E19" s="231"/>
      <c r="F19" s="257">
        <v>542240</v>
      </c>
      <c r="G19" s="228"/>
      <c r="H19" s="231">
        <f>87120+6991+176834+48981</f>
        <v>319926</v>
      </c>
      <c r="I19" s="219">
        <f>63095+151068</f>
        <v>214163</v>
      </c>
      <c r="J19" s="217"/>
      <c r="K19" s="217"/>
      <c r="L19" s="217"/>
      <c r="M19" s="9">
        <f t="shared" si="0"/>
        <v>0</v>
      </c>
      <c r="N19" s="217"/>
      <c r="O19" s="217">
        <v>6627</v>
      </c>
      <c r="P19" s="217"/>
      <c r="Q19" s="214">
        <f t="shared" si="1"/>
        <v>6627</v>
      </c>
      <c r="R19" s="231"/>
      <c r="T19" s="199"/>
      <c r="U19" s="211"/>
      <c r="V19" s="211"/>
      <c r="W19" s="211"/>
      <c r="X19" s="211"/>
      <c r="Y19" s="211"/>
      <c r="Z19" s="211"/>
    </row>
    <row r="20" spans="1:26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  <c r="W20" s="211"/>
      <c r="X20" s="211"/>
      <c r="Y20" s="211"/>
      <c r="Z20" s="211"/>
    </row>
    <row r="21" spans="1:26" ht="15" thickBot="1" x14ac:dyDescent="0.35">
      <c r="A21" s="39">
        <v>562.42999999999995</v>
      </c>
      <c r="B21" s="82" t="s">
        <v>96</v>
      </c>
      <c r="C21" s="15">
        <v>508986</v>
      </c>
      <c r="D21" s="14">
        <f t="shared" si="2"/>
        <v>517703</v>
      </c>
      <c r="E21" s="231">
        <f>114422+9526</f>
        <v>123948</v>
      </c>
      <c r="F21" s="257"/>
      <c r="G21" s="228"/>
      <c r="H21" s="231">
        <f>256505+4000+106249</f>
        <v>366754</v>
      </c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>
        <v>27001</v>
      </c>
      <c r="S21" s="199">
        <v>267</v>
      </c>
      <c r="T21" s="199">
        <v>27001</v>
      </c>
      <c r="U21" s="211"/>
      <c r="V21" s="211"/>
      <c r="W21" s="211"/>
      <c r="X21" s="211"/>
      <c r="Y21" s="211"/>
      <c r="Z21" s="211"/>
    </row>
    <row r="22" spans="1:26" ht="15" thickBot="1" x14ac:dyDescent="0.35">
      <c r="A22" s="39">
        <v>562.44000000000005</v>
      </c>
      <c r="B22" s="82" t="s">
        <v>97</v>
      </c>
      <c r="C22" s="15">
        <v>24437</v>
      </c>
      <c r="D22" s="14">
        <f t="shared" si="2"/>
        <v>24438</v>
      </c>
      <c r="E22" s="231">
        <v>5347</v>
      </c>
      <c r="F22" s="257">
        <v>642</v>
      </c>
      <c r="G22" s="228"/>
      <c r="H22" s="231">
        <f>18449</f>
        <v>18449</v>
      </c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  <c r="T22" s="199"/>
      <c r="U22" s="211"/>
      <c r="V22" s="211"/>
      <c r="W22" s="211"/>
      <c r="X22" s="211"/>
      <c r="Y22" s="211"/>
      <c r="Z22" s="211"/>
    </row>
    <row r="23" spans="1:26" ht="15" thickBot="1" x14ac:dyDescent="0.35">
      <c r="A23" s="39">
        <v>562.45000000000005</v>
      </c>
      <c r="B23" s="82" t="s">
        <v>98</v>
      </c>
      <c r="C23" s="15">
        <v>27096</v>
      </c>
      <c r="D23" s="14">
        <f t="shared" si="2"/>
        <v>27877</v>
      </c>
      <c r="E23" s="231">
        <v>27877</v>
      </c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  <c r="W23" s="211"/>
      <c r="X23" s="211"/>
      <c r="Y23" s="211"/>
      <c r="Z23" s="211"/>
    </row>
    <row r="24" spans="1:26" ht="15" thickBot="1" x14ac:dyDescent="0.35">
      <c r="A24" s="39">
        <v>562.49</v>
      </c>
      <c r="B24" s="82" t="s">
        <v>87</v>
      </c>
      <c r="C24" s="15"/>
      <c r="D24" s="14">
        <f t="shared" si="2"/>
        <v>0</v>
      </c>
      <c r="E24" s="231"/>
      <c r="F24" s="257"/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  <c r="T24" s="199"/>
      <c r="U24" s="211"/>
      <c r="V24" s="211"/>
      <c r="W24" s="211"/>
      <c r="X24" s="211"/>
      <c r="Y24" s="211"/>
      <c r="Z24" s="211"/>
    </row>
    <row r="25" spans="1:26" ht="15" thickBot="1" x14ac:dyDescent="0.35">
      <c r="A25" s="39">
        <v>562.52</v>
      </c>
      <c r="B25" s="40" t="s">
        <v>56</v>
      </c>
      <c r="C25" s="15"/>
      <c r="D25" s="14">
        <f t="shared" si="2"/>
        <v>0</v>
      </c>
      <c r="E25" s="231"/>
      <c r="F25" s="257"/>
      <c r="G25" s="228"/>
      <c r="H25" s="231"/>
      <c r="I25" s="219"/>
      <c r="J25" s="217"/>
      <c r="K25" s="217"/>
      <c r="L25" s="217"/>
      <c r="M25" s="9">
        <f t="shared" si="0"/>
        <v>0</v>
      </c>
      <c r="N25" s="217"/>
      <c r="O25" s="217"/>
      <c r="P25" s="217"/>
      <c r="Q25" s="214">
        <f t="shared" si="1"/>
        <v>0</v>
      </c>
      <c r="R25" s="231"/>
      <c r="T25" s="199"/>
      <c r="U25" s="211"/>
      <c r="V25" s="211"/>
      <c r="W25" s="211"/>
      <c r="X25" s="211"/>
      <c r="Y25" s="211"/>
      <c r="Z25" s="211"/>
    </row>
    <row r="26" spans="1:26" ht="15" thickBot="1" x14ac:dyDescent="0.35">
      <c r="A26" s="39">
        <v>562.53</v>
      </c>
      <c r="B26" s="82" t="s">
        <v>99</v>
      </c>
      <c r="C26" s="15">
        <v>568487</v>
      </c>
      <c r="D26" s="14">
        <f t="shared" si="2"/>
        <v>568487</v>
      </c>
      <c r="E26" s="231"/>
      <c r="F26" s="257">
        <v>22238</v>
      </c>
      <c r="G26" s="228">
        <v>317134</v>
      </c>
      <c r="H26" s="231"/>
      <c r="I26" s="219"/>
      <c r="J26" s="217"/>
      <c r="K26" s="217"/>
      <c r="L26" s="217"/>
      <c r="M26" s="9">
        <f t="shared" si="0"/>
        <v>0</v>
      </c>
      <c r="N26" s="217">
        <v>229115</v>
      </c>
      <c r="O26" s="217"/>
      <c r="P26" s="217"/>
      <c r="Q26" s="214">
        <f t="shared" si="1"/>
        <v>229115</v>
      </c>
      <c r="R26" s="231"/>
      <c r="T26" s="199"/>
      <c r="U26" s="211"/>
      <c r="V26" s="211"/>
      <c r="W26" s="211"/>
      <c r="X26" s="211"/>
      <c r="Y26" s="211"/>
      <c r="Z26" s="211"/>
    </row>
    <row r="27" spans="1:26" ht="15" thickBot="1" x14ac:dyDescent="0.35">
      <c r="A27" s="39">
        <v>562.54</v>
      </c>
      <c r="B27" s="82" t="s">
        <v>100</v>
      </c>
      <c r="C27" s="15">
        <v>802816</v>
      </c>
      <c r="D27" s="14">
        <f t="shared" si="2"/>
        <v>802816</v>
      </c>
      <c r="E27" s="231"/>
      <c r="F27" s="257">
        <v>229441</v>
      </c>
      <c r="G27" s="228"/>
      <c r="H27" s="231"/>
      <c r="I27" s="219"/>
      <c r="J27" s="217"/>
      <c r="K27" s="217"/>
      <c r="L27" s="217"/>
      <c r="M27" s="9">
        <f t="shared" si="0"/>
        <v>0</v>
      </c>
      <c r="N27" s="217">
        <f>54030+426960</f>
        <v>480990</v>
      </c>
      <c r="O27" s="217">
        <v>92385</v>
      </c>
      <c r="P27" s="217"/>
      <c r="Q27" s="214">
        <f t="shared" si="1"/>
        <v>573375</v>
      </c>
      <c r="R27" s="231"/>
      <c r="T27" s="199"/>
      <c r="U27" s="211"/>
      <c r="V27" s="211"/>
      <c r="W27" s="211"/>
      <c r="X27" s="211"/>
      <c r="Y27" s="211"/>
      <c r="Z27" s="211"/>
    </row>
    <row r="28" spans="1:26" ht="15" thickBot="1" x14ac:dyDescent="0.35">
      <c r="A28" s="39">
        <v>562.54999999999995</v>
      </c>
      <c r="B28" s="40" t="s">
        <v>57</v>
      </c>
      <c r="C28" s="15"/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  <c r="T28" s="199"/>
      <c r="U28" s="211"/>
      <c r="V28" s="211"/>
      <c r="W28" s="211"/>
      <c r="X28" s="211"/>
      <c r="Y28" s="211"/>
      <c r="Z28" s="211"/>
    </row>
    <row r="29" spans="1:26" ht="15" thickBot="1" x14ac:dyDescent="0.35">
      <c r="A29" s="39">
        <v>562.55999999999995</v>
      </c>
      <c r="B29" s="40" t="s">
        <v>58</v>
      </c>
      <c r="C29" s="15">
        <v>1576751</v>
      </c>
      <c r="D29" s="14">
        <f t="shared" si="2"/>
        <v>1650531</v>
      </c>
      <c r="E29" s="231"/>
      <c r="F29" s="257"/>
      <c r="G29" s="228"/>
      <c r="H29" s="231"/>
      <c r="I29" s="219"/>
      <c r="J29" s="217"/>
      <c r="K29" s="217"/>
      <c r="L29" s="217"/>
      <c r="M29" s="9">
        <f t="shared" si="0"/>
        <v>0</v>
      </c>
      <c r="N29" s="217">
        <f>1352235+168156</f>
        <v>1520391</v>
      </c>
      <c r="O29" s="217">
        <v>130140</v>
      </c>
      <c r="P29" s="217"/>
      <c r="Q29" s="214">
        <f t="shared" si="1"/>
        <v>1650531</v>
      </c>
      <c r="R29" s="231"/>
      <c r="T29" s="199"/>
      <c r="U29" s="211"/>
      <c r="V29" s="211"/>
      <c r="W29" s="211"/>
      <c r="X29" s="211"/>
      <c r="Y29" s="211"/>
      <c r="Z29" s="211"/>
    </row>
    <row r="30" spans="1:26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  <c r="T30" s="199"/>
      <c r="U30" s="211"/>
      <c r="V30" s="211"/>
      <c r="W30" s="211"/>
      <c r="X30" s="211"/>
      <c r="Y30" s="211"/>
      <c r="Z30" s="211"/>
    </row>
    <row r="31" spans="1:26" ht="15" thickBot="1" x14ac:dyDescent="0.35">
      <c r="A31" s="39">
        <v>562.58000000000004</v>
      </c>
      <c r="B31" s="82" t="s">
        <v>88</v>
      </c>
      <c r="C31" s="15">
        <v>660389</v>
      </c>
      <c r="D31" s="14">
        <f t="shared" si="2"/>
        <v>660389</v>
      </c>
      <c r="E31" s="231"/>
      <c r="F31" s="257">
        <v>43878</v>
      </c>
      <c r="G31" s="228"/>
      <c r="H31" s="231"/>
      <c r="I31" s="219"/>
      <c r="J31" s="217"/>
      <c r="K31" s="217"/>
      <c r="L31" s="217">
        <v>328146</v>
      </c>
      <c r="M31" s="9">
        <f t="shared" si="0"/>
        <v>328146</v>
      </c>
      <c r="N31" s="217">
        <v>177550</v>
      </c>
      <c r="O31" s="217">
        <v>110815</v>
      </c>
      <c r="P31" s="217"/>
      <c r="Q31" s="214">
        <f t="shared" si="1"/>
        <v>288365</v>
      </c>
      <c r="R31" s="231"/>
      <c r="T31" s="199"/>
      <c r="U31" s="211"/>
      <c r="V31" s="211"/>
      <c r="W31" s="211"/>
      <c r="X31" s="211"/>
      <c r="Y31" s="211"/>
      <c r="Z31" s="211"/>
    </row>
    <row r="32" spans="1:26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  <c r="T32" s="199"/>
      <c r="U32" s="211"/>
      <c r="V32" s="211"/>
      <c r="W32" s="211"/>
      <c r="X32" s="211"/>
      <c r="Y32" s="211"/>
      <c r="Z32" s="211"/>
    </row>
    <row r="33" spans="1:26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  <c r="T33" s="199"/>
      <c r="U33" s="211"/>
      <c r="V33" s="211"/>
      <c r="W33" s="211"/>
      <c r="X33" s="211"/>
      <c r="Y33" s="211"/>
      <c r="Z33" s="211"/>
    </row>
    <row r="34" spans="1:26" ht="15" thickBot="1" x14ac:dyDescent="0.35">
      <c r="A34" s="39">
        <v>562.71</v>
      </c>
      <c r="B34" s="40" t="s">
        <v>60</v>
      </c>
      <c r="C34" s="15">
        <v>383403</v>
      </c>
      <c r="D34" s="14">
        <f t="shared" si="2"/>
        <v>384831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384831</v>
      </c>
      <c r="P34" s="217"/>
      <c r="Q34" s="214">
        <f t="shared" si="1"/>
        <v>384831</v>
      </c>
      <c r="R34" s="231"/>
      <c r="T34" s="199"/>
      <c r="U34" s="211"/>
      <c r="V34" s="211"/>
      <c r="W34" s="211"/>
      <c r="X34" s="211"/>
      <c r="Y34" s="211"/>
      <c r="Z34" s="211"/>
    </row>
    <row r="35" spans="1:26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T35" s="199"/>
      <c r="U35" s="211"/>
      <c r="V35" s="211"/>
      <c r="W35" s="211"/>
      <c r="X35" s="211"/>
      <c r="Y35" s="211"/>
      <c r="Z35" s="211"/>
    </row>
    <row r="36" spans="1:26" ht="15" thickBot="1" x14ac:dyDescent="0.35">
      <c r="A36" s="39">
        <v>562.73</v>
      </c>
      <c r="B36" s="40" t="s">
        <v>62</v>
      </c>
      <c r="C36" s="15">
        <v>195325</v>
      </c>
      <c r="D36" s="14">
        <f t="shared" si="2"/>
        <v>195325</v>
      </c>
      <c r="E36" s="231"/>
      <c r="F36" s="257"/>
      <c r="G36" s="228"/>
      <c r="H36" s="231"/>
      <c r="I36" s="219">
        <v>163227</v>
      </c>
      <c r="J36" s="217"/>
      <c r="K36" s="217"/>
      <c r="L36" s="217">
        <v>32098</v>
      </c>
      <c r="M36" s="9">
        <f t="shared" si="0"/>
        <v>32098</v>
      </c>
      <c r="N36" s="217"/>
      <c r="O36" s="217"/>
      <c r="P36" s="217"/>
      <c r="Q36" s="214">
        <f t="shared" si="1"/>
        <v>0</v>
      </c>
      <c r="R36" s="231"/>
      <c r="T36" s="199"/>
      <c r="U36" s="211"/>
      <c r="V36" s="211"/>
      <c r="W36" s="211"/>
      <c r="X36" s="211"/>
      <c r="Y36" s="211"/>
      <c r="Z36" s="211"/>
    </row>
    <row r="37" spans="1:26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  <c r="U37" s="211"/>
      <c r="V37" s="211"/>
      <c r="W37" s="211"/>
      <c r="X37" s="211"/>
      <c r="Y37" s="211"/>
      <c r="Z37" s="211"/>
    </row>
    <row r="38" spans="1:26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  <c r="W38" s="211"/>
      <c r="X38" s="211"/>
      <c r="Y38" s="211"/>
      <c r="Z38" s="211"/>
    </row>
    <row r="39" spans="1:26" ht="15" thickBot="1" x14ac:dyDescent="0.35">
      <c r="A39" s="39">
        <v>562.79</v>
      </c>
      <c r="B39" s="40" t="s">
        <v>64</v>
      </c>
      <c r="C39" s="15">
        <v>589902</v>
      </c>
      <c r="D39" s="14">
        <f t="shared" si="2"/>
        <v>589902</v>
      </c>
      <c r="E39" s="231"/>
      <c r="F39" s="257"/>
      <c r="G39" s="228"/>
      <c r="H39" s="231"/>
      <c r="I39" s="219"/>
      <c r="J39" s="217"/>
      <c r="K39" s="217"/>
      <c r="L39" s="217">
        <v>589902</v>
      </c>
      <c r="M39" s="9">
        <f t="shared" si="0"/>
        <v>589902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  <c r="W39" s="211"/>
      <c r="X39" s="211"/>
      <c r="Y39" s="211"/>
      <c r="Z39" s="211"/>
    </row>
    <row r="40" spans="1:26" ht="15" thickBot="1" x14ac:dyDescent="0.35">
      <c r="A40" s="39">
        <v>562.79999999999995</v>
      </c>
      <c r="B40" s="40" t="s">
        <v>65</v>
      </c>
      <c r="C40" s="15">
        <v>647880</v>
      </c>
      <c r="D40" s="14">
        <f t="shared" si="2"/>
        <v>647882</v>
      </c>
      <c r="E40" s="231"/>
      <c r="F40" s="257">
        <v>251936</v>
      </c>
      <c r="G40" s="228"/>
      <c r="H40" s="231">
        <f>956+30564</f>
        <v>31520</v>
      </c>
      <c r="I40" s="219"/>
      <c r="J40" s="217"/>
      <c r="K40" s="217"/>
      <c r="L40" s="217">
        <v>335785</v>
      </c>
      <c r="M40" s="9">
        <f t="shared" si="0"/>
        <v>335785</v>
      </c>
      <c r="N40" s="217"/>
      <c r="O40" s="217">
        <f>19334+9307</f>
        <v>28641</v>
      </c>
      <c r="P40" s="217"/>
      <c r="Q40" s="214">
        <f t="shared" si="1"/>
        <v>28641</v>
      </c>
      <c r="R40" s="231"/>
      <c r="T40" s="199"/>
      <c r="U40" s="211"/>
      <c r="V40" s="211"/>
      <c r="W40" s="211"/>
      <c r="X40" s="211"/>
      <c r="Y40" s="211"/>
      <c r="Z40" s="211"/>
    </row>
    <row r="41" spans="1:26" ht="15" thickBot="1" x14ac:dyDescent="0.35">
      <c r="A41" s="39">
        <v>562.88</v>
      </c>
      <c r="B41" s="82" t="s">
        <v>91</v>
      </c>
      <c r="C41" s="15">
        <v>851034</v>
      </c>
      <c r="D41" s="14">
        <f t="shared" si="2"/>
        <v>851033</v>
      </c>
      <c r="E41" s="231"/>
      <c r="F41" s="257"/>
      <c r="G41" s="228"/>
      <c r="H41" s="231">
        <f>500165+253069</f>
        <v>753234</v>
      </c>
      <c r="I41" s="219">
        <f>3500+21179</f>
        <v>24679</v>
      </c>
      <c r="J41" s="217"/>
      <c r="K41" s="217"/>
      <c r="L41" s="217">
        <v>58120</v>
      </c>
      <c r="M41" s="9">
        <f t="shared" si="0"/>
        <v>58120</v>
      </c>
      <c r="N41" s="217"/>
      <c r="O41" s="217">
        <v>15000</v>
      </c>
      <c r="P41" s="217"/>
      <c r="Q41" s="214">
        <f t="shared" si="1"/>
        <v>15000</v>
      </c>
      <c r="R41" s="231"/>
      <c r="T41" s="199"/>
      <c r="U41" s="211"/>
      <c r="V41" s="211"/>
      <c r="W41" s="211"/>
      <c r="X41" s="211"/>
      <c r="Y41" s="211"/>
      <c r="Z41" s="211"/>
    </row>
    <row r="42" spans="1:26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T42" s="199"/>
      <c r="U42" s="211"/>
      <c r="V42" s="211"/>
      <c r="W42" s="211"/>
      <c r="X42" s="211"/>
      <c r="Y42" s="211"/>
      <c r="Z42" s="211"/>
    </row>
    <row r="43" spans="1:26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  <c r="U43" s="211"/>
      <c r="V43" s="211"/>
      <c r="W43" s="211"/>
      <c r="X43" s="211"/>
      <c r="Y43" s="211"/>
      <c r="Z43" s="211"/>
    </row>
    <row r="44" spans="1:26" x14ac:dyDescent="0.3">
      <c r="A44" s="206" t="s">
        <v>110</v>
      </c>
      <c r="B44" s="207" t="s">
        <v>68</v>
      </c>
      <c r="C44" s="208">
        <f>SUM(C5:C43)</f>
        <v>17799785</v>
      </c>
      <c r="D44" s="205">
        <f>E44+F44+G44+H44+I44+M44+Q44+R44</f>
        <v>17884610</v>
      </c>
      <c r="E44" s="233">
        <f t="shared" ref="E44:R44" si="3">SUM(E5:E43)</f>
        <v>356740</v>
      </c>
      <c r="F44" s="259">
        <f t="shared" si="3"/>
        <v>2877318</v>
      </c>
      <c r="G44" s="223">
        <f t="shared" si="3"/>
        <v>3000845</v>
      </c>
      <c r="H44" s="233">
        <f t="shared" si="3"/>
        <v>5294661</v>
      </c>
      <c r="I44" s="239">
        <f t="shared" si="3"/>
        <v>1283633</v>
      </c>
      <c r="J44" s="245">
        <f>SUM(J5:J43)</f>
        <v>0</v>
      </c>
      <c r="K44" s="245">
        <f>SUM(K5:K43)</f>
        <v>0</v>
      </c>
      <c r="L44" s="245">
        <f>SUM(L5:L43)</f>
        <v>1490423</v>
      </c>
      <c r="M44" s="208">
        <f t="shared" si="3"/>
        <v>1490423</v>
      </c>
      <c r="N44" s="245">
        <f>SUM(N5:N43)</f>
        <v>2408046</v>
      </c>
      <c r="O44" s="245">
        <f>SUM(O5:O43)</f>
        <v>898292</v>
      </c>
      <c r="P44" s="245">
        <f>SUM(P5:P43)</f>
        <v>0</v>
      </c>
      <c r="Q44" s="216">
        <f t="shared" si="3"/>
        <v>3306338</v>
      </c>
      <c r="R44" s="233">
        <f t="shared" si="3"/>
        <v>274652</v>
      </c>
      <c r="T44" s="199"/>
      <c r="U44" s="211"/>
      <c r="V44" s="211"/>
      <c r="W44" s="211"/>
      <c r="X44" s="211"/>
      <c r="Y44" s="211"/>
      <c r="Z44" s="211"/>
    </row>
    <row r="45" spans="1:26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  <c r="W45" s="211"/>
      <c r="X45" s="211"/>
      <c r="Y45" s="211"/>
      <c r="Z45" s="211"/>
    </row>
    <row r="46" spans="1:26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  <c r="W46" s="211"/>
      <c r="X46" s="211"/>
      <c r="Y46" s="211"/>
      <c r="Z46" s="211"/>
    </row>
    <row r="47" spans="1:26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T47" s="199"/>
      <c r="U47" s="211"/>
      <c r="V47" s="211"/>
      <c r="W47" s="211"/>
      <c r="X47" s="211"/>
      <c r="Y47" s="211"/>
      <c r="Z47" s="211"/>
    </row>
    <row r="48" spans="1:26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  <c r="W48" s="211"/>
      <c r="X48" s="211"/>
      <c r="Y48" s="211"/>
      <c r="Z48" s="211"/>
    </row>
    <row r="49" spans="1:26" ht="15" thickBot="1" x14ac:dyDescent="0.35">
      <c r="A49" s="39">
        <v>554</v>
      </c>
      <c r="B49" s="82" t="s">
        <v>102</v>
      </c>
      <c r="C49" s="15">
        <v>301522</v>
      </c>
      <c r="D49" s="14">
        <f t="shared" si="2"/>
        <v>301522</v>
      </c>
      <c r="E49" s="231"/>
      <c r="F49" s="257"/>
      <c r="G49" s="228">
        <v>249753</v>
      </c>
      <c r="H49" s="231"/>
      <c r="I49" s="219"/>
      <c r="J49" s="217"/>
      <c r="K49" s="217"/>
      <c r="L49" s="217">
        <v>51769</v>
      </c>
      <c r="M49" s="9">
        <f t="shared" si="0"/>
        <v>51769</v>
      </c>
      <c r="N49" s="217"/>
      <c r="O49" s="217"/>
      <c r="P49" s="217"/>
      <c r="Q49" s="214">
        <f t="shared" si="1"/>
        <v>0</v>
      </c>
      <c r="R49" s="231"/>
      <c r="T49" s="199"/>
      <c r="U49" s="211"/>
      <c r="V49" s="211"/>
      <c r="W49" s="211"/>
      <c r="X49" s="211"/>
      <c r="Y49" s="211"/>
      <c r="Z49" s="211"/>
    </row>
    <row r="50" spans="1:26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  <c r="W50" s="211"/>
      <c r="X50" s="211"/>
      <c r="Y50" s="211"/>
      <c r="Z50" s="211"/>
    </row>
    <row r="51" spans="1:26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  <c r="W51" s="211"/>
      <c r="X51" s="211"/>
      <c r="Y51" s="211"/>
      <c r="Z51" s="211"/>
    </row>
    <row r="52" spans="1:26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  <c r="W52" s="211"/>
      <c r="X52" s="211"/>
      <c r="Y52" s="211"/>
      <c r="Z52" s="211"/>
    </row>
    <row r="53" spans="1:26" ht="15" thickBot="1" x14ac:dyDescent="0.35">
      <c r="A53" s="39">
        <v>566</v>
      </c>
      <c r="B53" s="40" t="s">
        <v>76</v>
      </c>
      <c r="C53" s="15">
        <v>2251657</v>
      </c>
      <c r="D53" s="14">
        <f t="shared" si="2"/>
        <v>2486412</v>
      </c>
      <c r="E53" s="231"/>
      <c r="F53" s="257"/>
      <c r="G53" s="228">
        <v>1264</v>
      </c>
      <c r="H53" s="231"/>
      <c r="I53" s="219">
        <v>7256</v>
      </c>
      <c r="J53" s="217"/>
      <c r="K53" s="217"/>
      <c r="L53" s="217"/>
      <c r="M53" s="9">
        <f t="shared" si="0"/>
        <v>0</v>
      </c>
      <c r="N53" s="217"/>
      <c r="O53" s="217">
        <f>642065+1835827</f>
        <v>2477892</v>
      </c>
      <c r="P53" s="217"/>
      <c r="Q53" s="214">
        <f t="shared" si="1"/>
        <v>2477892</v>
      </c>
      <c r="R53" s="231"/>
      <c r="T53" s="199"/>
      <c r="U53" s="211"/>
      <c r="V53" s="211"/>
      <c r="W53" s="211"/>
      <c r="X53" s="211"/>
      <c r="Y53" s="211"/>
      <c r="Z53" s="211"/>
    </row>
    <row r="54" spans="1:26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  <c r="U54" s="211"/>
      <c r="V54" s="211"/>
      <c r="W54" s="211"/>
      <c r="X54" s="211"/>
      <c r="Y54" s="211"/>
      <c r="Z54" s="211"/>
    </row>
    <row r="55" spans="1:26" x14ac:dyDescent="0.3">
      <c r="A55" s="41">
        <v>500</v>
      </c>
      <c r="B55" s="32" t="s">
        <v>118</v>
      </c>
      <c r="C55" s="18">
        <v>111728</v>
      </c>
      <c r="D55" s="20">
        <f t="shared" si="2"/>
        <v>111728</v>
      </c>
      <c r="E55" s="232">
        <v>23250</v>
      </c>
      <c r="F55" s="258"/>
      <c r="G55" s="229"/>
      <c r="H55" s="232">
        <v>88478</v>
      </c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T55" s="199"/>
      <c r="U55" s="211"/>
      <c r="V55" s="211"/>
      <c r="W55" s="211"/>
      <c r="X55" s="211"/>
      <c r="Y55" s="211"/>
      <c r="Z55" s="211"/>
    </row>
    <row r="56" spans="1:26" ht="15" thickBot="1" x14ac:dyDescent="0.35">
      <c r="A56" s="107"/>
      <c r="B56" s="108" t="s">
        <v>80</v>
      </c>
      <c r="C56" s="111">
        <f>SUM(C44:C55)</f>
        <v>20464692</v>
      </c>
      <c r="D56" s="110">
        <f>E56+F56+G56+H56+I56+M56+Q56+R56</f>
        <v>20784272</v>
      </c>
      <c r="E56" s="235">
        <f t="shared" ref="E56:R56" si="4">SUM(E44:E55)</f>
        <v>379990</v>
      </c>
      <c r="F56" s="260">
        <f t="shared" si="4"/>
        <v>2877318</v>
      </c>
      <c r="G56" s="225">
        <f t="shared" si="4"/>
        <v>3251862</v>
      </c>
      <c r="H56" s="235">
        <f t="shared" si="4"/>
        <v>5383139</v>
      </c>
      <c r="I56" s="240">
        <f t="shared" si="4"/>
        <v>1290889</v>
      </c>
      <c r="J56" s="218">
        <f>SUM(J44:J55)</f>
        <v>0</v>
      </c>
      <c r="K56" s="218">
        <f>SUM(K44:K55)</f>
        <v>0</v>
      </c>
      <c r="L56" s="218">
        <f>SUM(L44:L55)</f>
        <v>1542192</v>
      </c>
      <c r="M56" s="209">
        <f t="shared" si="4"/>
        <v>1542192</v>
      </c>
      <c r="N56" s="218">
        <f>SUM(N44:N55)</f>
        <v>2408046</v>
      </c>
      <c r="O56" s="218">
        <f>SUM(O44:O55)</f>
        <v>3376184</v>
      </c>
      <c r="P56" s="218">
        <f>SUM(P44:P55)</f>
        <v>0</v>
      </c>
      <c r="Q56" s="218">
        <f t="shared" si="4"/>
        <v>5784230</v>
      </c>
      <c r="R56" s="235">
        <f t="shared" si="4"/>
        <v>274652</v>
      </c>
    </row>
    <row r="57" spans="1:26" ht="15" thickTop="1" x14ac:dyDescent="0.3"/>
    <row r="58" spans="1:26" ht="15" thickBot="1" x14ac:dyDescent="0.35"/>
    <row r="59" spans="1:26" ht="15" thickBot="1" x14ac:dyDescent="0.35">
      <c r="B59" s="42" t="s">
        <v>109</v>
      </c>
      <c r="C59" s="43"/>
      <c r="D59" s="44"/>
    </row>
    <row r="60" spans="1:26" ht="15" thickTop="1" x14ac:dyDescent="0.3">
      <c r="B60" s="115"/>
      <c r="C60" s="116" t="s">
        <v>82</v>
      </c>
      <c r="D60" s="117" t="s">
        <v>78</v>
      </c>
    </row>
    <row r="61" spans="1:26" x14ac:dyDescent="0.3">
      <c r="B61" s="153" t="s">
        <v>108</v>
      </c>
      <c r="C61" s="45"/>
      <c r="D61" s="46"/>
    </row>
    <row r="62" spans="1:26" x14ac:dyDescent="0.3">
      <c r="B62" s="26" t="s">
        <v>3</v>
      </c>
      <c r="C62" s="47">
        <f>E56</f>
        <v>379990</v>
      </c>
      <c r="D62" s="48">
        <f>E56/D56</f>
        <v>1.828257443897963E-2</v>
      </c>
    </row>
    <row r="63" spans="1:26" x14ac:dyDescent="0.3">
      <c r="B63" s="26" t="s">
        <v>4</v>
      </c>
      <c r="C63" s="49">
        <f>F56</f>
        <v>2877318</v>
      </c>
      <c r="D63" s="48">
        <f>F56/D56</f>
        <v>0.13843727603256925</v>
      </c>
    </row>
    <row r="64" spans="1:26" x14ac:dyDescent="0.3">
      <c r="B64" s="56" t="s">
        <v>79</v>
      </c>
      <c r="C64" s="50">
        <f>G56</f>
        <v>3251862</v>
      </c>
      <c r="D64" s="51">
        <f>G56/D56</f>
        <v>0.15645782541721934</v>
      </c>
    </row>
    <row r="65" spans="2:4" ht="15" thickBot="1" x14ac:dyDescent="0.35">
      <c r="B65" s="146" t="s">
        <v>115</v>
      </c>
      <c r="C65" s="52">
        <f>SUM(C62:C64)</f>
        <v>6509170</v>
      </c>
      <c r="D65" s="53">
        <f>SUM(D62:D64)</f>
        <v>0.31317767588876821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5383139</v>
      </c>
      <c r="D67" s="25">
        <f>H56/D56</f>
        <v>0.25900060391819352</v>
      </c>
    </row>
    <row r="68" spans="2:4" x14ac:dyDescent="0.3">
      <c r="B68" s="57" t="s">
        <v>7</v>
      </c>
      <c r="C68" s="27">
        <f>I56</f>
        <v>1290889</v>
      </c>
      <c r="D68" s="28">
        <f>I56/D56</f>
        <v>6.2108935063975301E-2</v>
      </c>
    </row>
    <row r="69" spans="2:4" ht="15" thickBot="1" x14ac:dyDescent="0.35">
      <c r="B69" s="146" t="s">
        <v>116</v>
      </c>
      <c r="C69" s="52">
        <f>SUM(C67:C68)</f>
        <v>6674028</v>
      </c>
      <c r="D69" s="53">
        <f>SUM(D67:D68)</f>
        <v>0.32110953898216882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1542192</v>
      </c>
      <c r="D71" s="25">
        <f>M56/D56</f>
        <v>7.4199952733490018E-2</v>
      </c>
    </row>
    <row r="72" spans="2:4" x14ac:dyDescent="0.3">
      <c r="B72" s="24" t="s">
        <v>8</v>
      </c>
      <c r="C72" s="23">
        <f>Q56</f>
        <v>5784230</v>
      </c>
      <c r="D72" s="25">
        <f>Q56/D56</f>
        <v>0.27829841718776582</v>
      </c>
    </row>
    <row r="73" spans="2:4" x14ac:dyDescent="0.3">
      <c r="B73" s="163" t="s">
        <v>83</v>
      </c>
      <c r="C73" s="27">
        <f>R56</f>
        <v>274652</v>
      </c>
      <c r="D73" s="28">
        <f>R56/D56</f>
        <v>1.3214415207807135E-2</v>
      </c>
    </row>
    <row r="74" spans="2:4" ht="15" thickBot="1" x14ac:dyDescent="0.35">
      <c r="B74" s="146" t="s">
        <v>117</v>
      </c>
      <c r="C74" s="52">
        <f>SUM(C71:C73)</f>
        <v>7601074</v>
      </c>
      <c r="D74" s="53">
        <f>SUM(D71:D73)</f>
        <v>0.36571278512906297</v>
      </c>
    </row>
    <row r="75" spans="2:4" ht="15" thickBot="1" x14ac:dyDescent="0.35">
      <c r="B75" s="157" t="s">
        <v>80</v>
      </c>
      <c r="C75" s="158">
        <f>C65+C69+C74</f>
        <v>20784272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47" priority="7">
      <formula>ROW()=EVEN(ROW())</formula>
    </cfRule>
  </conditionalFormatting>
  <conditionalFormatting sqref="A55:B55">
    <cfRule type="expression" dxfId="46" priority="5">
      <formula>ROW()=EVEN(ROW())</formula>
    </cfRule>
  </conditionalFormatting>
  <conditionalFormatting sqref="A54:B54">
    <cfRule type="expression" dxfId="45" priority="4">
      <formula>ROW()=EVEN(ROW())</formula>
    </cfRule>
  </conditionalFormatting>
  <conditionalFormatting sqref="M45:M55">
    <cfRule type="expression" dxfId="44" priority="3">
      <formula>ROW()=EVEN(ROW())</formula>
    </cfRule>
  </conditionalFormatting>
  <conditionalFormatting sqref="D45:D55">
    <cfRule type="expression" dxfId="43" priority="2">
      <formula>ROW()=EVEN(ROW())</formula>
    </cfRule>
  </conditionalFormatting>
  <conditionalFormatting sqref="N44:P55">
    <cfRule type="expression" dxfId="42" priority="1">
      <formula>ROW()=EVEN(ROW())</formula>
    </cfRule>
  </conditionalFormatting>
  <printOptions horizontalCentered="1"/>
  <pageMargins left="0" right="0" top="1.1000000000000001" bottom="0.5" header="0.3" footer="0.3"/>
  <pageSetup scale="59" fitToHeight="0" orientation="landscape" r:id="rId1"/>
  <headerFooter>
    <oddHeader>&amp;C&amp;"-,Bold"&amp;20Funding by Expenditure Code and Revenue Source&amp;"-,Regular"&amp;11
&amp;"-,Bold"&amp;20 2014&amp;"-,Regular"&amp;11
&amp;"-,Bold"&amp;20SPOKANE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88"/>
  <sheetViews>
    <sheetView showZeros="0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9.5546875" style="200" bestFit="1" customWidth="1"/>
  </cols>
  <sheetData>
    <row r="1" spans="1:24" x14ac:dyDescent="0.3">
      <c r="A1" s="22" t="s">
        <v>150</v>
      </c>
      <c r="B1" s="6"/>
      <c r="C1" s="31">
        <v>821300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4" x14ac:dyDescent="0.3">
      <c r="A2" s="80" t="s">
        <v>44</v>
      </c>
      <c r="B2" s="5"/>
      <c r="C2" s="83">
        <v>240.45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4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4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  <c r="W4" s="202" t="s">
        <v>153</v>
      </c>
      <c r="X4" s="203" t="s">
        <v>82</v>
      </c>
    </row>
    <row r="5" spans="1:24" ht="15" thickBot="1" x14ac:dyDescent="0.35">
      <c r="A5" s="36">
        <v>562.1</v>
      </c>
      <c r="B5" s="37" t="s">
        <v>47</v>
      </c>
      <c r="C5" s="16">
        <v>436374</v>
      </c>
      <c r="D5" s="14">
        <f>E5+F5+G5+H5+I5+M5+Q5+R5</f>
        <v>471258</v>
      </c>
      <c r="E5" s="236">
        <v>0</v>
      </c>
      <c r="F5" s="256">
        <v>63895</v>
      </c>
      <c r="G5" s="227">
        <v>50000</v>
      </c>
      <c r="H5" s="236">
        <v>203439</v>
      </c>
      <c r="I5" s="241">
        <v>0</v>
      </c>
      <c r="J5" s="214"/>
      <c r="K5" s="214"/>
      <c r="L5" s="214">
        <f>18255+44242</f>
        <v>62497</v>
      </c>
      <c r="M5" s="9">
        <f>SUM(J5:L5)</f>
        <v>62497</v>
      </c>
      <c r="N5" s="214"/>
      <c r="O5" s="214"/>
      <c r="P5" s="214"/>
      <c r="Q5" s="214">
        <f>SUM(N5:P5)</f>
        <v>0</v>
      </c>
      <c r="R5" s="236">
        <f>79500+11927</f>
        <v>91427</v>
      </c>
      <c r="S5" s="199">
        <v>367.11</v>
      </c>
      <c r="T5" s="199">
        <v>79500</v>
      </c>
      <c r="U5" s="211">
        <v>369.9</v>
      </c>
      <c r="V5" s="211">
        <v>11927</v>
      </c>
      <c r="W5" s="211"/>
      <c r="X5" s="211"/>
    </row>
    <row r="6" spans="1:24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  <c r="U6" s="211"/>
      <c r="V6" s="211"/>
      <c r="W6" s="211"/>
      <c r="X6" s="211"/>
    </row>
    <row r="7" spans="1:24" ht="15" thickBot="1" x14ac:dyDescent="0.35">
      <c r="A7" s="39">
        <v>562.22</v>
      </c>
      <c r="B7" s="82" t="s">
        <v>92</v>
      </c>
      <c r="C7" s="15">
        <v>3148406</v>
      </c>
      <c r="D7" s="14">
        <f t="shared" ref="D7:D55" si="2">E7+F7+G7+H7+I7+M7+Q7+R7</f>
        <v>3161877</v>
      </c>
      <c r="E7" s="231">
        <v>12500</v>
      </c>
      <c r="F7" s="257">
        <v>120318</v>
      </c>
      <c r="G7" s="228">
        <f>146967+257833+80000</f>
        <v>484800</v>
      </c>
      <c r="H7" s="231">
        <f>2965+160546+12000+325770+507722</f>
        <v>1009003</v>
      </c>
      <c r="I7" s="219"/>
      <c r="J7" s="217"/>
      <c r="K7" s="217"/>
      <c r="L7" s="217">
        <f>516165+100000+211750</f>
        <v>827915</v>
      </c>
      <c r="M7" s="9">
        <f t="shared" si="0"/>
        <v>827915</v>
      </c>
      <c r="N7" s="217"/>
      <c r="O7" s="217">
        <f>41155+606449</f>
        <v>647604</v>
      </c>
      <c r="P7" s="217"/>
      <c r="Q7" s="214">
        <f t="shared" si="1"/>
        <v>647604</v>
      </c>
      <c r="R7" s="231">
        <f>13600+46107+30</f>
        <v>59737</v>
      </c>
      <c r="S7" s="199">
        <v>367.11</v>
      </c>
      <c r="T7" s="199">
        <v>13600</v>
      </c>
      <c r="U7" s="211">
        <v>367.11</v>
      </c>
      <c r="V7" s="211">
        <v>46107</v>
      </c>
      <c r="W7" s="211">
        <v>369.9</v>
      </c>
      <c r="X7" s="211">
        <v>30</v>
      </c>
    </row>
    <row r="8" spans="1:24" ht="15" thickBot="1" x14ac:dyDescent="0.35">
      <c r="A8" s="39">
        <v>562.24</v>
      </c>
      <c r="B8" s="40" t="s">
        <v>49</v>
      </c>
      <c r="C8" s="15">
        <v>257328</v>
      </c>
      <c r="D8" s="14">
        <f t="shared" si="2"/>
        <v>212173</v>
      </c>
      <c r="E8" s="231"/>
      <c r="F8" s="257">
        <v>84768</v>
      </c>
      <c r="G8" s="228">
        <v>29625</v>
      </c>
      <c r="H8" s="231">
        <v>67467</v>
      </c>
      <c r="I8" s="219"/>
      <c r="J8" s="217"/>
      <c r="K8" s="217"/>
      <c r="L8" s="217">
        <v>30313</v>
      </c>
      <c r="M8" s="9">
        <f t="shared" si="0"/>
        <v>30313</v>
      </c>
      <c r="N8" s="217"/>
      <c r="O8" s="217"/>
      <c r="P8" s="217"/>
      <c r="Q8" s="214">
        <f t="shared" si="1"/>
        <v>0</v>
      </c>
      <c r="R8" s="231"/>
      <c r="T8" s="199"/>
      <c r="U8" s="211"/>
      <c r="V8" s="211"/>
      <c r="W8" s="211"/>
      <c r="X8" s="211"/>
    </row>
    <row r="9" spans="1:24" ht="15" thickBot="1" x14ac:dyDescent="0.35">
      <c r="A9" s="39">
        <v>562.25</v>
      </c>
      <c r="B9" s="82" t="s">
        <v>93</v>
      </c>
      <c r="C9" s="15"/>
      <c r="D9" s="14">
        <f t="shared" si="2"/>
        <v>0</v>
      </c>
      <c r="E9" s="231"/>
      <c r="F9" s="257"/>
      <c r="G9" s="228"/>
      <c r="H9" s="231"/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  <c r="T9" s="199"/>
      <c r="U9" s="211"/>
      <c r="V9" s="211"/>
      <c r="W9" s="211"/>
      <c r="X9" s="211"/>
    </row>
    <row r="10" spans="1:24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T10" s="199"/>
      <c r="U10" s="211"/>
      <c r="V10" s="211"/>
      <c r="W10" s="211"/>
      <c r="X10" s="211"/>
    </row>
    <row r="11" spans="1:24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T11" s="199"/>
      <c r="U11" s="211"/>
      <c r="V11" s="211"/>
      <c r="W11" s="211"/>
      <c r="X11" s="211"/>
    </row>
    <row r="12" spans="1:24" ht="15" thickBot="1" x14ac:dyDescent="0.35">
      <c r="A12" s="39">
        <v>562.28</v>
      </c>
      <c r="B12" s="82" t="s">
        <v>94</v>
      </c>
      <c r="C12" s="15"/>
      <c r="D12" s="14">
        <f t="shared" si="2"/>
        <v>0</v>
      </c>
      <c r="E12" s="231"/>
      <c r="F12" s="257"/>
      <c r="G12" s="228"/>
      <c r="H12" s="231"/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  <c r="T12" s="199"/>
      <c r="U12" s="211"/>
      <c r="V12" s="211"/>
      <c r="W12" s="211"/>
      <c r="X12" s="211"/>
    </row>
    <row r="13" spans="1:24" ht="15" thickBot="1" x14ac:dyDescent="0.35">
      <c r="A13" s="39">
        <v>562.29</v>
      </c>
      <c r="B13" s="82" t="s">
        <v>86</v>
      </c>
      <c r="C13" s="15">
        <v>1719213</v>
      </c>
      <c r="D13" s="14">
        <f t="shared" si="2"/>
        <v>1719213</v>
      </c>
      <c r="E13" s="231"/>
      <c r="F13" s="257">
        <v>528706</v>
      </c>
      <c r="G13" s="228"/>
      <c r="H13" s="231">
        <f>26120+278609</f>
        <v>304729</v>
      </c>
      <c r="I13" s="219"/>
      <c r="J13" s="217"/>
      <c r="K13" s="217"/>
      <c r="L13" s="217">
        <f>380048+55790+43000+406940</f>
        <v>885778</v>
      </c>
      <c r="M13" s="9">
        <f t="shared" si="0"/>
        <v>885778</v>
      </c>
      <c r="N13" s="217"/>
      <c r="O13" s="217"/>
      <c r="P13" s="217"/>
      <c r="Q13" s="214">
        <f t="shared" si="1"/>
        <v>0</v>
      </c>
      <c r="R13" s="231"/>
      <c r="T13" s="199"/>
      <c r="U13" s="211"/>
      <c r="V13" s="211"/>
      <c r="W13" s="211"/>
      <c r="X13" s="211"/>
    </row>
    <row r="14" spans="1:24" ht="15" thickBot="1" x14ac:dyDescent="0.35">
      <c r="A14" s="39">
        <v>562.32000000000005</v>
      </c>
      <c r="B14" s="40" t="s">
        <v>50</v>
      </c>
      <c r="C14" s="15">
        <v>613529</v>
      </c>
      <c r="D14" s="14">
        <f t="shared" si="2"/>
        <v>613528</v>
      </c>
      <c r="E14" s="231"/>
      <c r="F14" s="257">
        <v>410938</v>
      </c>
      <c r="G14" s="228"/>
      <c r="H14" s="231">
        <f>171031+29440</f>
        <v>200471</v>
      </c>
      <c r="I14" s="219"/>
      <c r="J14" s="217"/>
      <c r="K14" s="217"/>
      <c r="L14" s="217"/>
      <c r="M14" s="9">
        <f t="shared" si="0"/>
        <v>0</v>
      </c>
      <c r="N14" s="217"/>
      <c r="O14" s="217">
        <v>2119</v>
      </c>
      <c r="P14" s="217"/>
      <c r="Q14" s="214">
        <f t="shared" si="1"/>
        <v>2119</v>
      </c>
      <c r="R14" s="231"/>
      <c r="T14" s="199"/>
      <c r="U14" s="211"/>
      <c r="V14" s="211"/>
      <c r="W14" s="211"/>
      <c r="X14" s="211"/>
    </row>
    <row r="15" spans="1:24" ht="15" thickBot="1" x14ac:dyDescent="0.35">
      <c r="A15" s="39">
        <v>562.33000000000004</v>
      </c>
      <c r="B15" s="82" t="s">
        <v>95</v>
      </c>
      <c r="C15" s="15">
        <v>542255</v>
      </c>
      <c r="D15" s="14">
        <f t="shared" si="2"/>
        <v>542255</v>
      </c>
      <c r="E15" s="231"/>
      <c r="F15" s="257"/>
      <c r="G15" s="228"/>
      <c r="H15" s="231">
        <v>84000</v>
      </c>
      <c r="I15" s="219"/>
      <c r="J15" s="217"/>
      <c r="K15" s="217"/>
      <c r="L15" s="217">
        <f>385561+37000+35554</f>
        <v>458115</v>
      </c>
      <c r="M15" s="9">
        <f t="shared" si="0"/>
        <v>458115</v>
      </c>
      <c r="N15" s="217"/>
      <c r="O15" s="217"/>
      <c r="P15" s="217"/>
      <c r="Q15" s="214">
        <f t="shared" si="1"/>
        <v>0</v>
      </c>
      <c r="R15" s="231">
        <v>140</v>
      </c>
      <c r="S15" s="199">
        <v>369.9</v>
      </c>
      <c r="T15" s="199">
        <v>140</v>
      </c>
      <c r="U15" s="211"/>
      <c r="V15" s="211"/>
      <c r="W15" s="211"/>
      <c r="X15" s="211"/>
    </row>
    <row r="16" spans="1:24" ht="15" thickBot="1" x14ac:dyDescent="0.35">
      <c r="A16" s="39">
        <v>562.34</v>
      </c>
      <c r="B16" s="40" t="s">
        <v>51</v>
      </c>
      <c r="C16" s="15">
        <v>505249</v>
      </c>
      <c r="D16" s="14">
        <f t="shared" si="2"/>
        <v>505249</v>
      </c>
      <c r="E16" s="231"/>
      <c r="F16" s="257"/>
      <c r="G16" s="228"/>
      <c r="H16" s="231">
        <v>75862</v>
      </c>
      <c r="I16" s="219">
        <f>60165+4675</f>
        <v>64840</v>
      </c>
      <c r="J16" s="217"/>
      <c r="K16" s="217"/>
      <c r="L16" s="217">
        <f>272164+48000+44383</f>
        <v>364547</v>
      </c>
      <c r="M16" s="9">
        <f t="shared" si="0"/>
        <v>364547</v>
      </c>
      <c r="N16" s="217"/>
      <c r="O16" s="217"/>
      <c r="P16" s="217"/>
      <c r="Q16" s="214">
        <f t="shared" si="1"/>
        <v>0</v>
      </c>
      <c r="R16" s="231"/>
      <c r="T16" s="213"/>
      <c r="U16" s="211"/>
      <c r="V16" s="211"/>
      <c r="W16" s="211"/>
      <c r="X16" s="211"/>
    </row>
    <row r="17" spans="1:24" ht="15" thickBot="1" x14ac:dyDescent="0.35">
      <c r="A17" s="39">
        <v>562.35</v>
      </c>
      <c r="B17" s="40" t="s">
        <v>52</v>
      </c>
      <c r="C17" s="15">
        <v>703656</v>
      </c>
      <c r="D17" s="14">
        <f t="shared" si="2"/>
        <v>703657</v>
      </c>
      <c r="E17" s="231">
        <v>235011</v>
      </c>
      <c r="F17" s="257"/>
      <c r="G17" s="228"/>
      <c r="H17" s="231">
        <v>270141</v>
      </c>
      <c r="I17" s="219"/>
      <c r="J17" s="217"/>
      <c r="K17" s="217"/>
      <c r="L17" s="217">
        <f>21066+15000+157801</f>
        <v>193867</v>
      </c>
      <c r="M17" s="9">
        <f t="shared" si="0"/>
        <v>193867</v>
      </c>
      <c r="N17" s="217"/>
      <c r="O17" s="217">
        <v>4638</v>
      </c>
      <c r="P17" s="217"/>
      <c r="Q17" s="214">
        <f t="shared" si="1"/>
        <v>4638</v>
      </c>
      <c r="R17" s="231"/>
      <c r="T17" s="199"/>
      <c r="U17" s="211"/>
      <c r="V17" s="211"/>
      <c r="W17" s="211"/>
      <c r="X17" s="211"/>
    </row>
    <row r="18" spans="1:24" ht="15" thickBot="1" x14ac:dyDescent="0.35">
      <c r="A18" s="39">
        <v>562.39</v>
      </c>
      <c r="B18" s="40" t="s">
        <v>53</v>
      </c>
      <c r="C18" s="15">
        <v>1283242</v>
      </c>
      <c r="D18" s="14">
        <f t="shared" si="2"/>
        <v>1283242</v>
      </c>
      <c r="E18" s="231"/>
      <c r="F18" s="257">
        <v>858819</v>
      </c>
      <c r="G18" s="228"/>
      <c r="H18" s="231">
        <v>323240</v>
      </c>
      <c r="I18" s="219"/>
      <c r="J18" s="217"/>
      <c r="K18" s="217"/>
      <c r="L18" s="217">
        <v>100000</v>
      </c>
      <c r="M18" s="9">
        <f t="shared" si="0"/>
        <v>100000</v>
      </c>
      <c r="N18" s="217"/>
      <c r="O18" s="217">
        <v>640</v>
      </c>
      <c r="P18" s="217"/>
      <c r="Q18" s="214">
        <f t="shared" si="1"/>
        <v>640</v>
      </c>
      <c r="R18" s="231">
        <v>543</v>
      </c>
      <c r="S18" s="199">
        <v>369.3</v>
      </c>
      <c r="T18" s="199">
        <v>543</v>
      </c>
      <c r="U18" s="211"/>
      <c r="V18" s="211"/>
      <c r="W18" s="211"/>
      <c r="X18" s="211"/>
    </row>
    <row r="19" spans="1:24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  <c r="T19" s="199"/>
      <c r="U19" s="211"/>
      <c r="V19" s="211"/>
      <c r="W19" s="211"/>
      <c r="X19" s="211"/>
    </row>
    <row r="20" spans="1:24" ht="15" thickBot="1" x14ac:dyDescent="0.35">
      <c r="A20" s="39">
        <v>562.41999999999996</v>
      </c>
      <c r="B20" s="40" t="s">
        <v>55</v>
      </c>
      <c r="C20" s="15">
        <v>756629</v>
      </c>
      <c r="D20" s="14">
        <f t="shared" si="2"/>
        <v>756629</v>
      </c>
      <c r="E20" s="231"/>
      <c r="F20" s="257">
        <v>706629</v>
      </c>
      <c r="G20" s="228"/>
      <c r="H20" s="231"/>
      <c r="I20" s="219"/>
      <c r="J20" s="217"/>
      <c r="K20" s="217"/>
      <c r="L20" s="217">
        <v>50000</v>
      </c>
      <c r="M20" s="9">
        <f t="shared" si="0"/>
        <v>50000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  <c r="W20" s="211"/>
      <c r="X20" s="211"/>
    </row>
    <row r="21" spans="1:24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  <c r="T21" s="199"/>
      <c r="U21" s="211"/>
      <c r="V21" s="211"/>
      <c r="W21" s="211"/>
      <c r="X21" s="211"/>
    </row>
    <row r="22" spans="1:24" ht="15" thickBot="1" x14ac:dyDescent="0.35">
      <c r="A22" s="39">
        <v>562.44000000000005</v>
      </c>
      <c r="B22" s="82" t="s">
        <v>97</v>
      </c>
      <c r="C22" s="15">
        <v>592726</v>
      </c>
      <c r="D22" s="14">
        <f t="shared" si="2"/>
        <v>592726</v>
      </c>
      <c r="E22" s="231">
        <v>12987</v>
      </c>
      <c r="F22" s="257">
        <v>521374</v>
      </c>
      <c r="G22" s="228"/>
      <c r="H22" s="231">
        <v>4540</v>
      </c>
      <c r="I22" s="219"/>
      <c r="J22" s="217"/>
      <c r="K22" s="217"/>
      <c r="L22" s="217">
        <v>50000</v>
      </c>
      <c r="M22" s="9">
        <f t="shared" si="0"/>
        <v>50000</v>
      </c>
      <c r="N22" s="217"/>
      <c r="O22" s="217">
        <f>290+200</f>
        <v>490</v>
      </c>
      <c r="P22" s="217"/>
      <c r="Q22" s="214">
        <f t="shared" si="1"/>
        <v>490</v>
      </c>
      <c r="R22" s="231">
        <v>3335</v>
      </c>
      <c r="S22" s="199">
        <v>367.11</v>
      </c>
      <c r="T22" s="199">
        <v>3335</v>
      </c>
      <c r="U22" s="211"/>
      <c r="V22" s="211"/>
      <c r="W22" s="211"/>
      <c r="X22" s="211"/>
    </row>
    <row r="23" spans="1:24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  <c r="W23" s="211"/>
      <c r="X23" s="211"/>
    </row>
    <row r="24" spans="1:24" ht="15" thickBot="1" x14ac:dyDescent="0.35">
      <c r="A24" s="39">
        <v>562.49</v>
      </c>
      <c r="B24" s="82" t="s">
        <v>87</v>
      </c>
      <c r="C24" s="15">
        <v>515996</v>
      </c>
      <c r="D24" s="14">
        <f t="shared" si="2"/>
        <v>515995</v>
      </c>
      <c r="E24" s="231"/>
      <c r="F24" s="257"/>
      <c r="G24" s="228"/>
      <c r="H24" s="231">
        <f>34934+87544</f>
        <v>122478</v>
      </c>
      <c r="I24" s="219"/>
      <c r="J24" s="217"/>
      <c r="K24" s="217"/>
      <c r="L24" s="217">
        <f>100670+100000+180555</f>
        <v>381225</v>
      </c>
      <c r="M24" s="9">
        <f t="shared" si="0"/>
        <v>381225</v>
      </c>
      <c r="N24" s="217"/>
      <c r="O24" s="217"/>
      <c r="P24" s="217"/>
      <c r="Q24" s="214">
        <f t="shared" si="1"/>
        <v>0</v>
      </c>
      <c r="R24" s="231">
        <f>3457+8835</f>
        <v>12292</v>
      </c>
      <c r="S24" s="199">
        <v>367.11</v>
      </c>
      <c r="T24" s="199">
        <v>3457</v>
      </c>
      <c r="U24" s="211">
        <v>369.9</v>
      </c>
      <c r="V24" s="211">
        <v>8835</v>
      </c>
      <c r="W24" s="211"/>
      <c r="X24" s="211"/>
    </row>
    <row r="25" spans="1:24" ht="15" thickBot="1" x14ac:dyDescent="0.35">
      <c r="A25" s="39">
        <v>562.52</v>
      </c>
      <c r="B25" s="40" t="s">
        <v>56</v>
      </c>
      <c r="C25" s="15">
        <v>740495</v>
      </c>
      <c r="D25" s="14">
        <f t="shared" si="2"/>
        <v>740496</v>
      </c>
      <c r="E25" s="231"/>
      <c r="F25" s="257">
        <v>154490</v>
      </c>
      <c r="G25" s="228"/>
      <c r="H25" s="231"/>
      <c r="I25" s="219"/>
      <c r="J25" s="217"/>
      <c r="K25" s="217"/>
      <c r="L25" s="217">
        <f>291592+29241</f>
        <v>320833</v>
      </c>
      <c r="M25" s="9">
        <f t="shared" si="0"/>
        <v>320833</v>
      </c>
      <c r="N25" s="217">
        <f>86751+82360</f>
        <v>169111</v>
      </c>
      <c r="O25" s="217">
        <f>24000+11500+8150+47844</f>
        <v>91494</v>
      </c>
      <c r="P25" s="217"/>
      <c r="Q25" s="214">
        <f t="shared" si="1"/>
        <v>260605</v>
      </c>
      <c r="R25" s="231">
        <v>4568</v>
      </c>
      <c r="S25" s="199">
        <v>369.9</v>
      </c>
      <c r="T25" s="199">
        <v>4568</v>
      </c>
      <c r="U25" s="211"/>
      <c r="V25" s="211"/>
      <c r="W25" s="211"/>
      <c r="X25" s="211"/>
    </row>
    <row r="26" spans="1:24" ht="15" thickBot="1" x14ac:dyDescent="0.35">
      <c r="A26" s="39">
        <v>562.53</v>
      </c>
      <c r="B26" s="82" t="s">
        <v>99</v>
      </c>
      <c r="C26" s="15">
        <v>3458900</v>
      </c>
      <c r="D26" s="14">
        <f t="shared" si="2"/>
        <v>3536887</v>
      </c>
      <c r="E26" s="231"/>
      <c r="F26" s="257"/>
      <c r="G26" s="228"/>
      <c r="H26" s="231">
        <v>1801611</v>
      </c>
      <c r="I26" s="219"/>
      <c r="J26" s="217"/>
      <c r="K26" s="217"/>
      <c r="L26" s="217">
        <f>16800+290010+12200+197931+397657</f>
        <v>914598</v>
      </c>
      <c r="M26" s="9">
        <f t="shared" si="0"/>
        <v>914598</v>
      </c>
      <c r="N26" s="217">
        <f>34774+118410+40177+6598</f>
        <v>199959</v>
      </c>
      <c r="O26" s="217">
        <f>530000+63252+3903</f>
        <v>597155</v>
      </c>
      <c r="P26" s="217"/>
      <c r="Q26" s="214">
        <f t="shared" si="1"/>
        <v>797114</v>
      </c>
      <c r="R26" s="231">
        <v>23564</v>
      </c>
      <c r="S26" s="199">
        <v>369.9</v>
      </c>
      <c r="T26" s="199">
        <v>23564</v>
      </c>
      <c r="U26" s="211"/>
      <c r="V26" s="211"/>
      <c r="W26" s="211"/>
      <c r="X26" s="211"/>
    </row>
    <row r="27" spans="1:24" ht="15" thickBot="1" x14ac:dyDescent="0.35">
      <c r="A27" s="39">
        <v>562.54</v>
      </c>
      <c r="B27" s="82" t="s">
        <v>100</v>
      </c>
      <c r="C27" s="15">
        <v>3028763</v>
      </c>
      <c r="D27" s="14">
        <f t="shared" si="2"/>
        <v>2834116</v>
      </c>
      <c r="E27" s="231">
        <v>63776</v>
      </c>
      <c r="F27" s="257"/>
      <c r="G27" s="228"/>
      <c r="H27" s="231">
        <v>248813</v>
      </c>
      <c r="I27" s="219"/>
      <c r="J27" s="217"/>
      <c r="K27" s="217"/>
      <c r="L27" s="217"/>
      <c r="M27" s="9">
        <f t="shared" si="0"/>
        <v>0</v>
      </c>
      <c r="N27" s="217">
        <f>51420+277539+14300+378198+48240+19718+14057</f>
        <v>803472</v>
      </c>
      <c r="O27" s="217">
        <f>16161+894435+101090+653600</f>
        <v>1665286</v>
      </c>
      <c r="P27" s="217"/>
      <c r="Q27" s="214">
        <f t="shared" si="1"/>
        <v>2468758</v>
      </c>
      <c r="R27" s="231">
        <f>2+52767</f>
        <v>52769</v>
      </c>
      <c r="S27" s="199">
        <v>369.81</v>
      </c>
      <c r="T27" s="199">
        <v>2</v>
      </c>
      <c r="U27" s="211">
        <v>369.9</v>
      </c>
      <c r="V27" s="211">
        <v>52767</v>
      </c>
      <c r="W27" s="211"/>
      <c r="X27" s="211"/>
    </row>
    <row r="28" spans="1:24" ht="15" thickBot="1" x14ac:dyDescent="0.35">
      <c r="A28" s="39">
        <v>562.54999999999995</v>
      </c>
      <c r="B28" s="40" t="s">
        <v>57</v>
      </c>
      <c r="C28" s="15"/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  <c r="T28" s="199"/>
      <c r="U28" s="211"/>
      <c r="V28" s="211"/>
      <c r="W28" s="211"/>
      <c r="X28" s="211"/>
    </row>
    <row r="29" spans="1:24" ht="15" thickBot="1" x14ac:dyDescent="0.35">
      <c r="A29" s="39">
        <v>562.55999999999995</v>
      </c>
      <c r="B29" s="40" t="s">
        <v>58</v>
      </c>
      <c r="C29" s="15">
        <v>3218598</v>
      </c>
      <c r="D29" s="14">
        <f t="shared" si="2"/>
        <v>3344770</v>
      </c>
      <c r="E29" s="231"/>
      <c r="F29" s="257"/>
      <c r="G29" s="228"/>
      <c r="H29" s="231"/>
      <c r="I29" s="219"/>
      <c r="J29" s="217"/>
      <c r="K29" s="217"/>
      <c r="L29" s="217"/>
      <c r="M29" s="9">
        <f t="shared" si="0"/>
        <v>0</v>
      </c>
      <c r="N29" s="217">
        <f>1602680+211568+73312+26425+1106519+48093</f>
        <v>3068597</v>
      </c>
      <c r="O29" s="217">
        <f>3075+97865+36494+123009</f>
        <v>260443</v>
      </c>
      <c r="P29" s="217"/>
      <c r="Q29" s="214">
        <f t="shared" si="1"/>
        <v>3329040</v>
      </c>
      <c r="R29" s="231">
        <v>15730</v>
      </c>
      <c r="S29" s="199">
        <v>369.9</v>
      </c>
      <c r="T29" s="199">
        <v>15730</v>
      </c>
      <c r="U29" s="211"/>
      <c r="V29" s="211"/>
      <c r="W29" s="211"/>
      <c r="X29" s="211"/>
    </row>
    <row r="30" spans="1:24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  <c r="T30" s="199"/>
      <c r="U30" s="211"/>
      <c r="V30" s="211"/>
      <c r="W30" s="211"/>
      <c r="X30" s="211"/>
    </row>
    <row r="31" spans="1:24" ht="15" thickBot="1" x14ac:dyDescent="0.35">
      <c r="A31" s="39">
        <v>562.58000000000004</v>
      </c>
      <c r="B31" s="82" t="s">
        <v>88</v>
      </c>
      <c r="C31" s="15">
        <v>278533</v>
      </c>
      <c r="D31" s="14">
        <f t="shared" si="2"/>
        <v>332580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f>219130+3795+13745</f>
        <v>236670</v>
      </c>
      <c r="O31" s="217">
        <f>24830+71005+75</f>
        <v>95910</v>
      </c>
      <c r="P31" s="217"/>
      <c r="Q31" s="214">
        <f t="shared" si="1"/>
        <v>332580</v>
      </c>
      <c r="R31" s="231"/>
      <c r="T31" s="199"/>
      <c r="U31" s="211"/>
      <c r="V31" s="211"/>
      <c r="W31" s="211"/>
      <c r="X31" s="211"/>
    </row>
    <row r="32" spans="1:24" ht="15" thickBot="1" x14ac:dyDescent="0.35">
      <c r="A32" s="39">
        <v>562.59</v>
      </c>
      <c r="B32" s="82" t="s">
        <v>89</v>
      </c>
      <c r="C32" s="15">
        <v>165004</v>
      </c>
      <c r="D32" s="14">
        <f t="shared" si="2"/>
        <v>165004</v>
      </c>
      <c r="E32" s="231"/>
      <c r="F32" s="257"/>
      <c r="G32" s="228"/>
      <c r="H32" s="231"/>
      <c r="I32" s="219"/>
      <c r="J32" s="247"/>
      <c r="K32" s="247"/>
      <c r="L32" s="247">
        <f>160537+3967</f>
        <v>164504</v>
      </c>
      <c r="M32" s="9">
        <f t="shared" si="0"/>
        <v>164504</v>
      </c>
      <c r="N32" s="247"/>
      <c r="O32" s="247"/>
      <c r="P32" s="247"/>
      <c r="Q32" s="214">
        <f t="shared" si="1"/>
        <v>0</v>
      </c>
      <c r="R32" s="231">
        <v>500</v>
      </c>
      <c r="S32" s="199">
        <v>367.11</v>
      </c>
      <c r="T32" s="199">
        <v>500</v>
      </c>
      <c r="U32" s="211"/>
      <c r="V32" s="211"/>
      <c r="W32" s="211"/>
      <c r="X32" s="211"/>
    </row>
    <row r="33" spans="1:24" ht="15" thickBot="1" x14ac:dyDescent="0.35">
      <c r="A33" s="39">
        <v>562.6</v>
      </c>
      <c r="B33" s="40" t="s">
        <v>59</v>
      </c>
      <c r="C33" s="15">
        <v>697995</v>
      </c>
      <c r="D33" s="14">
        <f t="shared" si="2"/>
        <v>627543</v>
      </c>
      <c r="E33" s="231">
        <v>8700</v>
      </c>
      <c r="F33" s="257">
        <v>3228</v>
      </c>
      <c r="G33" s="228">
        <v>328</v>
      </c>
      <c r="H33" s="231">
        <v>140229</v>
      </c>
      <c r="I33" s="219">
        <f>74573+11500</f>
        <v>86073</v>
      </c>
      <c r="J33" s="217"/>
      <c r="K33" s="217"/>
      <c r="L33" s="217">
        <f>3059+25954+199000</f>
        <v>228013</v>
      </c>
      <c r="M33" s="9">
        <f t="shared" si="0"/>
        <v>228013</v>
      </c>
      <c r="N33" s="217">
        <v>28435</v>
      </c>
      <c r="O33" s="217">
        <v>132537</v>
      </c>
      <c r="P33" s="217"/>
      <c r="Q33" s="214">
        <f t="shared" si="1"/>
        <v>160972</v>
      </c>
      <c r="R33" s="231"/>
      <c r="T33" s="199"/>
      <c r="U33" s="211"/>
      <c r="V33" s="211"/>
      <c r="W33" s="211"/>
      <c r="X33" s="211"/>
    </row>
    <row r="34" spans="1:24" ht="15" thickBot="1" x14ac:dyDescent="0.35">
      <c r="A34" s="39">
        <v>562.71</v>
      </c>
      <c r="B34" s="40" t="s">
        <v>60</v>
      </c>
      <c r="C34" s="15">
        <v>525029</v>
      </c>
      <c r="D34" s="14">
        <f t="shared" si="2"/>
        <v>633423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f>459331+113962</f>
        <v>573293</v>
      </c>
      <c r="P34" s="217"/>
      <c r="Q34" s="214">
        <f t="shared" si="1"/>
        <v>573293</v>
      </c>
      <c r="R34" s="231">
        <f>1+60129</f>
        <v>60130</v>
      </c>
      <c r="S34" s="199">
        <v>369.81</v>
      </c>
      <c r="T34" s="199">
        <v>1</v>
      </c>
      <c r="U34" s="211">
        <v>369.9</v>
      </c>
      <c r="V34" s="211">
        <v>60129</v>
      </c>
      <c r="W34" s="211"/>
      <c r="X34" s="211"/>
    </row>
    <row r="35" spans="1:24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T35" s="199"/>
      <c r="U35" s="211"/>
      <c r="V35" s="211"/>
      <c r="W35" s="211"/>
      <c r="X35" s="211"/>
    </row>
    <row r="36" spans="1:24" ht="15" thickBot="1" x14ac:dyDescent="0.35">
      <c r="A36" s="39">
        <v>562.73</v>
      </c>
      <c r="B36" s="40" t="s">
        <v>62</v>
      </c>
      <c r="C36" s="15">
        <v>649660</v>
      </c>
      <c r="D36" s="14">
        <f t="shared" si="2"/>
        <v>649661</v>
      </c>
      <c r="E36" s="231"/>
      <c r="F36" s="257"/>
      <c r="G36" s="228"/>
      <c r="H36" s="231"/>
      <c r="I36" s="219">
        <v>610500</v>
      </c>
      <c r="J36" s="217"/>
      <c r="K36" s="217"/>
      <c r="L36" s="217">
        <v>39161</v>
      </c>
      <c r="M36" s="9">
        <f t="shared" si="0"/>
        <v>39161</v>
      </c>
      <c r="N36" s="217"/>
      <c r="O36" s="217"/>
      <c r="P36" s="217"/>
      <c r="Q36" s="214">
        <f t="shared" si="1"/>
        <v>0</v>
      </c>
      <c r="R36" s="231"/>
      <c r="T36" s="199"/>
      <c r="U36" s="211"/>
      <c r="V36" s="211"/>
      <c r="W36" s="211"/>
      <c r="X36" s="211"/>
    </row>
    <row r="37" spans="1:24" ht="15" thickBot="1" x14ac:dyDescent="0.35">
      <c r="A37" s="39">
        <v>562.74</v>
      </c>
      <c r="B37" s="82" t="s">
        <v>90</v>
      </c>
      <c r="C37" s="15">
        <v>217010</v>
      </c>
      <c r="D37" s="14">
        <f t="shared" si="2"/>
        <v>217010</v>
      </c>
      <c r="E37" s="231"/>
      <c r="F37" s="257">
        <v>142116</v>
      </c>
      <c r="G37" s="228"/>
      <c r="H37" s="231"/>
      <c r="I37" s="219"/>
      <c r="J37" s="217"/>
      <c r="K37" s="217"/>
      <c r="L37" s="217">
        <v>71271</v>
      </c>
      <c r="M37" s="9">
        <f t="shared" si="0"/>
        <v>71271</v>
      </c>
      <c r="N37" s="217"/>
      <c r="O37" s="217"/>
      <c r="P37" s="217"/>
      <c r="Q37" s="214">
        <f t="shared" si="1"/>
        <v>0</v>
      </c>
      <c r="R37" s="231">
        <v>3623</v>
      </c>
      <c r="S37" s="199">
        <v>369.9</v>
      </c>
      <c r="T37" s="199">
        <v>3623</v>
      </c>
      <c r="U37" s="211"/>
      <c r="V37" s="211"/>
      <c r="W37" s="211"/>
      <c r="X37" s="211"/>
    </row>
    <row r="38" spans="1:24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  <c r="W38" s="211"/>
      <c r="X38" s="211"/>
    </row>
    <row r="39" spans="1:24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  <c r="W39" s="211"/>
      <c r="X39" s="211"/>
    </row>
    <row r="40" spans="1:24" ht="15" thickBot="1" x14ac:dyDescent="0.35">
      <c r="A40" s="39">
        <v>562.79999999999995</v>
      </c>
      <c r="B40" s="40" t="s">
        <v>65</v>
      </c>
      <c r="C40" s="15">
        <v>505142</v>
      </c>
      <c r="D40" s="14">
        <f t="shared" si="2"/>
        <v>490845</v>
      </c>
      <c r="E40" s="231"/>
      <c r="F40" s="257">
        <v>358991</v>
      </c>
      <c r="G40" s="228"/>
      <c r="H40" s="231">
        <v>49441</v>
      </c>
      <c r="I40" s="219">
        <v>7417</v>
      </c>
      <c r="J40" s="217"/>
      <c r="K40" s="217"/>
      <c r="L40" s="217">
        <v>14550</v>
      </c>
      <c r="M40" s="9">
        <f t="shared" si="0"/>
        <v>14550</v>
      </c>
      <c r="N40" s="217"/>
      <c r="O40" s="217">
        <v>56704</v>
      </c>
      <c r="P40" s="217"/>
      <c r="Q40" s="214">
        <f t="shared" si="1"/>
        <v>56704</v>
      </c>
      <c r="R40" s="231">
        <f>3075+667</f>
        <v>3742</v>
      </c>
      <c r="S40" s="199">
        <v>367.11</v>
      </c>
      <c r="T40" s="199">
        <v>3075</v>
      </c>
      <c r="U40" s="211">
        <v>369.9</v>
      </c>
      <c r="V40" s="211">
        <v>667</v>
      </c>
      <c r="W40" s="211"/>
      <c r="X40" s="211"/>
    </row>
    <row r="41" spans="1:24" ht="15" thickBot="1" x14ac:dyDescent="0.35">
      <c r="A41" s="39">
        <v>562.88</v>
      </c>
      <c r="B41" s="82" t="s">
        <v>91</v>
      </c>
      <c r="C41" s="15">
        <v>740563</v>
      </c>
      <c r="D41" s="14">
        <f t="shared" si="2"/>
        <v>740563</v>
      </c>
      <c r="E41" s="231"/>
      <c r="F41" s="257"/>
      <c r="G41" s="228"/>
      <c r="H41" s="231">
        <f>655027+77365</f>
        <v>732392</v>
      </c>
      <c r="I41" s="219"/>
      <c r="J41" s="217"/>
      <c r="K41" s="217"/>
      <c r="L41" s="217">
        <v>8141</v>
      </c>
      <c r="M41" s="9">
        <f t="shared" si="0"/>
        <v>8141</v>
      </c>
      <c r="N41" s="217"/>
      <c r="O41" s="217"/>
      <c r="P41" s="217"/>
      <c r="Q41" s="214">
        <f t="shared" si="1"/>
        <v>0</v>
      </c>
      <c r="R41" s="231">
        <v>30</v>
      </c>
      <c r="S41" s="199">
        <v>369.9</v>
      </c>
      <c r="T41" s="199">
        <v>30</v>
      </c>
      <c r="U41" s="211"/>
      <c r="V41" s="211"/>
      <c r="W41" s="211"/>
      <c r="X41" s="211"/>
    </row>
    <row r="42" spans="1:24" ht="15" thickBot="1" x14ac:dyDescent="0.35">
      <c r="A42" s="39">
        <v>562.9</v>
      </c>
      <c r="B42" s="40" t="s">
        <v>66</v>
      </c>
      <c r="C42" s="15">
        <v>397616</v>
      </c>
      <c r="D42" s="14">
        <f t="shared" si="2"/>
        <v>306036</v>
      </c>
      <c r="E42" s="231"/>
      <c r="F42" s="257">
        <v>58420</v>
      </c>
      <c r="G42" s="228"/>
      <c r="H42" s="231"/>
      <c r="I42" s="219"/>
      <c r="J42" s="217"/>
      <c r="K42" s="217"/>
      <c r="L42" s="217">
        <f>156036+91580</f>
        <v>247616</v>
      </c>
      <c r="M42" s="9">
        <f t="shared" si="0"/>
        <v>247616</v>
      </c>
      <c r="N42" s="217"/>
      <c r="O42" s="217"/>
      <c r="P42" s="217"/>
      <c r="Q42" s="214">
        <f t="shared" si="1"/>
        <v>0</v>
      </c>
      <c r="R42" s="231"/>
      <c r="T42" s="199"/>
      <c r="U42" s="211"/>
      <c r="V42" s="211"/>
      <c r="W42" s="211"/>
      <c r="X42" s="211"/>
    </row>
    <row r="43" spans="1:24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  <c r="U43" s="211"/>
      <c r="V43" s="211"/>
      <c r="W43" s="211"/>
      <c r="X43" s="211"/>
    </row>
    <row r="44" spans="1:24" x14ac:dyDescent="0.3">
      <c r="A44" s="206" t="s">
        <v>110</v>
      </c>
      <c r="B44" s="207" t="s">
        <v>68</v>
      </c>
      <c r="C44" s="208">
        <f>SUM(C5:C43)</f>
        <v>25697911</v>
      </c>
      <c r="D44" s="205">
        <f>E44+F44+G44+H44+I44+M44+Q44+R44</f>
        <v>25696736</v>
      </c>
      <c r="E44" s="233">
        <f t="shared" ref="E44:R44" si="3">SUM(E5:E43)</f>
        <v>332974</v>
      </c>
      <c r="F44" s="259">
        <f t="shared" si="3"/>
        <v>4012692</v>
      </c>
      <c r="G44" s="223">
        <f t="shared" si="3"/>
        <v>564753</v>
      </c>
      <c r="H44" s="233">
        <f t="shared" si="3"/>
        <v>5637856</v>
      </c>
      <c r="I44" s="239">
        <f t="shared" si="3"/>
        <v>768830</v>
      </c>
      <c r="J44" s="245">
        <f>SUM(J5:J43)</f>
        <v>0</v>
      </c>
      <c r="K44" s="245">
        <f>SUM(K5:K43)</f>
        <v>0</v>
      </c>
      <c r="L44" s="245">
        <f>SUM(L5:L43)</f>
        <v>5412944</v>
      </c>
      <c r="M44" s="208">
        <f t="shared" si="3"/>
        <v>5412944</v>
      </c>
      <c r="N44" s="245">
        <f>SUM(N5:N43)</f>
        <v>4506244</v>
      </c>
      <c r="O44" s="245">
        <f>SUM(O5:O43)</f>
        <v>4128313</v>
      </c>
      <c r="P44" s="245">
        <f>SUM(P5:P43)</f>
        <v>0</v>
      </c>
      <c r="Q44" s="216">
        <f t="shared" si="3"/>
        <v>8634557</v>
      </c>
      <c r="R44" s="233">
        <f t="shared" si="3"/>
        <v>332130</v>
      </c>
      <c r="T44" s="199"/>
      <c r="U44" s="211"/>
      <c r="V44" s="211"/>
      <c r="W44" s="211"/>
      <c r="X44" s="211"/>
    </row>
    <row r="45" spans="1:24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  <c r="W45" s="211"/>
      <c r="X45" s="211"/>
    </row>
    <row r="46" spans="1:24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  <c r="W46" s="211"/>
      <c r="X46" s="211"/>
    </row>
    <row r="47" spans="1:24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T47" s="199"/>
      <c r="U47" s="211"/>
      <c r="V47" s="211"/>
      <c r="W47" s="211"/>
      <c r="X47" s="211"/>
    </row>
    <row r="48" spans="1:24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  <c r="W48" s="211"/>
      <c r="X48" s="211"/>
    </row>
    <row r="49" spans="1:26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T49" s="199"/>
      <c r="U49" s="211"/>
      <c r="V49" s="211"/>
      <c r="W49" s="211"/>
      <c r="X49" s="211"/>
    </row>
    <row r="50" spans="1:26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  <c r="W50" s="211"/>
      <c r="X50" s="211"/>
    </row>
    <row r="51" spans="1:26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  <c r="W51" s="211"/>
      <c r="X51" s="211"/>
    </row>
    <row r="52" spans="1:26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  <c r="W52" s="211"/>
      <c r="X52" s="211"/>
    </row>
    <row r="53" spans="1:26" ht="15" thickBot="1" x14ac:dyDescent="0.35">
      <c r="A53" s="39">
        <v>566</v>
      </c>
      <c r="B53" s="40" t="s">
        <v>76</v>
      </c>
      <c r="C53" s="15">
        <v>3450605</v>
      </c>
      <c r="D53" s="14">
        <f t="shared" si="2"/>
        <v>3806413</v>
      </c>
      <c r="E53" s="231"/>
      <c r="F53" s="257">
        <v>130475</v>
      </c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>
        <f>97021+3497824+359324+34798-319456</f>
        <v>3669511</v>
      </c>
      <c r="P53" s="217"/>
      <c r="Q53" s="214">
        <f t="shared" si="1"/>
        <v>3669511</v>
      </c>
      <c r="R53" s="231">
        <v>6427</v>
      </c>
      <c r="S53" s="199">
        <v>369.9</v>
      </c>
      <c r="T53" s="199">
        <v>6427</v>
      </c>
      <c r="U53" s="211"/>
      <c r="V53" s="211"/>
      <c r="W53" s="211"/>
      <c r="X53" s="211"/>
    </row>
    <row r="54" spans="1:26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  <c r="U54" s="211"/>
      <c r="V54" s="211"/>
      <c r="W54" s="211"/>
      <c r="X54" s="211"/>
    </row>
    <row r="55" spans="1:26" x14ac:dyDescent="0.3">
      <c r="A55" s="41">
        <v>500</v>
      </c>
      <c r="B55" s="32" t="s">
        <v>118</v>
      </c>
      <c r="C55" s="18">
        <f>104721+130175+103598+61234</f>
        <v>399728</v>
      </c>
      <c r="D55" s="20">
        <f t="shared" si="2"/>
        <v>374874</v>
      </c>
      <c r="E55" s="232">
        <v>18371</v>
      </c>
      <c r="F55" s="258"/>
      <c r="G55" s="229"/>
      <c r="H55" s="232">
        <v>42865</v>
      </c>
      <c r="I55" s="220"/>
      <c r="J55" s="244"/>
      <c r="K55" s="244"/>
      <c r="L55" s="244">
        <v>72337</v>
      </c>
      <c r="M55" s="198">
        <f t="shared" si="0"/>
        <v>72337</v>
      </c>
      <c r="N55" s="244"/>
      <c r="O55" s="244"/>
      <c r="P55" s="244"/>
      <c r="Q55" s="215">
        <f t="shared" si="1"/>
        <v>0</v>
      </c>
      <c r="R55" s="232">
        <f>51004+25311+159624+5037+325</f>
        <v>241301</v>
      </c>
      <c r="S55" s="199">
        <v>366.5</v>
      </c>
      <c r="T55" s="199">
        <f>51004+159624</f>
        <v>210628</v>
      </c>
      <c r="U55" s="211">
        <v>369.72</v>
      </c>
      <c r="V55" s="211">
        <v>25311</v>
      </c>
      <c r="W55" s="211">
        <v>361.11</v>
      </c>
      <c r="X55" s="211">
        <v>5037</v>
      </c>
      <c r="Y55" s="211">
        <v>369.9</v>
      </c>
      <c r="Z55" s="211">
        <v>325</v>
      </c>
    </row>
    <row r="56" spans="1:26" ht="15" thickBot="1" x14ac:dyDescent="0.35">
      <c r="A56" s="107"/>
      <c r="B56" s="108" t="s">
        <v>80</v>
      </c>
      <c r="C56" s="111">
        <f>SUM(C44:C55)</f>
        <v>29548244</v>
      </c>
      <c r="D56" s="110">
        <f>E56+F56+G56+H56+I56+M56+Q56+R56</f>
        <v>29878023</v>
      </c>
      <c r="E56" s="235">
        <f t="shared" ref="E56:R56" si="4">SUM(E44:E55)</f>
        <v>351345</v>
      </c>
      <c r="F56" s="260">
        <f t="shared" si="4"/>
        <v>4143167</v>
      </c>
      <c r="G56" s="225">
        <f t="shared" si="4"/>
        <v>564753</v>
      </c>
      <c r="H56" s="235">
        <f t="shared" si="4"/>
        <v>5680721</v>
      </c>
      <c r="I56" s="240">
        <f t="shared" si="4"/>
        <v>768830</v>
      </c>
      <c r="J56" s="218">
        <f>SUM(J44:J55)</f>
        <v>0</v>
      </c>
      <c r="K56" s="218">
        <f>SUM(K44:K55)</f>
        <v>0</v>
      </c>
      <c r="L56" s="218">
        <f>SUM(L44:L55)</f>
        <v>5485281</v>
      </c>
      <c r="M56" s="209">
        <f t="shared" si="4"/>
        <v>5485281</v>
      </c>
      <c r="N56" s="218">
        <f>SUM(N44:N55)</f>
        <v>4506244</v>
      </c>
      <c r="O56" s="218">
        <f>SUM(O44:O55)</f>
        <v>7797824</v>
      </c>
      <c r="P56" s="218">
        <f>SUM(P44:P55)</f>
        <v>0</v>
      </c>
      <c r="Q56" s="218">
        <f t="shared" si="4"/>
        <v>12304068</v>
      </c>
      <c r="R56" s="235">
        <f t="shared" si="4"/>
        <v>579858</v>
      </c>
    </row>
    <row r="57" spans="1:26" ht="15" thickTop="1" x14ac:dyDescent="0.3"/>
    <row r="58" spans="1:26" ht="15" thickBot="1" x14ac:dyDescent="0.35"/>
    <row r="59" spans="1:26" ht="15" thickBot="1" x14ac:dyDescent="0.35">
      <c r="B59" s="42" t="s">
        <v>109</v>
      </c>
      <c r="C59" s="43"/>
      <c r="D59" s="44"/>
    </row>
    <row r="60" spans="1:26" ht="15" thickTop="1" x14ac:dyDescent="0.3">
      <c r="B60" s="115"/>
      <c r="C60" s="116" t="s">
        <v>82</v>
      </c>
      <c r="D60" s="117" t="s">
        <v>78</v>
      </c>
    </row>
    <row r="61" spans="1:26" x14ac:dyDescent="0.3">
      <c r="B61" s="153" t="s">
        <v>108</v>
      </c>
      <c r="C61" s="45"/>
      <c r="D61" s="46"/>
    </row>
    <row r="62" spans="1:26" x14ac:dyDescent="0.3">
      <c r="B62" s="26" t="s">
        <v>3</v>
      </c>
      <c r="C62" s="47">
        <f>E56</f>
        <v>351345</v>
      </c>
      <c r="D62" s="48">
        <f>E56/D56</f>
        <v>1.1759312187422842E-2</v>
      </c>
    </row>
    <row r="63" spans="1:26" x14ac:dyDescent="0.3">
      <c r="B63" s="26" t="s">
        <v>4</v>
      </c>
      <c r="C63" s="49">
        <f>F56</f>
        <v>4143167</v>
      </c>
      <c r="D63" s="48">
        <f>F56/D56</f>
        <v>0.13866938250901006</v>
      </c>
    </row>
    <row r="64" spans="1:26" x14ac:dyDescent="0.3">
      <c r="B64" s="56" t="s">
        <v>79</v>
      </c>
      <c r="C64" s="50">
        <f>G56</f>
        <v>564753</v>
      </c>
      <c r="D64" s="51">
        <f>G56/D56</f>
        <v>1.8901953452542693E-2</v>
      </c>
    </row>
    <row r="65" spans="2:4" ht="15" thickBot="1" x14ac:dyDescent="0.35">
      <c r="B65" s="146" t="s">
        <v>115</v>
      </c>
      <c r="C65" s="52">
        <f>SUM(C62:C64)</f>
        <v>5059265</v>
      </c>
      <c r="D65" s="53">
        <f>SUM(D62:D64)</f>
        <v>0.16933064814897561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5680721</v>
      </c>
      <c r="D67" s="25">
        <f>H56/D56</f>
        <v>0.19013041793294022</v>
      </c>
    </row>
    <row r="68" spans="2:4" x14ac:dyDescent="0.3">
      <c r="B68" s="57" t="s">
        <v>7</v>
      </c>
      <c r="C68" s="27">
        <f>I56</f>
        <v>768830</v>
      </c>
      <c r="D68" s="28">
        <f>I56/D56</f>
        <v>2.5732291591046702E-2</v>
      </c>
    </row>
    <row r="69" spans="2:4" ht="15" thickBot="1" x14ac:dyDescent="0.35">
      <c r="B69" s="146" t="s">
        <v>116</v>
      </c>
      <c r="C69" s="52">
        <f>SUM(C67:C68)</f>
        <v>6449551</v>
      </c>
      <c r="D69" s="53">
        <f>SUM(D67:D68)</f>
        <v>0.21586270952398692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5485281</v>
      </c>
      <c r="D71" s="25">
        <f>M56/D56</f>
        <v>0.18358915514590773</v>
      </c>
    </row>
    <row r="72" spans="2:4" x14ac:dyDescent="0.3">
      <c r="B72" s="24" t="s">
        <v>8</v>
      </c>
      <c r="C72" s="23">
        <f>Q56</f>
        <v>12304068</v>
      </c>
      <c r="D72" s="25">
        <f>Q56/D56</f>
        <v>0.41180997819032406</v>
      </c>
    </row>
    <row r="73" spans="2:4" x14ac:dyDescent="0.3">
      <c r="B73" s="163" t="s">
        <v>83</v>
      </c>
      <c r="C73" s="27">
        <f>R56</f>
        <v>579858</v>
      </c>
      <c r="D73" s="28">
        <f>R56/D56</f>
        <v>1.9407508990805716E-2</v>
      </c>
    </row>
    <row r="74" spans="2:4" ht="15" thickBot="1" x14ac:dyDescent="0.35">
      <c r="B74" s="146" t="s">
        <v>117</v>
      </c>
      <c r="C74" s="52">
        <f>SUM(C71:C73)</f>
        <v>18369207</v>
      </c>
      <c r="D74" s="53">
        <f>SUM(D71:D73)</f>
        <v>0.61480664232703752</v>
      </c>
    </row>
    <row r="75" spans="2:4" ht="15" thickBot="1" x14ac:dyDescent="0.35">
      <c r="B75" s="157" t="s">
        <v>80</v>
      </c>
      <c r="C75" s="158">
        <f>C65+C69+C74</f>
        <v>29878023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41" priority="7">
      <formula>ROW()=EVEN(ROW())</formula>
    </cfRule>
  </conditionalFormatting>
  <conditionalFormatting sqref="A55:B55">
    <cfRule type="expression" dxfId="40" priority="5">
      <formula>ROW()=EVEN(ROW())</formula>
    </cfRule>
  </conditionalFormatting>
  <conditionalFormatting sqref="A54:B54">
    <cfRule type="expression" dxfId="39" priority="4">
      <formula>ROW()=EVEN(ROW())</formula>
    </cfRule>
  </conditionalFormatting>
  <conditionalFormatting sqref="M45:M55">
    <cfRule type="expression" dxfId="38" priority="3">
      <formula>ROW()=EVEN(ROW())</formula>
    </cfRule>
  </conditionalFormatting>
  <conditionalFormatting sqref="D45:D55">
    <cfRule type="expression" dxfId="37" priority="2">
      <formula>ROW()=EVEN(ROW())</formula>
    </cfRule>
  </conditionalFormatting>
  <conditionalFormatting sqref="N44:P55">
    <cfRule type="expression" dxfId="36" priority="1">
      <formula>ROW()=EVEN(ROW())</formula>
    </cfRule>
  </conditionalFormatting>
  <printOptions horizontalCentered="1"/>
  <pageMargins left="0" right="0" top="1.1000000000000001" bottom="0.5" header="0.3" footer="0.3"/>
  <pageSetup scale="59" fitToHeight="0" orientation="landscape" r:id="rId1"/>
  <headerFooter>
    <oddHeader>&amp;C&amp;"-,Bold"&amp;20Funding by Expenditure Code and Revenue Source&amp;"-,Regular"&amp;11
&amp;"-,Bold"&amp;20 2014&amp;"-,Regular"&amp;11
&amp;"-,Bold"&amp;20TACOMA-PIERCE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8"/>
  <sheetViews>
    <sheetView showZeros="0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0" x14ac:dyDescent="0.3">
      <c r="A1" s="22" t="s">
        <v>150</v>
      </c>
      <c r="B1" s="6"/>
      <c r="C1" s="31">
        <v>264000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0" x14ac:dyDescent="0.3">
      <c r="A2" s="80" t="s">
        <v>44</v>
      </c>
      <c r="B2" s="5"/>
      <c r="C2" s="83">
        <v>63.7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0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0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</row>
    <row r="5" spans="1:20" ht="15" thickBot="1" x14ac:dyDescent="0.35">
      <c r="A5" s="36">
        <v>562.1</v>
      </c>
      <c r="B5" s="37" t="s">
        <v>47</v>
      </c>
      <c r="C5" s="16">
        <v>198654</v>
      </c>
      <c r="D5" s="14">
        <f>E5+F5+G5+H5+I5+M5+Q5+R5</f>
        <v>198654</v>
      </c>
      <c r="E5" s="236">
        <v>0</v>
      </c>
      <c r="F5" s="275">
        <v>142332</v>
      </c>
      <c r="G5" s="227"/>
      <c r="H5" s="236">
        <v>0</v>
      </c>
      <c r="I5" s="241">
        <v>0</v>
      </c>
      <c r="J5" s="214"/>
      <c r="K5" s="214"/>
      <c r="L5" s="214">
        <v>13179</v>
      </c>
      <c r="M5" s="9">
        <f>SUM(J5:L5)</f>
        <v>13179</v>
      </c>
      <c r="N5" s="214">
        <v>43143</v>
      </c>
      <c r="O5" s="214"/>
      <c r="P5" s="214"/>
      <c r="Q5" s="214">
        <f>SUM(N5:P5)</f>
        <v>43143</v>
      </c>
      <c r="R5" s="236"/>
    </row>
    <row r="6" spans="1:20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76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</row>
    <row r="7" spans="1:20" ht="15" thickBot="1" x14ac:dyDescent="0.35">
      <c r="A7" s="39">
        <v>562.22</v>
      </c>
      <c r="B7" s="82" t="s">
        <v>92</v>
      </c>
      <c r="C7" s="15">
        <v>1153568</v>
      </c>
      <c r="D7" s="14">
        <f t="shared" ref="D7:D55" si="2">E7+F7+G7+H7+I7+M7+Q7+R7</f>
        <v>1153568</v>
      </c>
      <c r="E7" s="231"/>
      <c r="F7" s="276">
        <v>169834</v>
      </c>
      <c r="G7" s="228"/>
      <c r="H7" s="231">
        <v>243611</v>
      </c>
      <c r="I7" s="219"/>
      <c r="J7" s="217"/>
      <c r="K7" s="217"/>
      <c r="L7" s="217">
        <f>251292+451636</f>
        <v>702928</v>
      </c>
      <c r="M7" s="9">
        <f t="shared" si="0"/>
        <v>702928</v>
      </c>
      <c r="N7" s="217">
        <v>27195</v>
      </c>
      <c r="O7" s="217"/>
      <c r="P7" s="217"/>
      <c r="Q7" s="214">
        <f t="shared" si="1"/>
        <v>27195</v>
      </c>
      <c r="R7" s="231">
        <v>10000</v>
      </c>
      <c r="S7" s="199">
        <v>367</v>
      </c>
      <c r="T7" s="200">
        <v>10000</v>
      </c>
    </row>
    <row r="8" spans="1:20" ht="15" thickBot="1" x14ac:dyDescent="0.35">
      <c r="A8" s="39">
        <v>562.24</v>
      </c>
      <c r="B8" s="40" t="s">
        <v>49</v>
      </c>
      <c r="C8" s="15"/>
      <c r="D8" s="14">
        <f t="shared" si="2"/>
        <v>0</v>
      </c>
      <c r="E8" s="231"/>
      <c r="F8" s="257"/>
      <c r="G8" s="228"/>
      <c r="H8" s="231"/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/>
    </row>
    <row r="9" spans="1:20" ht="15" thickBot="1" x14ac:dyDescent="0.35">
      <c r="A9" s="39">
        <v>562.25</v>
      </c>
      <c r="B9" s="82" t="s">
        <v>93</v>
      </c>
      <c r="C9" s="15">
        <v>56082</v>
      </c>
      <c r="D9" s="14">
        <f t="shared" si="2"/>
        <v>56082</v>
      </c>
      <c r="E9" s="231"/>
      <c r="F9" s="257"/>
      <c r="G9" s="228"/>
      <c r="H9" s="231">
        <v>10805</v>
      </c>
      <c r="I9" s="219"/>
      <c r="J9" s="217"/>
      <c r="K9" s="217"/>
      <c r="L9" s="217">
        <v>27027</v>
      </c>
      <c r="M9" s="9">
        <f t="shared" si="0"/>
        <v>27027</v>
      </c>
      <c r="N9" s="217">
        <v>18250</v>
      </c>
      <c r="O9" s="217"/>
      <c r="P9" s="217"/>
      <c r="Q9" s="214">
        <f t="shared" si="1"/>
        <v>18250</v>
      </c>
      <c r="R9" s="231"/>
    </row>
    <row r="10" spans="1:20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</row>
    <row r="11" spans="1:20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</row>
    <row r="12" spans="1:20" ht="15" thickBot="1" x14ac:dyDescent="0.35">
      <c r="A12" s="39">
        <v>562.28</v>
      </c>
      <c r="B12" s="82" t="s">
        <v>94</v>
      </c>
      <c r="C12" s="15"/>
      <c r="D12" s="14">
        <f t="shared" si="2"/>
        <v>0</v>
      </c>
      <c r="E12" s="231"/>
      <c r="F12" s="257"/>
      <c r="G12" s="228"/>
      <c r="H12" s="231"/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</row>
    <row r="13" spans="1:20" ht="15" thickBot="1" x14ac:dyDescent="0.35">
      <c r="A13" s="39">
        <v>562.29</v>
      </c>
      <c r="B13" s="82" t="s">
        <v>86</v>
      </c>
      <c r="C13" s="15"/>
      <c r="D13" s="14">
        <f t="shared" si="2"/>
        <v>0</v>
      </c>
      <c r="E13" s="231"/>
      <c r="F13" s="257"/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/>
      <c r="P13" s="217"/>
      <c r="Q13" s="214">
        <f t="shared" si="1"/>
        <v>0</v>
      </c>
      <c r="R13" s="231"/>
    </row>
    <row r="14" spans="1:20" ht="15" thickBot="1" x14ac:dyDescent="0.35">
      <c r="A14" s="39">
        <v>562.32000000000005</v>
      </c>
      <c r="B14" s="40" t="s">
        <v>50</v>
      </c>
      <c r="C14" s="15">
        <v>102334</v>
      </c>
      <c r="D14" s="14">
        <f t="shared" si="2"/>
        <v>119604</v>
      </c>
      <c r="E14" s="231"/>
      <c r="F14" s="257"/>
      <c r="G14" s="228"/>
      <c r="H14" s="231">
        <v>79604</v>
      </c>
      <c r="I14" s="219"/>
      <c r="J14" s="217"/>
      <c r="K14" s="217"/>
      <c r="L14" s="217"/>
      <c r="M14" s="9">
        <f t="shared" si="0"/>
        <v>0</v>
      </c>
      <c r="N14" s="217"/>
      <c r="O14" s="217"/>
      <c r="P14" s="217"/>
      <c r="Q14" s="214">
        <f t="shared" si="1"/>
        <v>0</v>
      </c>
      <c r="R14" s="231">
        <v>40000</v>
      </c>
      <c r="S14" s="199">
        <v>367.11</v>
      </c>
      <c r="T14" s="200">
        <v>40000</v>
      </c>
    </row>
    <row r="15" spans="1:20" ht="15" thickBot="1" x14ac:dyDescent="0.35">
      <c r="A15" s="39">
        <v>562.33000000000004</v>
      </c>
      <c r="B15" s="82" t="s">
        <v>95</v>
      </c>
      <c r="C15" s="15">
        <v>44123</v>
      </c>
      <c r="D15" s="14">
        <f t="shared" si="2"/>
        <v>44123</v>
      </c>
      <c r="E15" s="231"/>
      <c r="F15" s="257">
        <v>44123</v>
      </c>
      <c r="G15" s="228"/>
      <c r="H15" s="231"/>
      <c r="I15" s="219"/>
      <c r="J15" s="217"/>
      <c r="K15" s="217"/>
      <c r="L15" s="217"/>
      <c r="M15" s="9">
        <f t="shared" si="0"/>
        <v>0</v>
      </c>
      <c r="N15" s="217"/>
      <c r="O15" s="217"/>
      <c r="P15" s="217"/>
      <c r="Q15" s="214">
        <f t="shared" si="1"/>
        <v>0</v>
      </c>
      <c r="R15" s="231"/>
    </row>
    <row r="16" spans="1:20" ht="15" thickBot="1" x14ac:dyDescent="0.35">
      <c r="A16" s="39">
        <v>562.34</v>
      </c>
      <c r="B16" s="40" t="s">
        <v>51</v>
      </c>
      <c r="C16" s="15">
        <v>616825</v>
      </c>
      <c r="D16" s="14">
        <f t="shared" si="2"/>
        <v>616825</v>
      </c>
      <c r="E16" s="231"/>
      <c r="F16" s="257">
        <v>561230</v>
      </c>
      <c r="G16" s="228"/>
      <c r="H16" s="231"/>
      <c r="I16" s="219"/>
      <c r="J16" s="217"/>
      <c r="K16" s="217"/>
      <c r="L16" s="217">
        <v>55595</v>
      </c>
      <c r="M16" s="9">
        <f t="shared" si="0"/>
        <v>55595</v>
      </c>
      <c r="N16" s="217"/>
      <c r="O16" s="217"/>
      <c r="P16" s="217"/>
      <c r="Q16" s="214">
        <f t="shared" si="1"/>
        <v>0</v>
      </c>
      <c r="R16" s="231"/>
      <c r="T16" s="204"/>
    </row>
    <row r="17" spans="1:20" ht="15" thickBot="1" x14ac:dyDescent="0.35">
      <c r="A17" s="39">
        <v>562.35</v>
      </c>
      <c r="B17" s="40" t="s">
        <v>52</v>
      </c>
      <c r="C17" s="15">
        <v>100739</v>
      </c>
      <c r="D17" s="14">
        <f t="shared" si="2"/>
        <v>100739</v>
      </c>
      <c r="E17" s="231">
        <v>23900</v>
      </c>
      <c r="F17" s="257"/>
      <c r="G17" s="228"/>
      <c r="H17" s="231"/>
      <c r="I17" s="219"/>
      <c r="J17" s="217"/>
      <c r="K17" s="217"/>
      <c r="L17" s="217">
        <v>53089</v>
      </c>
      <c r="M17" s="9">
        <f t="shared" si="0"/>
        <v>53089</v>
      </c>
      <c r="N17" s="217"/>
      <c r="O17" s="217"/>
      <c r="P17" s="217"/>
      <c r="Q17" s="214">
        <f t="shared" si="1"/>
        <v>0</v>
      </c>
      <c r="R17" s="231">
        <v>23750</v>
      </c>
      <c r="S17" s="199">
        <v>367</v>
      </c>
      <c r="T17" s="200">
        <v>23750</v>
      </c>
    </row>
    <row r="18" spans="1:20" ht="15" thickBot="1" x14ac:dyDescent="0.35">
      <c r="A18" s="39">
        <v>562.39</v>
      </c>
      <c r="B18" s="40" t="s">
        <v>53</v>
      </c>
      <c r="C18" s="15"/>
      <c r="D18" s="14">
        <f t="shared" si="2"/>
        <v>0</v>
      </c>
      <c r="E18" s="231"/>
      <c r="F18" s="257"/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/>
      <c r="P18" s="217"/>
      <c r="Q18" s="214">
        <f t="shared" si="1"/>
        <v>0</v>
      </c>
      <c r="R18" s="231"/>
    </row>
    <row r="19" spans="1:20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</row>
    <row r="20" spans="1:20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</row>
    <row r="21" spans="1:20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</row>
    <row r="22" spans="1:20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</row>
    <row r="23" spans="1:20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</row>
    <row r="24" spans="1:20" ht="15" thickBot="1" x14ac:dyDescent="0.35">
      <c r="A24" s="39">
        <v>562.49</v>
      </c>
      <c r="B24" s="82" t="s">
        <v>87</v>
      </c>
      <c r="C24" s="15">
        <v>590124</v>
      </c>
      <c r="D24" s="14">
        <f t="shared" si="2"/>
        <v>590124</v>
      </c>
      <c r="E24" s="231"/>
      <c r="F24" s="257"/>
      <c r="G24" s="228"/>
      <c r="H24" s="231"/>
      <c r="I24" s="219">
        <f>296501+128760</f>
        <v>425261</v>
      </c>
      <c r="J24" s="217"/>
      <c r="K24" s="217"/>
      <c r="L24" s="217">
        <v>164863</v>
      </c>
      <c r="M24" s="9">
        <f t="shared" si="0"/>
        <v>164863</v>
      </c>
      <c r="N24" s="217"/>
      <c r="O24" s="217"/>
      <c r="P24" s="217"/>
      <c r="Q24" s="214">
        <f t="shared" si="1"/>
        <v>0</v>
      </c>
      <c r="R24" s="231"/>
    </row>
    <row r="25" spans="1:20" ht="15" thickBot="1" x14ac:dyDescent="0.35">
      <c r="A25" s="39">
        <v>562.52</v>
      </c>
      <c r="B25" s="40" t="s">
        <v>56</v>
      </c>
      <c r="C25" s="15">
        <v>173275</v>
      </c>
      <c r="D25" s="14">
        <f t="shared" si="2"/>
        <v>173275</v>
      </c>
      <c r="E25" s="231"/>
      <c r="F25" s="257"/>
      <c r="G25" s="228">
        <v>21000</v>
      </c>
      <c r="H25" s="231"/>
      <c r="I25" s="219"/>
      <c r="J25" s="217"/>
      <c r="K25" s="217"/>
      <c r="L25" s="217">
        <v>36826</v>
      </c>
      <c r="M25" s="9">
        <f t="shared" si="0"/>
        <v>36826</v>
      </c>
      <c r="N25" s="217">
        <v>63190</v>
      </c>
      <c r="O25" s="217">
        <f>16750+35509</f>
        <v>52259</v>
      </c>
      <c r="P25" s="217"/>
      <c r="Q25" s="214">
        <f t="shared" si="1"/>
        <v>115449</v>
      </c>
      <c r="R25" s="231"/>
    </row>
    <row r="26" spans="1:20" ht="15" thickBot="1" x14ac:dyDescent="0.35">
      <c r="A26" s="39">
        <v>562.53</v>
      </c>
      <c r="B26" s="82" t="s">
        <v>99</v>
      </c>
      <c r="C26" s="15">
        <v>210441</v>
      </c>
      <c r="D26" s="14">
        <f t="shared" si="2"/>
        <v>297030</v>
      </c>
      <c r="E26" s="231"/>
      <c r="F26" s="257"/>
      <c r="G26" s="228">
        <v>86836</v>
      </c>
      <c r="H26" s="231"/>
      <c r="I26" s="219"/>
      <c r="J26" s="217"/>
      <c r="K26" s="217"/>
      <c r="L26" s="217"/>
      <c r="M26" s="9">
        <f t="shared" si="0"/>
        <v>0</v>
      </c>
      <c r="N26" s="217">
        <v>8430</v>
      </c>
      <c r="O26" s="217">
        <v>201764</v>
      </c>
      <c r="P26" s="217"/>
      <c r="Q26" s="214">
        <f t="shared" si="1"/>
        <v>210194</v>
      </c>
      <c r="R26" s="231"/>
    </row>
    <row r="27" spans="1:20" ht="15" thickBot="1" x14ac:dyDescent="0.35">
      <c r="A27" s="39">
        <v>562.54</v>
      </c>
      <c r="B27" s="82" t="s">
        <v>100</v>
      </c>
      <c r="C27" s="15">
        <v>1336453</v>
      </c>
      <c r="D27" s="14">
        <f t="shared" si="2"/>
        <v>1336454</v>
      </c>
      <c r="E27" s="231"/>
      <c r="F27" s="257"/>
      <c r="G27" s="228"/>
      <c r="H27" s="231"/>
      <c r="I27" s="219"/>
      <c r="J27" s="217"/>
      <c r="K27" s="217"/>
      <c r="L27" s="217"/>
      <c r="M27" s="9">
        <f t="shared" si="0"/>
        <v>0</v>
      </c>
      <c r="N27" s="217">
        <v>402468</v>
      </c>
      <c r="O27" s="217">
        <f>168923+765063</f>
        <v>933986</v>
      </c>
      <c r="P27" s="217"/>
      <c r="Q27" s="214">
        <f t="shared" si="1"/>
        <v>1336454</v>
      </c>
      <c r="R27" s="231"/>
    </row>
    <row r="28" spans="1:20" ht="15" thickBot="1" x14ac:dyDescent="0.35">
      <c r="A28" s="39">
        <v>562.54999999999995</v>
      </c>
      <c r="B28" s="40" t="s">
        <v>57</v>
      </c>
      <c r="C28" s="15"/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</row>
    <row r="29" spans="1:20" ht="15" thickBot="1" x14ac:dyDescent="0.35">
      <c r="A29" s="39">
        <v>562.55999999999995</v>
      </c>
      <c r="B29" s="40" t="s">
        <v>58</v>
      </c>
      <c r="C29" s="15">
        <v>906546</v>
      </c>
      <c r="D29" s="14">
        <f t="shared" si="2"/>
        <v>906545</v>
      </c>
      <c r="E29" s="231"/>
      <c r="F29" s="257"/>
      <c r="G29" s="228"/>
      <c r="H29" s="231"/>
      <c r="I29" s="219"/>
      <c r="J29" s="217"/>
      <c r="K29" s="217"/>
      <c r="L29" s="217"/>
      <c r="M29" s="9">
        <f t="shared" si="0"/>
        <v>0</v>
      </c>
      <c r="N29" s="217">
        <v>140116</v>
      </c>
      <c r="O29" s="217">
        <v>766429</v>
      </c>
      <c r="P29" s="217"/>
      <c r="Q29" s="214">
        <f t="shared" si="1"/>
        <v>906545</v>
      </c>
      <c r="R29" s="231"/>
    </row>
    <row r="30" spans="1:20" ht="15" thickBot="1" x14ac:dyDescent="0.35">
      <c r="A30" s="39">
        <v>562.57000000000005</v>
      </c>
      <c r="B30" s="82" t="s">
        <v>101</v>
      </c>
      <c r="C30" s="15">
        <v>669681</v>
      </c>
      <c r="D30" s="14">
        <f t="shared" si="2"/>
        <v>738716</v>
      </c>
      <c r="E30" s="231"/>
      <c r="F30" s="257"/>
      <c r="G30" s="228">
        <v>304952</v>
      </c>
      <c r="H30" s="231"/>
      <c r="I30" s="219">
        <f>13762+18359</f>
        <v>32121</v>
      </c>
      <c r="J30" s="217"/>
      <c r="K30" s="217"/>
      <c r="L30" s="217"/>
      <c r="M30" s="9">
        <f t="shared" si="0"/>
        <v>0</v>
      </c>
      <c r="N30" s="217">
        <v>10000</v>
      </c>
      <c r="O30" s="217">
        <v>391643</v>
      </c>
      <c r="P30" s="217"/>
      <c r="Q30" s="214">
        <f t="shared" si="1"/>
        <v>401643</v>
      </c>
      <c r="R30" s="231"/>
    </row>
    <row r="31" spans="1:20" ht="15" thickBot="1" x14ac:dyDescent="0.35">
      <c r="A31" s="39">
        <v>562.58000000000004</v>
      </c>
      <c r="B31" s="82" t="s">
        <v>88</v>
      </c>
      <c r="C31" s="15">
        <v>182665</v>
      </c>
      <c r="D31" s="14">
        <f t="shared" si="2"/>
        <v>238477</v>
      </c>
      <c r="E31" s="231"/>
      <c r="F31" s="257">
        <v>3113</v>
      </c>
      <c r="G31" s="228"/>
      <c r="H31" s="231"/>
      <c r="I31" s="219"/>
      <c r="J31" s="217"/>
      <c r="K31" s="217"/>
      <c r="L31" s="217">
        <v>14866</v>
      </c>
      <c r="M31" s="9">
        <f t="shared" si="0"/>
        <v>14866</v>
      </c>
      <c r="N31" s="217"/>
      <c r="O31" s="217">
        <v>220498</v>
      </c>
      <c r="P31" s="217"/>
      <c r="Q31" s="214">
        <f t="shared" si="1"/>
        <v>220498</v>
      </c>
      <c r="R31" s="231"/>
    </row>
    <row r="32" spans="1:20" ht="15" thickBot="1" x14ac:dyDescent="0.35">
      <c r="A32" s="39">
        <v>562.59</v>
      </c>
      <c r="B32" s="82" t="s">
        <v>89</v>
      </c>
      <c r="C32" s="15">
        <v>1913</v>
      </c>
      <c r="D32" s="14">
        <f t="shared" si="2"/>
        <v>12571</v>
      </c>
      <c r="E32" s="231"/>
      <c r="F32" s="257"/>
      <c r="G32" s="228"/>
      <c r="H32" s="231"/>
      <c r="I32" s="219"/>
      <c r="J32" s="247"/>
      <c r="K32" s="247"/>
      <c r="L32" s="247">
        <v>-681</v>
      </c>
      <c r="M32" s="9">
        <f t="shared" si="0"/>
        <v>-681</v>
      </c>
      <c r="N32" s="247">
        <v>12920</v>
      </c>
      <c r="O32" s="247">
        <v>332</v>
      </c>
      <c r="P32" s="247"/>
      <c r="Q32" s="214">
        <f t="shared" si="1"/>
        <v>13252</v>
      </c>
      <c r="R32" s="231"/>
    </row>
    <row r="33" spans="1:20" ht="15" thickBot="1" x14ac:dyDescent="0.35">
      <c r="A33" s="39">
        <v>562.6</v>
      </c>
      <c r="B33" s="40" t="s">
        <v>59</v>
      </c>
      <c r="C33" s="15">
        <v>945988</v>
      </c>
      <c r="D33" s="14">
        <f t="shared" si="2"/>
        <v>1099951</v>
      </c>
      <c r="E33" s="231">
        <v>29904</v>
      </c>
      <c r="F33" s="257"/>
      <c r="G33" s="228">
        <v>69437</v>
      </c>
      <c r="H33" s="231">
        <v>260686</v>
      </c>
      <c r="I33" s="219"/>
      <c r="J33" s="217"/>
      <c r="K33" s="217">
        <v>478209</v>
      </c>
      <c r="L33" s="217">
        <f>49795+57148</f>
        <v>106943</v>
      </c>
      <c r="M33" s="9">
        <f t="shared" si="0"/>
        <v>585152</v>
      </c>
      <c r="N33" s="217"/>
      <c r="O33" s="217">
        <f>125964+26429</f>
        <v>152393</v>
      </c>
      <c r="P33" s="217"/>
      <c r="Q33" s="214">
        <f t="shared" si="1"/>
        <v>152393</v>
      </c>
      <c r="R33" s="231">
        <v>2379</v>
      </c>
      <c r="S33" s="199">
        <v>361.44</v>
      </c>
      <c r="T33" s="200">
        <v>2379</v>
      </c>
    </row>
    <row r="34" spans="1:20" ht="15" thickBot="1" x14ac:dyDescent="0.35">
      <c r="A34" s="39">
        <v>562.71</v>
      </c>
      <c r="B34" s="40" t="s">
        <v>60</v>
      </c>
      <c r="C34" s="15">
        <v>123392</v>
      </c>
      <c r="D34" s="14">
        <f t="shared" si="2"/>
        <v>123392</v>
      </c>
      <c r="E34" s="231"/>
      <c r="F34" s="257">
        <v>26021</v>
      </c>
      <c r="G34" s="228"/>
      <c r="H34" s="231"/>
      <c r="I34" s="219"/>
      <c r="J34" s="217"/>
      <c r="K34" s="217"/>
      <c r="L34" s="217">
        <v>17260</v>
      </c>
      <c r="M34" s="9">
        <f t="shared" si="0"/>
        <v>17260</v>
      </c>
      <c r="N34" s="217"/>
      <c r="O34" s="217">
        <v>80111</v>
      </c>
      <c r="P34" s="217"/>
      <c r="Q34" s="214">
        <f t="shared" si="1"/>
        <v>80111</v>
      </c>
      <c r="R34" s="231"/>
    </row>
    <row r="35" spans="1:20" ht="15" thickBot="1" x14ac:dyDescent="0.35">
      <c r="A35" s="39">
        <v>562.72</v>
      </c>
      <c r="B35" s="40" t="s">
        <v>61</v>
      </c>
      <c r="C35" s="15">
        <v>155748</v>
      </c>
      <c r="D35" s="14">
        <f t="shared" si="2"/>
        <v>229555</v>
      </c>
      <c r="E35" s="231"/>
      <c r="F35" s="257"/>
      <c r="G35" s="228">
        <v>2100</v>
      </c>
      <c r="H35" s="231"/>
      <c r="I35" s="219">
        <v>1300</v>
      </c>
      <c r="J35" s="217"/>
      <c r="K35" s="217">
        <v>929</v>
      </c>
      <c r="L35" s="217">
        <v>29666</v>
      </c>
      <c r="M35" s="9">
        <f t="shared" si="0"/>
        <v>30595</v>
      </c>
      <c r="N35" s="217"/>
      <c r="O35" s="217">
        <f>13534+182026</f>
        <v>195560</v>
      </c>
      <c r="P35" s="217"/>
      <c r="Q35" s="214">
        <f t="shared" si="1"/>
        <v>195560</v>
      </c>
      <c r="R35" s="231"/>
    </row>
    <row r="36" spans="1:20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</row>
    <row r="37" spans="1:20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</row>
    <row r="38" spans="1:20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</row>
    <row r="39" spans="1:20" ht="15" thickBot="1" x14ac:dyDescent="0.35">
      <c r="A39" s="39">
        <v>562.79</v>
      </c>
      <c r="B39" s="40" t="s">
        <v>64</v>
      </c>
      <c r="C39" s="15">
        <v>93125</v>
      </c>
      <c r="D39" s="14">
        <f t="shared" si="2"/>
        <v>102321</v>
      </c>
      <c r="E39" s="231"/>
      <c r="F39" s="257">
        <v>92227</v>
      </c>
      <c r="G39" s="228"/>
      <c r="H39" s="231"/>
      <c r="I39" s="219"/>
      <c r="J39" s="217"/>
      <c r="K39" s="217"/>
      <c r="L39" s="217">
        <v>10094</v>
      </c>
      <c r="M39" s="9">
        <f t="shared" si="0"/>
        <v>10094</v>
      </c>
      <c r="N39" s="217"/>
      <c r="O39" s="217"/>
      <c r="P39" s="217"/>
      <c r="Q39" s="214">
        <f t="shared" si="1"/>
        <v>0</v>
      </c>
      <c r="R39" s="231"/>
    </row>
    <row r="40" spans="1:20" ht="15" thickBot="1" x14ac:dyDescent="0.35">
      <c r="A40" s="39">
        <v>562.79999999999995</v>
      </c>
      <c r="B40" s="40" t="s">
        <v>65</v>
      </c>
      <c r="C40" s="15"/>
      <c r="D40" s="14">
        <f t="shared" si="2"/>
        <v>0</v>
      </c>
      <c r="E40" s="231"/>
      <c r="F40" s="257"/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</row>
    <row r="41" spans="1:20" ht="15" thickBot="1" x14ac:dyDescent="0.35">
      <c r="A41" s="39">
        <v>562.88</v>
      </c>
      <c r="B41" s="82" t="s">
        <v>91</v>
      </c>
      <c r="C41" s="15">
        <v>246103</v>
      </c>
      <c r="D41" s="14">
        <f t="shared" si="2"/>
        <v>246103</v>
      </c>
      <c r="E41" s="231"/>
      <c r="F41" s="257"/>
      <c r="G41" s="228"/>
      <c r="H41" s="231">
        <v>118125</v>
      </c>
      <c r="I41" s="219"/>
      <c r="J41" s="217"/>
      <c r="K41" s="217"/>
      <c r="L41" s="217">
        <v>125365</v>
      </c>
      <c r="M41" s="9">
        <f t="shared" si="0"/>
        <v>125365</v>
      </c>
      <c r="N41" s="217"/>
      <c r="O41" s="217"/>
      <c r="P41" s="217"/>
      <c r="Q41" s="214">
        <f t="shared" si="1"/>
        <v>0</v>
      </c>
      <c r="R41" s="231">
        <v>2613</v>
      </c>
      <c r="S41" s="199">
        <v>367</v>
      </c>
      <c r="T41" s="200">
        <v>2613</v>
      </c>
    </row>
    <row r="42" spans="1:20" ht="15" thickBot="1" x14ac:dyDescent="0.35">
      <c r="A42" s="39">
        <v>562.9</v>
      </c>
      <c r="B42" s="40" t="s">
        <v>66</v>
      </c>
      <c r="C42" s="15">
        <v>48974</v>
      </c>
      <c r="D42" s="14">
        <f t="shared" si="2"/>
        <v>59900</v>
      </c>
      <c r="E42" s="231"/>
      <c r="F42" s="257"/>
      <c r="G42" s="228"/>
      <c r="H42" s="231"/>
      <c r="I42" s="219"/>
      <c r="J42" s="217"/>
      <c r="K42" s="217"/>
      <c r="L42" s="217">
        <f>14087+40665</f>
        <v>54752</v>
      </c>
      <c r="M42" s="9">
        <f t="shared" si="0"/>
        <v>54752</v>
      </c>
      <c r="N42" s="217"/>
      <c r="O42" s="217">
        <v>5148</v>
      </c>
      <c r="P42" s="217"/>
      <c r="Q42" s="214">
        <f t="shared" si="1"/>
        <v>5148</v>
      </c>
      <c r="R42" s="231"/>
    </row>
    <row r="43" spans="1:20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</row>
    <row r="44" spans="1:20" x14ac:dyDescent="0.3">
      <c r="A44" s="206" t="s">
        <v>110</v>
      </c>
      <c r="B44" s="207" t="s">
        <v>68</v>
      </c>
      <c r="C44" s="208">
        <f>SUM(C5:C43)</f>
        <v>7956753</v>
      </c>
      <c r="D44" s="205">
        <f>E44+F44+G44+H44+I44+M44+Q44+R44</f>
        <v>8444009</v>
      </c>
      <c r="E44" s="233">
        <f t="shared" ref="E44:R44" si="3">SUM(E5:E43)</f>
        <v>53804</v>
      </c>
      <c r="F44" s="259">
        <f t="shared" si="3"/>
        <v>1038880</v>
      </c>
      <c r="G44" s="223">
        <f t="shared" si="3"/>
        <v>484325</v>
      </c>
      <c r="H44" s="233">
        <f t="shared" si="3"/>
        <v>712831</v>
      </c>
      <c r="I44" s="239">
        <f t="shared" si="3"/>
        <v>458682</v>
      </c>
      <c r="J44" s="245">
        <f>SUM(J5:J43)</f>
        <v>0</v>
      </c>
      <c r="K44" s="245">
        <f>SUM(K5:K43)</f>
        <v>479138</v>
      </c>
      <c r="L44" s="245">
        <f>SUM(L5:L43)</f>
        <v>1411772</v>
      </c>
      <c r="M44" s="208">
        <f t="shared" si="3"/>
        <v>1890910</v>
      </c>
      <c r="N44" s="245">
        <f>SUM(N5:N43)</f>
        <v>725712</v>
      </c>
      <c r="O44" s="245">
        <f>SUM(O5:O43)</f>
        <v>3000123</v>
      </c>
      <c r="P44" s="245">
        <f>SUM(P5:P43)</f>
        <v>0</v>
      </c>
      <c r="Q44" s="216">
        <f t="shared" si="3"/>
        <v>3725835</v>
      </c>
      <c r="R44" s="233">
        <f t="shared" si="3"/>
        <v>78742</v>
      </c>
    </row>
    <row r="45" spans="1:20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</row>
    <row r="46" spans="1:20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</row>
    <row r="47" spans="1:20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</row>
    <row r="48" spans="1:20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</row>
    <row r="49" spans="1:18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</row>
    <row r="50" spans="1:18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</row>
    <row r="51" spans="1:18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</row>
    <row r="52" spans="1:18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</row>
    <row r="53" spans="1:18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</row>
    <row r="54" spans="1:18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</row>
    <row r="55" spans="1:18" x14ac:dyDescent="0.3">
      <c r="A55" s="41">
        <v>500</v>
      </c>
      <c r="B55" s="32" t="s">
        <v>118</v>
      </c>
      <c r="C55" s="18"/>
      <c r="D55" s="20">
        <f t="shared" si="2"/>
        <v>0</v>
      </c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</row>
    <row r="56" spans="1:18" ht="15" thickBot="1" x14ac:dyDescent="0.35">
      <c r="A56" s="107"/>
      <c r="B56" s="108" t="s">
        <v>80</v>
      </c>
      <c r="C56" s="111">
        <f>SUM(C44:C55)</f>
        <v>7956753</v>
      </c>
      <c r="D56" s="110">
        <f>E56+F56+G56+H56+I56+M56+Q56+R56</f>
        <v>8444009</v>
      </c>
      <c r="E56" s="235">
        <f t="shared" ref="E56:R56" si="4">SUM(E44:E55)</f>
        <v>53804</v>
      </c>
      <c r="F56" s="260">
        <f t="shared" si="4"/>
        <v>1038880</v>
      </c>
      <c r="G56" s="225">
        <f t="shared" si="4"/>
        <v>484325</v>
      </c>
      <c r="H56" s="235">
        <f t="shared" si="4"/>
        <v>712831</v>
      </c>
      <c r="I56" s="240">
        <f t="shared" si="4"/>
        <v>458682</v>
      </c>
      <c r="J56" s="218">
        <f>SUM(J44:J55)</f>
        <v>0</v>
      </c>
      <c r="K56" s="218">
        <f>SUM(K44:K55)</f>
        <v>479138</v>
      </c>
      <c r="L56" s="218">
        <f>SUM(L44:L55)</f>
        <v>1411772</v>
      </c>
      <c r="M56" s="209">
        <f t="shared" si="4"/>
        <v>1890910</v>
      </c>
      <c r="N56" s="218">
        <f>SUM(N44:N55)</f>
        <v>725712</v>
      </c>
      <c r="O56" s="218">
        <f>SUM(O44:O55)</f>
        <v>3000123</v>
      </c>
      <c r="P56" s="218">
        <f>SUM(P44:P55)</f>
        <v>0</v>
      </c>
      <c r="Q56" s="218">
        <f t="shared" si="4"/>
        <v>3725835</v>
      </c>
      <c r="R56" s="235">
        <f t="shared" si="4"/>
        <v>78742</v>
      </c>
    </row>
    <row r="57" spans="1:18" ht="15" thickTop="1" x14ac:dyDescent="0.3"/>
    <row r="58" spans="1:18" ht="15" thickBot="1" x14ac:dyDescent="0.35"/>
    <row r="59" spans="1:18" ht="15" thickBot="1" x14ac:dyDescent="0.35">
      <c r="B59" s="42" t="s">
        <v>109</v>
      </c>
      <c r="C59" s="43"/>
      <c r="D59" s="44"/>
    </row>
    <row r="60" spans="1:18" ht="15" thickTop="1" x14ac:dyDescent="0.3">
      <c r="B60" s="115"/>
      <c r="C60" s="116" t="s">
        <v>82</v>
      </c>
      <c r="D60" s="117" t="s">
        <v>78</v>
      </c>
    </row>
    <row r="61" spans="1:18" x14ac:dyDescent="0.3">
      <c r="B61" s="153" t="s">
        <v>108</v>
      </c>
      <c r="C61" s="45"/>
      <c r="D61" s="46"/>
    </row>
    <row r="62" spans="1:18" x14ac:dyDescent="0.3">
      <c r="B62" s="26" t="s">
        <v>3</v>
      </c>
      <c r="C62" s="47">
        <f>E56</f>
        <v>53804</v>
      </c>
      <c r="D62" s="48">
        <f>E56/D56</f>
        <v>6.371854885517057E-3</v>
      </c>
    </row>
    <row r="63" spans="1:18" x14ac:dyDescent="0.3">
      <c r="B63" s="26" t="s">
        <v>4</v>
      </c>
      <c r="C63" s="49">
        <f>F56</f>
        <v>1038880</v>
      </c>
      <c r="D63" s="48">
        <f>F56/D56</f>
        <v>0.12303160737985949</v>
      </c>
    </row>
    <row r="64" spans="1:18" x14ac:dyDescent="0.3">
      <c r="B64" s="56" t="s">
        <v>79</v>
      </c>
      <c r="C64" s="50">
        <f>G56</f>
        <v>484325</v>
      </c>
      <c r="D64" s="51">
        <f>G56/D56</f>
        <v>5.7357233986842032E-2</v>
      </c>
    </row>
    <row r="65" spans="2:4" ht="15" thickBot="1" x14ac:dyDescent="0.35">
      <c r="B65" s="146" t="s">
        <v>115</v>
      </c>
      <c r="C65" s="52">
        <f>SUM(C62:C64)</f>
        <v>1577009</v>
      </c>
      <c r="D65" s="53">
        <f>SUM(D62:D64)</f>
        <v>0.18676069625221858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712831</v>
      </c>
      <c r="D67" s="25">
        <f>H56/D56</f>
        <v>8.4418550477622659E-2</v>
      </c>
    </row>
    <row r="68" spans="2:4" x14ac:dyDescent="0.3">
      <c r="B68" s="57" t="s">
        <v>7</v>
      </c>
      <c r="C68" s="27">
        <f>I56</f>
        <v>458682</v>
      </c>
      <c r="D68" s="28">
        <f>I56/D56</f>
        <v>5.4320406337795238E-2</v>
      </c>
    </row>
    <row r="69" spans="2:4" ht="15" thickBot="1" x14ac:dyDescent="0.35">
      <c r="B69" s="146" t="s">
        <v>116</v>
      </c>
      <c r="C69" s="52">
        <f>SUM(C67:C68)</f>
        <v>1171513</v>
      </c>
      <c r="D69" s="53">
        <f>SUM(D67:D68)</f>
        <v>0.1387389568154179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1890910</v>
      </c>
      <c r="D71" s="25">
        <f>M56/D56</f>
        <v>0.22393510002180245</v>
      </c>
    </row>
    <row r="72" spans="2:4" x14ac:dyDescent="0.3">
      <c r="B72" s="24" t="s">
        <v>8</v>
      </c>
      <c r="C72" s="23">
        <f>Q56</f>
        <v>3725835</v>
      </c>
      <c r="D72" s="25">
        <f>Q56/D56</f>
        <v>0.44124005552338941</v>
      </c>
    </row>
    <row r="73" spans="2:4" x14ac:dyDescent="0.3">
      <c r="B73" s="163" t="s">
        <v>83</v>
      </c>
      <c r="C73" s="27">
        <f>R56</f>
        <v>78742</v>
      </c>
      <c r="D73" s="28">
        <f>R56/D56</f>
        <v>9.3251913871716628E-3</v>
      </c>
    </row>
    <row r="74" spans="2:4" ht="15" thickBot="1" x14ac:dyDescent="0.35">
      <c r="B74" s="146" t="s">
        <v>117</v>
      </c>
      <c r="C74" s="52">
        <f>SUM(C71:C73)</f>
        <v>5695487</v>
      </c>
      <c r="D74" s="53">
        <f>SUM(D71:D73)</f>
        <v>0.6745003469323636</v>
      </c>
    </row>
    <row r="75" spans="2:4" ht="15" thickBot="1" x14ac:dyDescent="0.35">
      <c r="B75" s="157" t="s">
        <v>80</v>
      </c>
      <c r="C75" s="158">
        <f>C65+C69+C74</f>
        <v>8444009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35" priority="7">
      <formula>ROW()=EVEN(ROW())</formula>
    </cfRule>
  </conditionalFormatting>
  <conditionalFormatting sqref="A55:B55">
    <cfRule type="expression" dxfId="34" priority="5">
      <formula>ROW()=EVEN(ROW())</formula>
    </cfRule>
  </conditionalFormatting>
  <conditionalFormatting sqref="A54:B54">
    <cfRule type="expression" dxfId="33" priority="4">
      <formula>ROW()=EVEN(ROW())</formula>
    </cfRule>
  </conditionalFormatting>
  <conditionalFormatting sqref="M45:M55">
    <cfRule type="expression" dxfId="32" priority="3">
      <formula>ROW()=EVEN(ROW())</formula>
    </cfRule>
  </conditionalFormatting>
  <conditionalFormatting sqref="D45:D55">
    <cfRule type="expression" dxfId="31" priority="2">
      <formula>ROW()=EVEN(ROW())</formula>
    </cfRule>
  </conditionalFormatting>
  <conditionalFormatting sqref="N44:P55">
    <cfRule type="expression" dxfId="30" priority="1">
      <formula>ROW()=EVEN(ROW())</formula>
    </cfRule>
  </conditionalFormatting>
  <printOptions horizontalCentered="1"/>
  <pageMargins left="0" right="0" top="1.1000000000000001" bottom="0.5" header="0.3" footer="0.3"/>
  <pageSetup scale="59" fitToHeight="0" orientation="landscape" r:id="rId1"/>
  <headerFooter>
    <oddHeader>&amp;C&amp;"-,Bold"&amp;20Funding by Expenditure Code and Revenue Source&amp;"-,Regular"&amp;11
&amp;"-,Bold"&amp;20 2014&amp;"-,Regular"&amp;11
&amp;"-,Bold"&amp;20THURSTON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8"/>
  <sheetViews>
    <sheetView showZeros="0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0" x14ac:dyDescent="0.3">
      <c r="A1" s="22" t="s">
        <v>150</v>
      </c>
      <c r="B1" s="6"/>
      <c r="C1" s="31">
        <v>4010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0" x14ac:dyDescent="0.3">
      <c r="A2" s="80" t="s">
        <v>44</v>
      </c>
      <c r="B2" s="5"/>
      <c r="C2" s="83">
        <v>5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147</v>
      </c>
    </row>
    <row r="3" spans="1:20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0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</row>
    <row r="5" spans="1:20" ht="15" thickBot="1" x14ac:dyDescent="0.35">
      <c r="A5" s="36">
        <v>562.1</v>
      </c>
      <c r="B5" s="37" t="s">
        <v>47</v>
      </c>
      <c r="C5" s="16"/>
      <c r="D5" s="14">
        <f>E5+F5+G5+H5+I5+M5+Q5+R5</f>
        <v>21505</v>
      </c>
      <c r="E5" s="236">
        <v>0</v>
      </c>
      <c r="F5" s="256"/>
      <c r="G5" s="227"/>
      <c r="H5" s="236">
        <v>0</v>
      </c>
      <c r="I5" s="241">
        <v>0</v>
      </c>
      <c r="J5" s="214"/>
      <c r="K5" s="214"/>
      <c r="L5" s="214">
        <v>16549</v>
      </c>
      <c r="M5" s="9">
        <f>SUM(J5:L5)</f>
        <v>16549</v>
      </c>
      <c r="N5" s="214"/>
      <c r="O5" s="214"/>
      <c r="P5" s="214"/>
      <c r="Q5" s="214">
        <f>SUM(N5:P5)</f>
        <v>0</v>
      </c>
      <c r="R5" s="236">
        <v>4956</v>
      </c>
      <c r="S5" s="199">
        <v>308</v>
      </c>
      <c r="T5" s="200">
        <v>4956</v>
      </c>
    </row>
    <row r="6" spans="1:20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</row>
    <row r="7" spans="1:20" ht="15" thickBot="1" x14ac:dyDescent="0.35">
      <c r="A7" s="39">
        <v>562.22</v>
      </c>
      <c r="B7" s="82" t="s">
        <v>92</v>
      </c>
      <c r="C7" s="15">
        <v>38263</v>
      </c>
      <c r="D7" s="14">
        <f t="shared" ref="D7:D55" si="2">E7+F7+G7+H7+I7+M7+Q7+R7</f>
        <v>34824</v>
      </c>
      <c r="E7" s="231"/>
      <c r="F7" s="257"/>
      <c r="G7" s="228"/>
      <c r="H7" s="231">
        <v>29260</v>
      </c>
      <c r="I7" s="219"/>
      <c r="J7" s="217"/>
      <c r="K7" s="217"/>
      <c r="L7" s="217"/>
      <c r="M7" s="9">
        <f t="shared" si="0"/>
        <v>0</v>
      </c>
      <c r="N7" s="217"/>
      <c r="O7" s="217"/>
      <c r="P7" s="217"/>
      <c r="Q7" s="214">
        <f t="shared" si="1"/>
        <v>0</v>
      </c>
      <c r="R7" s="231">
        <v>5564</v>
      </c>
      <c r="S7" s="199">
        <v>308</v>
      </c>
      <c r="T7" s="200">
        <v>5564</v>
      </c>
    </row>
    <row r="8" spans="1:20" ht="15" thickBot="1" x14ac:dyDescent="0.35">
      <c r="A8" s="39">
        <v>562.24</v>
      </c>
      <c r="B8" s="40" t="s">
        <v>49</v>
      </c>
      <c r="C8" s="15"/>
      <c r="D8" s="14">
        <f t="shared" si="2"/>
        <v>0</v>
      </c>
      <c r="E8" s="231"/>
      <c r="F8" s="257"/>
      <c r="G8" s="228"/>
      <c r="H8" s="231"/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/>
    </row>
    <row r="9" spans="1:20" ht="15" thickBot="1" x14ac:dyDescent="0.35">
      <c r="A9" s="39">
        <v>562.25</v>
      </c>
      <c r="B9" s="82" t="s">
        <v>93</v>
      </c>
      <c r="C9" s="15"/>
      <c r="D9" s="14">
        <f t="shared" si="2"/>
        <v>0</v>
      </c>
      <c r="E9" s="231"/>
      <c r="F9" s="257"/>
      <c r="G9" s="228"/>
      <c r="H9" s="231"/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</row>
    <row r="10" spans="1:20" ht="15" thickBot="1" x14ac:dyDescent="0.35">
      <c r="A10" s="39">
        <v>562.26</v>
      </c>
      <c r="B10" s="82" t="s">
        <v>84</v>
      </c>
      <c r="C10" s="15">
        <v>3508</v>
      </c>
      <c r="D10" s="14">
        <f t="shared" si="2"/>
        <v>3508</v>
      </c>
      <c r="E10" s="231"/>
      <c r="F10" s="257"/>
      <c r="G10" s="228"/>
      <c r="H10" s="231"/>
      <c r="I10" s="219"/>
      <c r="J10" s="217"/>
      <c r="K10" s="217"/>
      <c r="L10" s="217">
        <v>3508</v>
      </c>
      <c r="M10" s="9">
        <f t="shared" si="0"/>
        <v>3508</v>
      </c>
      <c r="N10" s="217"/>
      <c r="O10" s="217"/>
      <c r="P10" s="217"/>
      <c r="Q10" s="214">
        <f t="shared" si="1"/>
        <v>0</v>
      </c>
      <c r="R10" s="231"/>
    </row>
    <row r="11" spans="1:20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</row>
    <row r="12" spans="1:20" ht="15" thickBot="1" x14ac:dyDescent="0.35">
      <c r="A12" s="39">
        <v>562.28</v>
      </c>
      <c r="B12" s="82" t="s">
        <v>94</v>
      </c>
      <c r="C12" s="15">
        <v>57999</v>
      </c>
      <c r="D12" s="14">
        <f t="shared" si="2"/>
        <v>57999</v>
      </c>
      <c r="E12" s="231"/>
      <c r="F12" s="257"/>
      <c r="G12" s="228"/>
      <c r="H12" s="231">
        <v>38600</v>
      </c>
      <c r="I12" s="219"/>
      <c r="J12" s="217"/>
      <c r="K12" s="217"/>
      <c r="L12" s="217">
        <v>6126</v>
      </c>
      <c r="M12" s="9">
        <f t="shared" si="0"/>
        <v>6126</v>
      </c>
      <c r="N12" s="217"/>
      <c r="O12" s="217"/>
      <c r="P12" s="217"/>
      <c r="Q12" s="214">
        <f t="shared" si="1"/>
        <v>0</v>
      </c>
      <c r="R12" s="231">
        <v>13273</v>
      </c>
    </row>
    <row r="13" spans="1:20" ht="15" thickBot="1" x14ac:dyDescent="0.35">
      <c r="A13" s="39">
        <v>562.29</v>
      </c>
      <c r="B13" s="82" t="s">
        <v>86</v>
      </c>
      <c r="C13" s="15">
        <v>487</v>
      </c>
      <c r="D13" s="14">
        <f t="shared" si="2"/>
        <v>1387</v>
      </c>
      <c r="E13" s="231"/>
      <c r="F13" s="257"/>
      <c r="G13" s="228"/>
      <c r="H13" s="231">
        <v>2</v>
      </c>
      <c r="I13" s="219"/>
      <c r="J13" s="217"/>
      <c r="K13" s="217"/>
      <c r="L13" s="217">
        <v>485</v>
      </c>
      <c r="M13" s="9">
        <f t="shared" si="0"/>
        <v>485</v>
      </c>
      <c r="N13" s="217"/>
      <c r="O13" s="217">
        <v>900</v>
      </c>
      <c r="P13" s="217"/>
      <c r="Q13" s="214">
        <f t="shared" si="1"/>
        <v>900</v>
      </c>
      <c r="R13" s="231"/>
    </row>
    <row r="14" spans="1:20" ht="15" thickBot="1" x14ac:dyDescent="0.35">
      <c r="A14" s="39">
        <v>562.32000000000005</v>
      </c>
      <c r="B14" s="40" t="s">
        <v>50</v>
      </c>
      <c r="C14" s="15">
        <f>3651+2567+4142+2205</f>
        <v>12565</v>
      </c>
      <c r="D14" s="14">
        <f t="shared" si="2"/>
        <v>12535</v>
      </c>
      <c r="E14" s="231"/>
      <c r="F14" s="257"/>
      <c r="G14" s="228"/>
      <c r="H14" s="231">
        <f>761+2150</f>
        <v>2911</v>
      </c>
      <c r="I14" s="219"/>
      <c r="J14" s="217"/>
      <c r="K14" s="217"/>
      <c r="L14" s="217">
        <f>2860+417+4142+2205</f>
        <v>9624</v>
      </c>
      <c r="M14" s="9">
        <f t="shared" si="0"/>
        <v>9624</v>
      </c>
      <c r="N14" s="217"/>
      <c r="O14" s="217"/>
      <c r="P14" s="217"/>
      <c r="Q14" s="214">
        <f t="shared" si="1"/>
        <v>0</v>
      </c>
      <c r="R14" s="231"/>
    </row>
    <row r="15" spans="1:20" ht="15" thickBot="1" x14ac:dyDescent="0.35">
      <c r="A15" s="39">
        <v>562.33000000000004</v>
      </c>
      <c r="B15" s="82" t="s">
        <v>95</v>
      </c>
      <c r="C15" s="15"/>
      <c r="D15" s="14">
        <f t="shared" si="2"/>
        <v>0</v>
      </c>
      <c r="E15" s="231"/>
      <c r="F15" s="257"/>
      <c r="G15" s="228"/>
      <c r="H15" s="231"/>
      <c r="I15" s="219"/>
      <c r="J15" s="217"/>
      <c r="K15" s="217"/>
      <c r="L15" s="217"/>
      <c r="M15" s="9">
        <f t="shared" si="0"/>
        <v>0</v>
      </c>
      <c r="N15" s="217"/>
      <c r="O15" s="217"/>
      <c r="P15" s="217"/>
      <c r="Q15" s="214">
        <f t="shared" si="1"/>
        <v>0</v>
      </c>
      <c r="R15" s="231"/>
    </row>
    <row r="16" spans="1:20" ht="15" thickBot="1" x14ac:dyDescent="0.35">
      <c r="A16" s="39">
        <v>562.34</v>
      </c>
      <c r="B16" s="40" t="s">
        <v>51</v>
      </c>
      <c r="C16" s="15">
        <v>2140</v>
      </c>
      <c r="D16" s="14">
        <f t="shared" si="2"/>
        <v>2140</v>
      </c>
      <c r="E16" s="231"/>
      <c r="F16" s="257"/>
      <c r="G16" s="228"/>
      <c r="H16" s="231"/>
      <c r="I16" s="219"/>
      <c r="J16" s="217"/>
      <c r="K16" s="217"/>
      <c r="L16" s="217">
        <v>2140</v>
      </c>
      <c r="M16" s="9">
        <f t="shared" si="0"/>
        <v>2140</v>
      </c>
      <c r="N16" s="217"/>
      <c r="O16" s="217"/>
      <c r="P16" s="217"/>
      <c r="Q16" s="214">
        <f t="shared" si="1"/>
        <v>0</v>
      </c>
      <c r="R16" s="231"/>
      <c r="T16" s="204"/>
    </row>
    <row r="17" spans="1:20" ht="15" thickBot="1" x14ac:dyDescent="0.35">
      <c r="A17" s="39">
        <v>562.35</v>
      </c>
      <c r="B17" s="40" t="s">
        <v>52</v>
      </c>
      <c r="C17" s="15"/>
      <c r="D17" s="14">
        <f t="shared" si="2"/>
        <v>0</v>
      </c>
      <c r="E17" s="231"/>
      <c r="F17" s="257"/>
      <c r="G17" s="228"/>
      <c r="H17" s="231"/>
      <c r="I17" s="219"/>
      <c r="J17" s="217"/>
      <c r="K17" s="217"/>
      <c r="L17" s="217"/>
      <c r="M17" s="9">
        <f t="shared" si="0"/>
        <v>0</v>
      </c>
      <c r="N17" s="217"/>
      <c r="O17" s="217"/>
      <c r="P17" s="217"/>
      <c r="Q17" s="214">
        <f t="shared" si="1"/>
        <v>0</v>
      </c>
      <c r="R17" s="231"/>
    </row>
    <row r="18" spans="1:20" ht="15" thickBot="1" x14ac:dyDescent="0.35">
      <c r="A18" s="39">
        <v>562.39</v>
      </c>
      <c r="B18" s="40" t="s">
        <v>53</v>
      </c>
      <c r="C18" s="15"/>
      <c r="D18" s="14">
        <f t="shared" si="2"/>
        <v>0</v>
      </c>
      <c r="E18" s="231"/>
      <c r="F18" s="257"/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/>
      <c r="P18" s="217"/>
      <c r="Q18" s="214">
        <f t="shared" si="1"/>
        <v>0</v>
      </c>
      <c r="R18" s="231"/>
    </row>
    <row r="19" spans="1:20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</row>
    <row r="20" spans="1:20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</row>
    <row r="21" spans="1:20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</row>
    <row r="22" spans="1:20" ht="15" thickBot="1" x14ac:dyDescent="0.35">
      <c r="A22" s="39">
        <v>562.44000000000005</v>
      </c>
      <c r="B22" s="82" t="s">
        <v>97</v>
      </c>
      <c r="C22" s="15">
        <v>36463</v>
      </c>
      <c r="D22" s="14">
        <f t="shared" si="2"/>
        <v>36463</v>
      </c>
      <c r="E22" s="231"/>
      <c r="F22" s="257"/>
      <c r="G22" s="228"/>
      <c r="H22" s="231">
        <v>14050</v>
      </c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>
        <v>22413</v>
      </c>
      <c r="S22" s="199">
        <v>308</v>
      </c>
      <c r="T22" s="200">
        <v>22413</v>
      </c>
    </row>
    <row r="23" spans="1:20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</row>
    <row r="24" spans="1:20" ht="15" thickBot="1" x14ac:dyDescent="0.35">
      <c r="A24" s="39">
        <v>562.49</v>
      </c>
      <c r="B24" s="82" t="s">
        <v>87</v>
      </c>
      <c r="C24" s="15"/>
      <c r="D24" s="14">
        <f t="shared" si="2"/>
        <v>0</v>
      </c>
      <c r="E24" s="231"/>
      <c r="F24" s="257"/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</row>
    <row r="25" spans="1:20" ht="15" thickBot="1" x14ac:dyDescent="0.35">
      <c r="A25" s="39">
        <v>562.52</v>
      </c>
      <c r="B25" s="40" t="s">
        <v>56</v>
      </c>
      <c r="C25" s="15"/>
      <c r="D25" s="14">
        <f t="shared" si="2"/>
        <v>0</v>
      </c>
      <c r="E25" s="231"/>
      <c r="F25" s="257"/>
      <c r="G25" s="228"/>
      <c r="H25" s="231"/>
      <c r="I25" s="219"/>
      <c r="J25" s="217"/>
      <c r="K25" s="217"/>
      <c r="L25" s="217"/>
      <c r="M25" s="9">
        <f t="shared" si="0"/>
        <v>0</v>
      </c>
      <c r="N25" s="217"/>
      <c r="O25" s="217"/>
      <c r="P25" s="217"/>
      <c r="Q25" s="214">
        <f t="shared" si="1"/>
        <v>0</v>
      </c>
      <c r="R25" s="231"/>
    </row>
    <row r="26" spans="1:20" ht="15" thickBot="1" x14ac:dyDescent="0.35">
      <c r="A26" s="39">
        <v>562.53</v>
      </c>
      <c r="B26" s="82" t="s">
        <v>99</v>
      </c>
      <c r="C26" s="15">
        <v>24406</v>
      </c>
      <c r="D26" s="14">
        <f t="shared" si="2"/>
        <v>24406</v>
      </c>
      <c r="E26" s="231"/>
      <c r="F26" s="257"/>
      <c r="G26" s="228">
        <v>23915</v>
      </c>
      <c r="H26" s="231"/>
      <c r="I26" s="219"/>
      <c r="J26" s="217"/>
      <c r="K26" s="217"/>
      <c r="L26" s="217">
        <v>491</v>
      </c>
      <c r="M26" s="9">
        <f t="shared" si="0"/>
        <v>491</v>
      </c>
      <c r="N26" s="217"/>
      <c r="O26" s="217"/>
      <c r="P26" s="217"/>
      <c r="Q26" s="214">
        <f t="shared" si="1"/>
        <v>0</v>
      </c>
      <c r="R26" s="231"/>
    </row>
    <row r="27" spans="1:20" ht="15" thickBot="1" x14ac:dyDescent="0.35">
      <c r="A27" s="39">
        <v>562.54</v>
      </c>
      <c r="B27" s="82" t="s">
        <v>100</v>
      </c>
      <c r="C27" s="15">
        <v>24339</v>
      </c>
      <c r="D27" s="14">
        <f t="shared" si="2"/>
        <v>24339</v>
      </c>
      <c r="E27" s="231"/>
      <c r="F27" s="257"/>
      <c r="G27" s="228"/>
      <c r="H27" s="231"/>
      <c r="I27" s="219"/>
      <c r="J27" s="217"/>
      <c r="K27" s="217"/>
      <c r="L27" s="217">
        <v>10899</v>
      </c>
      <c r="M27" s="9">
        <f t="shared" si="0"/>
        <v>10899</v>
      </c>
      <c r="N27" s="217">
        <v>13440</v>
      </c>
      <c r="O27" s="217"/>
      <c r="P27" s="217"/>
      <c r="Q27" s="214">
        <f t="shared" si="1"/>
        <v>13440</v>
      </c>
      <c r="R27" s="231"/>
    </row>
    <row r="28" spans="1:20" ht="15" thickBot="1" x14ac:dyDescent="0.35">
      <c r="A28" s="39">
        <v>562.54999999999995</v>
      </c>
      <c r="B28" s="40" t="s">
        <v>57</v>
      </c>
      <c r="C28" s="15">
        <v>1855</v>
      </c>
      <c r="D28" s="14">
        <f t="shared" si="2"/>
        <v>1855</v>
      </c>
      <c r="E28" s="231"/>
      <c r="F28" s="257"/>
      <c r="G28" s="228"/>
      <c r="H28" s="231"/>
      <c r="I28" s="219"/>
      <c r="J28" s="217"/>
      <c r="K28" s="217"/>
      <c r="L28" s="217">
        <v>1855</v>
      </c>
      <c r="M28" s="9">
        <f t="shared" si="0"/>
        <v>1855</v>
      </c>
      <c r="N28" s="217"/>
      <c r="O28" s="217"/>
      <c r="P28" s="217"/>
      <c r="Q28" s="214">
        <f t="shared" si="1"/>
        <v>0</v>
      </c>
      <c r="R28" s="231"/>
    </row>
    <row r="29" spans="1:20" ht="15" thickBot="1" x14ac:dyDescent="0.35">
      <c r="A29" s="39">
        <v>562.55999999999995</v>
      </c>
      <c r="B29" s="40" t="s">
        <v>58</v>
      </c>
      <c r="C29" s="15">
        <v>31709</v>
      </c>
      <c r="D29" s="14">
        <f t="shared" si="2"/>
        <v>31709</v>
      </c>
      <c r="E29" s="231"/>
      <c r="F29" s="257"/>
      <c r="G29" s="228"/>
      <c r="H29" s="231"/>
      <c r="I29" s="219"/>
      <c r="J29" s="217"/>
      <c r="K29" s="217"/>
      <c r="L29" s="217">
        <v>25701</v>
      </c>
      <c r="M29" s="9">
        <f t="shared" si="0"/>
        <v>25701</v>
      </c>
      <c r="N29" s="217">
        <v>6008</v>
      </c>
      <c r="O29" s="217"/>
      <c r="P29" s="217"/>
      <c r="Q29" s="214">
        <f t="shared" si="1"/>
        <v>6008</v>
      </c>
      <c r="R29" s="231"/>
    </row>
    <row r="30" spans="1:20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</row>
    <row r="31" spans="1:20" ht="15" thickBot="1" x14ac:dyDescent="0.35">
      <c r="A31" s="39">
        <v>562.58000000000004</v>
      </c>
      <c r="B31" s="82" t="s">
        <v>88</v>
      </c>
      <c r="C31" s="15">
        <v>42</v>
      </c>
      <c r="D31" s="14">
        <f t="shared" si="2"/>
        <v>185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v>185</v>
      </c>
      <c r="O31" s="217"/>
      <c r="P31" s="217"/>
      <c r="Q31" s="214">
        <f t="shared" si="1"/>
        <v>185</v>
      </c>
      <c r="R31" s="231"/>
    </row>
    <row r="32" spans="1:20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</row>
    <row r="33" spans="1:20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</row>
    <row r="34" spans="1:20" ht="15" thickBot="1" x14ac:dyDescent="0.35">
      <c r="A34" s="39">
        <v>562.71</v>
      </c>
      <c r="B34" s="40" t="s">
        <v>60</v>
      </c>
      <c r="C34" s="15">
        <v>773</v>
      </c>
      <c r="D34" s="14">
        <f t="shared" si="2"/>
        <v>825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/>
      <c r="P34" s="217">
        <v>825</v>
      </c>
      <c r="Q34" s="214">
        <f t="shared" si="1"/>
        <v>825</v>
      </c>
      <c r="R34" s="231"/>
    </row>
    <row r="35" spans="1:20" ht="15" thickBot="1" x14ac:dyDescent="0.35">
      <c r="A35" s="39">
        <v>562.72</v>
      </c>
      <c r="B35" s="40" t="s">
        <v>61</v>
      </c>
      <c r="C35" s="15">
        <v>4935</v>
      </c>
      <c r="D35" s="14">
        <f t="shared" si="2"/>
        <v>4935</v>
      </c>
      <c r="E35" s="231"/>
      <c r="F35" s="257"/>
      <c r="G35" s="228"/>
      <c r="H35" s="231"/>
      <c r="I35" s="219"/>
      <c r="J35" s="217"/>
      <c r="K35" s="217"/>
      <c r="L35" s="217">
        <v>280</v>
      </c>
      <c r="M35" s="9">
        <f t="shared" si="0"/>
        <v>280</v>
      </c>
      <c r="N35" s="217"/>
      <c r="O35" s="217">
        <v>4655</v>
      </c>
      <c r="P35" s="217"/>
      <c r="Q35" s="214">
        <f t="shared" si="1"/>
        <v>4655</v>
      </c>
      <c r="R35" s="231"/>
    </row>
    <row r="36" spans="1:20" ht="15" thickBot="1" x14ac:dyDescent="0.35">
      <c r="A36" s="39">
        <v>562.73</v>
      </c>
      <c r="B36" s="40" t="s">
        <v>62</v>
      </c>
      <c r="C36" s="15">
        <v>4734</v>
      </c>
      <c r="D36" s="14">
        <f t="shared" si="2"/>
        <v>4734</v>
      </c>
      <c r="E36" s="231"/>
      <c r="F36" s="257"/>
      <c r="G36" s="228"/>
      <c r="H36" s="231"/>
      <c r="I36" s="219"/>
      <c r="J36" s="217"/>
      <c r="K36" s="217"/>
      <c r="L36" s="217">
        <v>4734</v>
      </c>
      <c r="M36" s="9">
        <f t="shared" si="0"/>
        <v>4734</v>
      </c>
      <c r="N36" s="217"/>
      <c r="O36" s="217"/>
      <c r="P36" s="217"/>
      <c r="Q36" s="214">
        <f t="shared" si="1"/>
        <v>0</v>
      </c>
      <c r="R36" s="231"/>
    </row>
    <row r="37" spans="1:20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</row>
    <row r="38" spans="1:20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</row>
    <row r="39" spans="1:20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</row>
    <row r="40" spans="1:20" ht="15" thickBot="1" x14ac:dyDescent="0.35">
      <c r="A40" s="39">
        <v>562.79999999999995</v>
      </c>
      <c r="B40" s="40" t="s">
        <v>65</v>
      </c>
      <c r="C40" s="15"/>
      <c r="D40" s="14">
        <f t="shared" si="2"/>
        <v>0</v>
      </c>
      <c r="E40" s="231"/>
      <c r="F40" s="257"/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</row>
    <row r="41" spans="1:20" ht="15" thickBot="1" x14ac:dyDescent="0.35">
      <c r="A41" s="39">
        <v>562.88</v>
      </c>
      <c r="B41" s="82" t="s">
        <v>91</v>
      </c>
      <c r="C41" s="15">
        <f>20586+20305+635+115872+639</f>
        <v>158037</v>
      </c>
      <c r="D41" s="14">
        <f t="shared" si="2"/>
        <v>181921</v>
      </c>
      <c r="E41" s="231"/>
      <c r="F41" s="276">
        <v>93181</v>
      </c>
      <c r="G41" s="228"/>
      <c r="H41" s="231">
        <f>31365+20300+1200</f>
        <v>52865</v>
      </c>
      <c r="I41" s="219">
        <v>12997</v>
      </c>
      <c r="J41" s="217"/>
      <c r="K41" s="217"/>
      <c r="L41" s="217">
        <f>5+182</f>
        <v>187</v>
      </c>
      <c r="M41" s="9">
        <f t="shared" si="0"/>
        <v>187</v>
      </c>
      <c r="N41" s="217"/>
      <c r="O41" s="217"/>
      <c r="P41" s="217"/>
      <c r="Q41" s="214">
        <f t="shared" si="1"/>
        <v>0</v>
      </c>
      <c r="R41" s="231">
        <v>22691</v>
      </c>
      <c r="S41" s="199">
        <v>369.9</v>
      </c>
      <c r="T41" s="200">
        <v>22691</v>
      </c>
    </row>
    <row r="42" spans="1:20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</row>
    <row r="43" spans="1:20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</row>
    <row r="44" spans="1:20" x14ac:dyDescent="0.3">
      <c r="A44" s="206" t="s">
        <v>110</v>
      </c>
      <c r="B44" s="207" t="s">
        <v>68</v>
      </c>
      <c r="C44" s="208">
        <f>SUM(C5:C43)</f>
        <v>402255</v>
      </c>
      <c r="D44" s="205">
        <f>E44+F44+G44+H44+I44+M44+Q44+R44</f>
        <v>445270</v>
      </c>
      <c r="E44" s="233">
        <f t="shared" ref="E44:R44" si="3">SUM(E5:E43)</f>
        <v>0</v>
      </c>
      <c r="F44" s="259">
        <f t="shared" si="3"/>
        <v>93181</v>
      </c>
      <c r="G44" s="223">
        <f t="shared" si="3"/>
        <v>23915</v>
      </c>
      <c r="H44" s="233">
        <f t="shared" si="3"/>
        <v>137688</v>
      </c>
      <c r="I44" s="239">
        <f t="shared" si="3"/>
        <v>12997</v>
      </c>
      <c r="J44" s="245">
        <f>SUM(J5:J43)</f>
        <v>0</v>
      </c>
      <c r="K44" s="245">
        <f>SUM(K5:K43)</f>
        <v>0</v>
      </c>
      <c r="L44" s="245">
        <f>SUM(L5:L43)</f>
        <v>82579</v>
      </c>
      <c r="M44" s="208">
        <f t="shared" si="3"/>
        <v>82579</v>
      </c>
      <c r="N44" s="245">
        <f>SUM(N5:N43)</f>
        <v>19633</v>
      </c>
      <c r="O44" s="245">
        <f>SUM(O5:O43)</f>
        <v>5555</v>
      </c>
      <c r="P44" s="245">
        <f>SUM(P5:P43)</f>
        <v>825</v>
      </c>
      <c r="Q44" s="216">
        <f t="shared" si="3"/>
        <v>26013</v>
      </c>
      <c r="R44" s="233">
        <f t="shared" si="3"/>
        <v>68897</v>
      </c>
    </row>
    <row r="45" spans="1:20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</row>
    <row r="46" spans="1:20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</row>
    <row r="47" spans="1:20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</row>
    <row r="48" spans="1:20" ht="15" thickBot="1" x14ac:dyDescent="0.35">
      <c r="A48" s="39">
        <v>551.20000000000005</v>
      </c>
      <c r="B48" s="40" t="s">
        <v>72</v>
      </c>
      <c r="C48" s="15"/>
      <c r="D48" s="14">
        <f t="shared" si="2"/>
        <v>4078</v>
      </c>
      <c r="E48" s="231"/>
      <c r="F48" s="257"/>
      <c r="G48" s="228"/>
      <c r="H48" s="231">
        <v>4078</v>
      </c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</row>
    <row r="49" spans="1:18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</row>
    <row r="50" spans="1:18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</row>
    <row r="51" spans="1:18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</row>
    <row r="52" spans="1:18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</row>
    <row r="53" spans="1:18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</row>
    <row r="54" spans="1:18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</row>
    <row r="55" spans="1:18" x14ac:dyDescent="0.3">
      <c r="A55" s="41">
        <v>500</v>
      </c>
      <c r="B55" s="32" t="s">
        <v>118</v>
      </c>
      <c r="C55" s="18"/>
      <c r="D55" s="20">
        <f t="shared" si="2"/>
        <v>0</v>
      </c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</row>
    <row r="56" spans="1:18" ht="15" thickBot="1" x14ac:dyDescent="0.35">
      <c r="A56" s="107"/>
      <c r="B56" s="108" t="s">
        <v>80</v>
      </c>
      <c r="C56" s="111">
        <f>SUM(C44:C55)</f>
        <v>402255</v>
      </c>
      <c r="D56" s="110">
        <f>E56+F56+G56+H56+I56+M56+Q56+R56</f>
        <v>449348</v>
      </c>
      <c r="E56" s="235">
        <f t="shared" ref="E56:R56" si="4">SUM(E44:E55)</f>
        <v>0</v>
      </c>
      <c r="F56" s="260">
        <f t="shared" si="4"/>
        <v>93181</v>
      </c>
      <c r="G56" s="225">
        <f t="shared" si="4"/>
        <v>23915</v>
      </c>
      <c r="H56" s="235">
        <f t="shared" si="4"/>
        <v>141766</v>
      </c>
      <c r="I56" s="240">
        <f t="shared" si="4"/>
        <v>12997</v>
      </c>
      <c r="J56" s="218">
        <f>SUM(J44:J55)</f>
        <v>0</v>
      </c>
      <c r="K56" s="218">
        <f>SUM(K44:K55)</f>
        <v>0</v>
      </c>
      <c r="L56" s="218">
        <f>SUM(L44:L55)</f>
        <v>82579</v>
      </c>
      <c r="M56" s="209">
        <f t="shared" si="4"/>
        <v>82579</v>
      </c>
      <c r="N56" s="218">
        <f>SUM(N44:N55)</f>
        <v>19633</v>
      </c>
      <c r="O56" s="218">
        <f>SUM(O44:O55)</f>
        <v>5555</v>
      </c>
      <c r="P56" s="218">
        <f>SUM(P44:P55)</f>
        <v>825</v>
      </c>
      <c r="Q56" s="218">
        <f t="shared" si="4"/>
        <v>26013</v>
      </c>
      <c r="R56" s="235">
        <f t="shared" si="4"/>
        <v>68897</v>
      </c>
    </row>
    <row r="57" spans="1:18" ht="15" thickTop="1" x14ac:dyDescent="0.3"/>
    <row r="58" spans="1:18" ht="15" thickBot="1" x14ac:dyDescent="0.35"/>
    <row r="59" spans="1:18" ht="15" thickBot="1" x14ac:dyDescent="0.35">
      <c r="B59" s="42" t="s">
        <v>109</v>
      </c>
      <c r="C59" s="43"/>
      <c r="D59" s="44"/>
    </row>
    <row r="60" spans="1:18" ht="15" thickTop="1" x14ac:dyDescent="0.3">
      <c r="B60" s="115"/>
      <c r="C60" s="116" t="s">
        <v>82</v>
      </c>
      <c r="D60" s="117" t="s">
        <v>78</v>
      </c>
    </row>
    <row r="61" spans="1:18" x14ac:dyDescent="0.3">
      <c r="B61" s="153" t="s">
        <v>108</v>
      </c>
      <c r="C61" s="45"/>
      <c r="D61" s="46"/>
    </row>
    <row r="62" spans="1:18" x14ac:dyDescent="0.3">
      <c r="B62" s="26" t="s">
        <v>3</v>
      </c>
      <c r="C62" s="47">
        <f>E56</f>
        <v>0</v>
      </c>
      <c r="D62" s="48">
        <f>E56/D56</f>
        <v>0</v>
      </c>
    </row>
    <row r="63" spans="1:18" x14ac:dyDescent="0.3">
      <c r="B63" s="26" t="s">
        <v>4</v>
      </c>
      <c r="C63" s="49">
        <f>F56</f>
        <v>93181</v>
      </c>
      <c r="D63" s="48">
        <f>F56/D56</f>
        <v>0.20736934402734628</v>
      </c>
    </row>
    <row r="64" spans="1:18" x14ac:dyDescent="0.3">
      <c r="B64" s="56" t="s">
        <v>79</v>
      </c>
      <c r="C64" s="50">
        <f>G56</f>
        <v>23915</v>
      </c>
      <c r="D64" s="51">
        <f>G56/D56</f>
        <v>5.3221556566402879E-2</v>
      </c>
    </row>
    <row r="65" spans="2:4" ht="15" thickBot="1" x14ac:dyDescent="0.35">
      <c r="B65" s="146" t="s">
        <v>115</v>
      </c>
      <c r="C65" s="52">
        <f>SUM(C62:C64)</f>
        <v>117096</v>
      </c>
      <c r="D65" s="53">
        <f>SUM(D62:D64)</f>
        <v>0.26059090059374918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141766</v>
      </c>
      <c r="D67" s="25">
        <f>H56/D56</f>
        <v>0.31549266937874432</v>
      </c>
    </row>
    <row r="68" spans="2:4" x14ac:dyDescent="0.3">
      <c r="B68" s="57" t="s">
        <v>7</v>
      </c>
      <c r="C68" s="27">
        <f>I56</f>
        <v>12997</v>
      </c>
      <c r="D68" s="28">
        <f>I56/D56</f>
        <v>2.8924130072905632E-2</v>
      </c>
    </row>
    <row r="69" spans="2:4" ht="15" thickBot="1" x14ac:dyDescent="0.35">
      <c r="B69" s="146" t="s">
        <v>116</v>
      </c>
      <c r="C69" s="52">
        <f>SUM(C67:C68)</f>
        <v>154763</v>
      </c>
      <c r="D69" s="53">
        <f>SUM(D67:D68)</f>
        <v>0.34441679945164994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82579</v>
      </c>
      <c r="D71" s="25">
        <f>M56/D56</f>
        <v>0.18377515867434593</v>
      </c>
    </row>
    <row r="72" spans="2:4" x14ac:dyDescent="0.3">
      <c r="B72" s="24" t="s">
        <v>8</v>
      </c>
      <c r="C72" s="23">
        <f>Q56</f>
        <v>26013</v>
      </c>
      <c r="D72" s="25">
        <f>Q56/D56</f>
        <v>5.7890543632106967E-2</v>
      </c>
    </row>
    <row r="73" spans="2:4" x14ac:dyDescent="0.3">
      <c r="B73" s="163" t="s">
        <v>83</v>
      </c>
      <c r="C73" s="27">
        <f>R56</f>
        <v>68897</v>
      </c>
      <c r="D73" s="28">
        <f>R56/D56</f>
        <v>0.15332659764814799</v>
      </c>
    </row>
    <row r="74" spans="2:4" ht="15" thickBot="1" x14ac:dyDescent="0.35">
      <c r="B74" s="146" t="s">
        <v>117</v>
      </c>
      <c r="C74" s="52">
        <f>SUM(C71:C73)</f>
        <v>177489</v>
      </c>
      <c r="D74" s="53">
        <f>SUM(D71:D73)</f>
        <v>0.39499229995460089</v>
      </c>
    </row>
    <row r="75" spans="2:4" ht="15" thickBot="1" x14ac:dyDescent="0.35">
      <c r="B75" s="157" t="s">
        <v>80</v>
      </c>
      <c r="C75" s="158">
        <f>C65+C69+C74</f>
        <v>449348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29" priority="7">
      <formula>ROW()=EVEN(ROW())</formula>
    </cfRule>
  </conditionalFormatting>
  <conditionalFormatting sqref="A55:B55">
    <cfRule type="expression" dxfId="28" priority="5">
      <formula>ROW()=EVEN(ROW())</formula>
    </cfRule>
  </conditionalFormatting>
  <conditionalFormatting sqref="A54:B54">
    <cfRule type="expression" dxfId="27" priority="4">
      <formula>ROW()=EVEN(ROW())</formula>
    </cfRule>
  </conditionalFormatting>
  <conditionalFormatting sqref="M45:M55">
    <cfRule type="expression" dxfId="26" priority="3">
      <formula>ROW()=EVEN(ROW())</formula>
    </cfRule>
  </conditionalFormatting>
  <conditionalFormatting sqref="D45:D55">
    <cfRule type="expression" dxfId="25" priority="2">
      <formula>ROW()=EVEN(ROW())</formula>
    </cfRule>
  </conditionalFormatting>
  <conditionalFormatting sqref="N44:P55">
    <cfRule type="expression" dxfId="24" priority="1">
      <formula>ROW()=EVEN(ROW())</formula>
    </cfRule>
  </conditionalFormatting>
  <printOptions horizontalCentered="1"/>
  <pageMargins left="0" right="0" top="1.1000000000000001" bottom="0.5" header="0.3" footer="0.3"/>
  <pageSetup scale="59" fitToHeight="0" orientation="landscape" r:id="rId1"/>
  <headerFooter>
    <oddHeader>&amp;C&amp;"-,Bold"&amp;20Funding by Expenditure Code and Revenue Source&amp;"-,Regular"&amp;11
&amp;"-,Bold"&amp;20 2014&amp;"-,Regular"&amp;11
&amp;"-,Bold"&amp;20WAHKIAKUM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88"/>
  <sheetViews>
    <sheetView showZeros="0" topLeftCell="A4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8" x14ac:dyDescent="0.3">
      <c r="A1" s="22" t="s">
        <v>150</v>
      </c>
      <c r="B1" s="6"/>
      <c r="C1" s="31">
        <v>60150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8" x14ac:dyDescent="0.3">
      <c r="A2" s="80" t="s">
        <v>44</v>
      </c>
      <c r="B2" s="5"/>
      <c r="C2" s="83">
        <v>19.22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8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8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  <c r="W4" s="202" t="s">
        <v>153</v>
      </c>
      <c r="X4" s="203" t="s">
        <v>82</v>
      </c>
      <c r="Y4" s="202" t="s">
        <v>153</v>
      </c>
      <c r="Z4" s="203" t="s">
        <v>82</v>
      </c>
      <c r="AA4" s="202" t="s">
        <v>153</v>
      </c>
      <c r="AB4" s="203" t="s">
        <v>82</v>
      </c>
    </row>
    <row r="5" spans="1:28" ht="15" thickBot="1" x14ac:dyDescent="0.35">
      <c r="A5" s="36">
        <v>562.1</v>
      </c>
      <c r="B5" s="37" t="s">
        <v>47</v>
      </c>
      <c r="C5" s="16">
        <v>574031</v>
      </c>
      <c r="D5" s="14">
        <f>E5+F5+G5+H5+I5+M5+Q5+R5</f>
        <v>574029</v>
      </c>
      <c r="E5" s="236">
        <v>0</v>
      </c>
      <c r="F5" s="256">
        <f>6060+20586+79146</f>
        <v>105792</v>
      </c>
      <c r="G5" s="227">
        <v>941</v>
      </c>
      <c r="H5" s="236">
        <f>941+6007+1370</f>
        <v>8318</v>
      </c>
      <c r="I5" s="241">
        <v>4154</v>
      </c>
      <c r="J5" s="214"/>
      <c r="K5" s="214"/>
      <c r="L5" s="214">
        <v>268354</v>
      </c>
      <c r="M5" s="9">
        <f>SUM(J5:L5)</f>
        <v>268354</v>
      </c>
      <c r="N5" s="214">
        <f>64868+9023</f>
        <v>73891</v>
      </c>
      <c r="O5" s="214">
        <v>1693</v>
      </c>
      <c r="P5" s="214"/>
      <c r="Q5" s="214">
        <f>SUM(N5:P5)</f>
        <v>75584</v>
      </c>
      <c r="R5" s="236">
        <f>37876+117+3839+71854-2800</f>
        <v>110886</v>
      </c>
      <c r="S5" s="199">
        <v>366.9</v>
      </c>
      <c r="T5" s="199">
        <v>37876</v>
      </c>
      <c r="U5" s="211">
        <v>369.1</v>
      </c>
      <c r="V5" s="211">
        <v>117</v>
      </c>
      <c r="W5" s="211">
        <v>369.83</v>
      </c>
      <c r="X5" s="211">
        <v>-2800</v>
      </c>
      <c r="Y5" s="211">
        <v>508.3</v>
      </c>
      <c r="Z5" s="211">
        <v>71853</v>
      </c>
      <c r="AA5" s="211">
        <v>369.9</v>
      </c>
      <c r="AB5" s="211">
        <v>3839</v>
      </c>
    </row>
    <row r="6" spans="1:28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  <c r="U6" s="211"/>
      <c r="V6" s="211"/>
      <c r="W6" s="211"/>
      <c r="X6" s="211"/>
      <c r="Y6" s="211"/>
      <c r="Z6" s="211"/>
    </row>
    <row r="7" spans="1:28" ht="15" thickBot="1" x14ac:dyDescent="0.35">
      <c r="A7" s="39">
        <v>562.22</v>
      </c>
      <c r="B7" s="82" t="s">
        <v>92</v>
      </c>
      <c r="C7" s="15">
        <v>75198</v>
      </c>
      <c r="D7" s="14">
        <f t="shared" ref="D7:D55" si="2">E7+F7+G7+H7+I7+M7+Q7+R7</f>
        <v>75198</v>
      </c>
      <c r="E7" s="231"/>
      <c r="F7" s="257">
        <v>217</v>
      </c>
      <c r="G7" s="228">
        <f>146+1000</f>
        <v>1146</v>
      </c>
      <c r="H7" s="231">
        <v>65029</v>
      </c>
      <c r="I7" s="219">
        <f>179+5010</f>
        <v>5189</v>
      </c>
      <c r="J7" s="217"/>
      <c r="K7" s="217"/>
      <c r="L7" s="217"/>
      <c r="M7" s="9">
        <f t="shared" si="0"/>
        <v>0</v>
      </c>
      <c r="N7" s="217"/>
      <c r="O7" s="217">
        <v>650</v>
      </c>
      <c r="P7" s="217"/>
      <c r="Q7" s="214">
        <f t="shared" si="1"/>
        <v>650</v>
      </c>
      <c r="R7" s="231">
        <v>2967</v>
      </c>
      <c r="S7" s="199">
        <v>367.11</v>
      </c>
      <c r="T7" s="199">
        <v>2967</v>
      </c>
      <c r="U7" s="211"/>
      <c r="V7" s="211"/>
      <c r="W7" s="211"/>
      <c r="X7" s="211"/>
      <c r="Y7" s="211"/>
      <c r="Z7" s="211"/>
    </row>
    <row r="8" spans="1:28" ht="15" thickBot="1" x14ac:dyDescent="0.35">
      <c r="A8" s="39">
        <v>562.24</v>
      </c>
      <c r="B8" s="40" t="s">
        <v>49</v>
      </c>
      <c r="C8" s="15">
        <v>34315</v>
      </c>
      <c r="D8" s="14">
        <f t="shared" si="2"/>
        <v>34315</v>
      </c>
      <c r="E8" s="231"/>
      <c r="F8" s="257"/>
      <c r="G8" s="228">
        <v>6813</v>
      </c>
      <c r="H8" s="231">
        <v>6813</v>
      </c>
      <c r="I8" s="219"/>
      <c r="J8" s="217"/>
      <c r="K8" s="217"/>
      <c r="L8" s="217"/>
      <c r="M8" s="9">
        <f t="shared" si="0"/>
        <v>0</v>
      </c>
      <c r="N8" s="217"/>
      <c r="O8" s="217">
        <v>689</v>
      </c>
      <c r="P8" s="217"/>
      <c r="Q8" s="214">
        <f t="shared" si="1"/>
        <v>689</v>
      </c>
      <c r="R8" s="231">
        <v>20000</v>
      </c>
      <c r="S8" s="199">
        <v>367.11</v>
      </c>
      <c r="T8" s="199">
        <v>20000</v>
      </c>
      <c r="U8" s="211"/>
      <c r="V8" s="211"/>
      <c r="W8" s="211"/>
      <c r="X8" s="211"/>
      <c r="Y8" s="211"/>
      <c r="Z8" s="211"/>
    </row>
    <row r="9" spans="1:28" ht="15" thickBot="1" x14ac:dyDescent="0.35">
      <c r="A9" s="39">
        <v>562.25</v>
      </c>
      <c r="B9" s="82" t="s">
        <v>93</v>
      </c>
      <c r="C9" s="15"/>
      <c r="D9" s="14">
        <f t="shared" si="2"/>
        <v>0</v>
      </c>
      <c r="E9" s="231"/>
      <c r="F9" s="257"/>
      <c r="G9" s="228"/>
      <c r="H9" s="231"/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  <c r="T9" s="199"/>
      <c r="U9" s="211"/>
      <c r="V9" s="211"/>
      <c r="W9" s="211"/>
      <c r="X9" s="211"/>
      <c r="Y9" s="211"/>
      <c r="Z9" s="211"/>
    </row>
    <row r="10" spans="1:28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T10" s="199"/>
      <c r="U10" s="211"/>
      <c r="V10" s="211"/>
      <c r="W10" s="211"/>
      <c r="X10" s="211"/>
      <c r="Y10" s="211"/>
      <c r="Z10" s="211"/>
    </row>
    <row r="11" spans="1:28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T11" s="199"/>
      <c r="U11" s="211"/>
      <c r="V11" s="211"/>
      <c r="W11" s="211"/>
      <c r="X11" s="211"/>
      <c r="Y11" s="211"/>
      <c r="Z11" s="211"/>
    </row>
    <row r="12" spans="1:28" ht="15" thickBot="1" x14ac:dyDescent="0.35">
      <c r="A12" s="39">
        <v>562.28</v>
      </c>
      <c r="B12" s="82" t="s">
        <v>94</v>
      </c>
      <c r="C12" s="15">
        <v>200962</v>
      </c>
      <c r="D12" s="14">
        <f t="shared" si="2"/>
        <v>200962</v>
      </c>
      <c r="E12" s="231"/>
      <c r="F12" s="257"/>
      <c r="G12" s="228"/>
      <c r="H12" s="231">
        <f>200757+205</f>
        <v>200962</v>
      </c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  <c r="T12" s="199"/>
      <c r="U12" s="211"/>
      <c r="V12" s="211"/>
      <c r="W12" s="211"/>
      <c r="X12" s="211"/>
      <c r="Y12" s="211"/>
      <c r="Z12" s="211"/>
    </row>
    <row r="13" spans="1:28" ht="15" thickBot="1" x14ac:dyDescent="0.35">
      <c r="A13" s="39">
        <v>562.29</v>
      </c>
      <c r="B13" s="82" t="s">
        <v>86</v>
      </c>
      <c r="C13" s="15"/>
      <c r="D13" s="14">
        <f t="shared" si="2"/>
        <v>0</v>
      </c>
      <c r="E13" s="231"/>
      <c r="F13" s="257"/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/>
      <c r="P13" s="217"/>
      <c r="Q13" s="214">
        <f t="shared" si="1"/>
        <v>0</v>
      </c>
      <c r="R13" s="231"/>
      <c r="T13" s="199"/>
      <c r="U13" s="211"/>
      <c r="V13" s="211"/>
      <c r="W13" s="211"/>
      <c r="X13" s="211"/>
      <c r="Y13" s="211"/>
      <c r="Z13" s="211"/>
    </row>
    <row r="14" spans="1:28" ht="15" thickBot="1" x14ac:dyDescent="0.35">
      <c r="A14" s="39">
        <v>562.32000000000005</v>
      </c>
      <c r="B14" s="40" t="s">
        <v>50</v>
      </c>
      <c r="C14" s="15">
        <v>266912</v>
      </c>
      <c r="D14" s="14">
        <f t="shared" si="2"/>
        <v>266911</v>
      </c>
      <c r="E14" s="231"/>
      <c r="F14" s="257">
        <f>6968+9632</f>
        <v>16600</v>
      </c>
      <c r="G14" s="228"/>
      <c r="H14" s="231">
        <f>15757+52468+953</f>
        <v>69178</v>
      </c>
      <c r="I14" s="219">
        <v>17357</v>
      </c>
      <c r="J14" s="217"/>
      <c r="K14" s="217"/>
      <c r="L14" s="217">
        <v>32660</v>
      </c>
      <c r="M14" s="9">
        <f t="shared" si="0"/>
        <v>32660</v>
      </c>
      <c r="N14" s="217"/>
      <c r="O14" s="217">
        <f>97726+24645</f>
        <v>122371</v>
      </c>
      <c r="P14" s="217"/>
      <c r="Q14" s="214">
        <f t="shared" si="1"/>
        <v>122371</v>
      </c>
      <c r="R14" s="231">
        <v>8745</v>
      </c>
      <c r="S14" s="199">
        <v>508.3</v>
      </c>
      <c r="T14" s="199">
        <v>8745</v>
      </c>
      <c r="U14" s="211"/>
      <c r="V14" s="211"/>
      <c r="W14" s="211"/>
      <c r="X14" s="211"/>
      <c r="Y14" s="211"/>
      <c r="Z14" s="211"/>
    </row>
    <row r="15" spans="1:28" ht="15" thickBot="1" x14ac:dyDescent="0.35">
      <c r="A15" s="39">
        <v>562.33000000000004</v>
      </c>
      <c r="B15" s="82" t="s">
        <v>95</v>
      </c>
      <c r="C15" s="15">
        <v>36523</v>
      </c>
      <c r="D15" s="14">
        <f t="shared" si="2"/>
        <v>36523</v>
      </c>
      <c r="E15" s="231"/>
      <c r="F15" s="257">
        <v>6285</v>
      </c>
      <c r="G15" s="228"/>
      <c r="H15" s="231"/>
      <c r="I15" s="219"/>
      <c r="J15" s="217"/>
      <c r="K15" s="217"/>
      <c r="L15" s="217">
        <v>21310</v>
      </c>
      <c r="M15" s="9">
        <f t="shared" si="0"/>
        <v>21310</v>
      </c>
      <c r="N15" s="217"/>
      <c r="O15" s="217">
        <v>3222</v>
      </c>
      <c r="P15" s="217"/>
      <c r="Q15" s="214">
        <f t="shared" si="1"/>
        <v>3222</v>
      </c>
      <c r="R15" s="231">
        <v>5706</v>
      </c>
      <c r="S15" s="199">
        <v>508.3</v>
      </c>
      <c r="T15" s="199">
        <v>5706</v>
      </c>
      <c r="U15" s="211"/>
      <c r="V15" s="211"/>
      <c r="W15" s="211"/>
      <c r="X15" s="211"/>
      <c r="Y15" s="211"/>
      <c r="Z15" s="211"/>
    </row>
    <row r="16" spans="1:28" ht="15" thickBot="1" x14ac:dyDescent="0.35">
      <c r="A16" s="39">
        <v>562.34</v>
      </c>
      <c r="B16" s="40" t="s">
        <v>51</v>
      </c>
      <c r="C16" s="15">
        <v>44447</v>
      </c>
      <c r="D16" s="14">
        <f t="shared" si="2"/>
        <v>44447</v>
      </c>
      <c r="E16" s="231"/>
      <c r="F16" s="257">
        <v>5029</v>
      </c>
      <c r="G16" s="228"/>
      <c r="H16" s="231"/>
      <c r="I16" s="219"/>
      <c r="J16" s="217"/>
      <c r="K16" s="217"/>
      <c r="L16" s="217">
        <v>17051</v>
      </c>
      <c r="M16" s="9">
        <f t="shared" si="0"/>
        <v>17051</v>
      </c>
      <c r="N16" s="217"/>
      <c r="O16" s="217">
        <f>6289+11512</f>
        <v>17801</v>
      </c>
      <c r="P16" s="217"/>
      <c r="Q16" s="214">
        <f t="shared" si="1"/>
        <v>17801</v>
      </c>
      <c r="R16" s="231">
        <v>4566</v>
      </c>
      <c r="S16" s="199">
        <v>508.3</v>
      </c>
      <c r="T16" s="213">
        <v>4566</v>
      </c>
      <c r="U16" s="211"/>
      <c r="V16" s="211"/>
      <c r="W16" s="211"/>
      <c r="X16" s="211"/>
      <c r="Y16" s="211"/>
      <c r="Z16" s="211"/>
    </row>
    <row r="17" spans="1:26" ht="15" thickBot="1" x14ac:dyDescent="0.35">
      <c r="A17" s="39">
        <v>562.35</v>
      </c>
      <c r="B17" s="40" t="s">
        <v>52</v>
      </c>
      <c r="C17" s="15">
        <v>1421</v>
      </c>
      <c r="D17" s="14">
        <f t="shared" si="2"/>
        <v>1421</v>
      </c>
      <c r="E17" s="231"/>
      <c r="F17" s="257">
        <v>268</v>
      </c>
      <c r="G17" s="228"/>
      <c r="H17" s="231"/>
      <c r="I17" s="219"/>
      <c r="J17" s="217"/>
      <c r="K17" s="217"/>
      <c r="L17" s="217">
        <v>909</v>
      </c>
      <c r="M17" s="9">
        <f t="shared" si="0"/>
        <v>909</v>
      </c>
      <c r="N17" s="217"/>
      <c r="O17" s="217"/>
      <c r="P17" s="217"/>
      <c r="Q17" s="214">
        <f t="shared" si="1"/>
        <v>0</v>
      </c>
      <c r="R17" s="231">
        <v>244</v>
      </c>
      <c r="S17" s="199">
        <v>508.3</v>
      </c>
      <c r="T17" s="199">
        <v>244</v>
      </c>
      <c r="U17" s="211"/>
      <c r="V17" s="211"/>
      <c r="W17" s="211"/>
      <c r="X17" s="211"/>
      <c r="Y17" s="211"/>
      <c r="Z17" s="211"/>
    </row>
    <row r="18" spans="1:26" ht="15" thickBot="1" x14ac:dyDescent="0.35">
      <c r="A18" s="39">
        <v>562.39</v>
      </c>
      <c r="B18" s="40" t="s">
        <v>53</v>
      </c>
      <c r="C18" s="15">
        <v>21433</v>
      </c>
      <c r="D18" s="14">
        <f t="shared" si="2"/>
        <v>21433</v>
      </c>
      <c r="E18" s="231"/>
      <c r="F18" s="257">
        <v>3460</v>
      </c>
      <c r="G18" s="228"/>
      <c r="H18" s="231"/>
      <c r="I18" s="219"/>
      <c r="J18" s="217"/>
      <c r="K18" s="217"/>
      <c r="L18" s="217">
        <v>11731</v>
      </c>
      <c r="M18" s="9">
        <f t="shared" si="0"/>
        <v>11731</v>
      </c>
      <c r="N18" s="217"/>
      <c r="O18" s="217">
        <f>2970+131</f>
        <v>3101</v>
      </c>
      <c r="P18" s="217"/>
      <c r="Q18" s="214">
        <f t="shared" si="1"/>
        <v>3101</v>
      </c>
      <c r="R18" s="231">
        <v>3141</v>
      </c>
      <c r="S18" s="199">
        <v>508.3</v>
      </c>
      <c r="T18" s="199">
        <v>3141</v>
      </c>
      <c r="U18" s="211"/>
      <c r="V18" s="211"/>
      <c r="W18" s="211"/>
      <c r="X18" s="211"/>
      <c r="Y18" s="211"/>
      <c r="Z18" s="211"/>
    </row>
    <row r="19" spans="1:26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  <c r="T19" s="199"/>
      <c r="U19" s="211"/>
      <c r="V19" s="211"/>
      <c r="W19" s="211"/>
      <c r="X19" s="211"/>
      <c r="Y19" s="211"/>
      <c r="Z19" s="211"/>
    </row>
    <row r="20" spans="1:26" ht="15" thickBot="1" x14ac:dyDescent="0.35">
      <c r="A20" s="39">
        <v>562.41999999999996</v>
      </c>
      <c r="B20" s="40" t="s">
        <v>55</v>
      </c>
      <c r="C20" s="15">
        <v>37892</v>
      </c>
      <c r="D20" s="14">
        <f t="shared" si="2"/>
        <v>37892</v>
      </c>
      <c r="E20" s="231"/>
      <c r="F20" s="257"/>
      <c r="G20" s="228"/>
      <c r="H20" s="231"/>
      <c r="I20" s="219">
        <v>37892</v>
      </c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  <c r="W20" s="211"/>
      <c r="X20" s="211"/>
      <c r="Y20" s="211"/>
      <c r="Z20" s="211"/>
    </row>
    <row r="21" spans="1:26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  <c r="T21" s="199"/>
      <c r="U21" s="211"/>
      <c r="V21" s="211"/>
      <c r="W21" s="211"/>
      <c r="X21" s="211"/>
      <c r="Y21" s="211"/>
      <c r="Z21" s="211"/>
    </row>
    <row r="22" spans="1:26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  <c r="T22" s="199"/>
      <c r="U22" s="211"/>
      <c r="V22" s="211"/>
      <c r="W22" s="211"/>
      <c r="X22" s="211"/>
      <c r="Y22" s="211"/>
      <c r="Z22" s="211"/>
    </row>
    <row r="23" spans="1:26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  <c r="W23" s="211"/>
      <c r="X23" s="211"/>
      <c r="Y23" s="211"/>
      <c r="Z23" s="211"/>
    </row>
    <row r="24" spans="1:26" ht="15" thickBot="1" x14ac:dyDescent="0.35">
      <c r="A24" s="39">
        <v>562.49</v>
      </c>
      <c r="B24" s="82" t="s">
        <v>87</v>
      </c>
      <c r="C24" s="15">
        <v>524</v>
      </c>
      <c r="D24" s="14">
        <f t="shared" si="2"/>
        <v>524</v>
      </c>
      <c r="E24" s="231"/>
      <c r="F24" s="257">
        <v>99</v>
      </c>
      <c r="G24" s="228"/>
      <c r="H24" s="231"/>
      <c r="I24" s="219"/>
      <c r="J24" s="217"/>
      <c r="K24" s="217"/>
      <c r="L24" s="217">
        <v>335</v>
      </c>
      <c r="M24" s="9">
        <f t="shared" si="0"/>
        <v>335</v>
      </c>
      <c r="N24" s="217"/>
      <c r="O24" s="217"/>
      <c r="P24" s="217"/>
      <c r="Q24" s="214">
        <f t="shared" si="1"/>
        <v>0</v>
      </c>
      <c r="R24" s="231">
        <v>90</v>
      </c>
      <c r="S24" s="199">
        <v>508.3</v>
      </c>
      <c r="T24" s="199">
        <v>90</v>
      </c>
      <c r="U24" s="211"/>
      <c r="V24" s="211"/>
      <c r="W24" s="211"/>
      <c r="X24" s="211"/>
      <c r="Y24" s="211"/>
      <c r="Z24" s="211"/>
    </row>
    <row r="25" spans="1:26" ht="15" thickBot="1" x14ac:dyDescent="0.35">
      <c r="A25" s="39">
        <v>562.52</v>
      </c>
      <c r="B25" s="40" t="s">
        <v>56</v>
      </c>
      <c r="C25" s="15">
        <v>8480</v>
      </c>
      <c r="D25" s="14">
        <f t="shared" si="2"/>
        <v>8480</v>
      </c>
      <c r="E25" s="231"/>
      <c r="F25" s="257">
        <v>260</v>
      </c>
      <c r="G25" s="228"/>
      <c r="H25" s="231"/>
      <c r="I25" s="219"/>
      <c r="J25" s="217"/>
      <c r="K25" s="217"/>
      <c r="L25" s="217">
        <v>883</v>
      </c>
      <c r="M25" s="9">
        <f t="shared" si="0"/>
        <v>883</v>
      </c>
      <c r="N25" s="217"/>
      <c r="O25" s="217">
        <f>2800+2800+1500</f>
        <v>7100</v>
      </c>
      <c r="P25" s="217"/>
      <c r="Q25" s="214">
        <f t="shared" si="1"/>
        <v>7100</v>
      </c>
      <c r="R25" s="231">
        <v>237</v>
      </c>
      <c r="S25" s="199">
        <v>508.3</v>
      </c>
      <c r="T25" s="199">
        <v>237</v>
      </c>
      <c r="U25" s="211"/>
      <c r="V25" s="211"/>
      <c r="W25" s="211"/>
      <c r="X25" s="211"/>
      <c r="Y25" s="211"/>
      <c r="Z25" s="211"/>
    </row>
    <row r="26" spans="1:26" ht="15" thickBot="1" x14ac:dyDescent="0.35">
      <c r="A26" s="39">
        <v>562.53</v>
      </c>
      <c r="B26" s="82" t="s">
        <v>99</v>
      </c>
      <c r="C26" s="15">
        <v>4615</v>
      </c>
      <c r="D26" s="14">
        <f t="shared" si="2"/>
        <v>4615</v>
      </c>
      <c r="E26" s="231"/>
      <c r="F26" s="257">
        <v>463</v>
      </c>
      <c r="G26" s="228"/>
      <c r="H26" s="231"/>
      <c r="I26" s="219"/>
      <c r="J26" s="217"/>
      <c r="K26" s="217"/>
      <c r="L26" s="217">
        <f>463+1569</f>
        <v>2032</v>
      </c>
      <c r="M26" s="9">
        <f t="shared" si="0"/>
        <v>2032</v>
      </c>
      <c r="N26" s="217">
        <v>1700</v>
      </c>
      <c r="O26" s="217"/>
      <c r="P26" s="217"/>
      <c r="Q26" s="214">
        <f t="shared" si="1"/>
        <v>1700</v>
      </c>
      <c r="R26" s="231">
        <v>420</v>
      </c>
      <c r="S26" s="199">
        <v>508.3</v>
      </c>
      <c r="T26" s="199">
        <v>420</v>
      </c>
      <c r="U26" s="211"/>
      <c r="V26" s="211"/>
      <c r="W26" s="211"/>
      <c r="X26" s="211"/>
      <c r="Y26" s="211"/>
      <c r="Z26" s="211"/>
    </row>
    <row r="27" spans="1:26" ht="15" thickBot="1" x14ac:dyDescent="0.35">
      <c r="A27" s="39">
        <v>562.54</v>
      </c>
      <c r="B27" s="82" t="s">
        <v>100</v>
      </c>
      <c r="C27" s="15">
        <v>69060</v>
      </c>
      <c r="D27" s="14">
        <f t="shared" si="2"/>
        <v>69060</v>
      </c>
      <c r="E27" s="231"/>
      <c r="F27" s="257">
        <v>1336</v>
      </c>
      <c r="G27" s="228"/>
      <c r="H27" s="231"/>
      <c r="I27" s="219"/>
      <c r="J27" s="217"/>
      <c r="K27" s="217"/>
      <c r="L27" s="217">
        <f>4529+6318</f>
        <v>10847</v>
      </c>
      <c r="M27" s="9">
        <f t="shared" si="0"/>
        <v>10847</v>
      </c>
      <c r="N27" s="217">
        <f>1860+5130+45130</f>
        <v>52120</v>
      </c>
      <c r="O27" s="217">
        <v>3545</v>
      </c>
      <c r="P27" s="217"/>
      <c r="Q27" s="214">
        <f t="shared" si="1"/>
        <v>55665</v>
      </c>
      <c r="R27" s="231">
        <v>1212</v>
      </c>
      <c r="S27" s="199">
        <v>508.3</v>
      </c>
      <c r="T27" s="199">
        <v>1212</v>
      </c>
      <c r="U27" s="211"/>
      <c r="V27" s="211"/>
      <c r="W27" s="211"/>
      <c r="X27" s="211"/>
      <c r="Y27" s="211"/>
      <c r="Z27" s="211"/>
    </row>
    <row r="28" spans="1:26" ht="15" thickBot="1" x14ac:dyDescent="0.35">
      <c r="A28" s="39">
        <v>562.54999999999995</v>
      </c>
      <c r="B28" s="40" t="s">
        <v>57</v>
      </c>
      <c r="C28" s="15">
        <v>6109</v>
      </c>
      <c r="D28" s="14">
        <f t="shared" si="2"/>
        <v>6109</v>
      </c>
      <c r="E28" s="231"/>
      <c r="F28" s="257">
        <v>1153</v>
      </c>
      <c r="G28" s="228"/>
      <c r="H28" s="231"/>
      <c r="I28" s="219"/>
      <c r="J28" s="217"/>
      <c r="K28" s="217"/>
      <c r="L28" s="217">
        <v>3909</v>
      </c>
      <c r="M28" s="9">
        <f t="shared" si="0"/>
        <v>3909</v>
      </c>
      <c r="N28" s="217"/>
      <c r="O28" s="217"/>
      <c r="P28" s="217"/>
      <c r="Q28" s="214">
        <f t="shared" si="1"/>
        <v>0</v>
      </c>
      <c r="R28" s="231">
        <v>1047</v>
      </c>
      <c r="S28" s="199">
        <v>508.3</v>
      </c>
      <c r="T28" s="199">
        <v>1047</v>
      </c>
      <c r="U28" s="211"/>
      <c r="V28" s="211"/>
      <c r="W28" s="211"/>
      <c r="X28" s="211"/>
      <c r="Y28" s="211"/>
      <c r="Z28" s="211"/>
    </row>
    <row r="29" spans="1:26" ht="15" thickBot="1" x14ac:dyDescent="0.35">
      <c r="A29" s="39">
        <v>562.55999999999995</v>
      </c>
      <c r="B29" s="40" t="s">
        <v>58</v>
      </c>
      <c r="C29" s="15">
        <v>101548</v>
      </c>
      <c r="D29" s="14">
        <f t="shared" si="2"/>
        <v>101548</v>
      </c>
      <c r="E29" s="231"/>
      <c r="F29" s="257"/>
      <c r="G29" s="228"/>
      <c r="H29" s="231"/>
      <c r="I29" s="219"/>
      <c r="J29" s="217"/>
      <c r="K29" s="217"/>
      <c r="L29" s="217">
        <v>12787</v>
      </c>
      <c r="M29" s="9">
        <f t="shared" si="0"/>
        <v>12787</v>
      </c>
      <c r="N29" s="217">
        <f>77915+10846</f>
        <v>88761</v>
      </c>
      <c r="O29" s="217"/>
      <c r="P29" s="217"/>
      <c r="Q29" s="214">
        <f t="shared" si="1"/>
        <v>88761</v>
      </c>
      <c r="R29" s="231"/>
      <c r="T29" s="199"/>
      <c r="U29" s="211"/>
      <c r="V29" s="211"/>
      <c r="W29" s="211"/>
      <c r="X29" s="211"/>
      <c r="Y29" s="211"/>
      <c r="Z29" s="211"/>
    </row>
    <row r="30" spans="1:26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  <c r="T30" s="199"/>
      <c r="U30" s="211"/>
      <c r="V30" s="211"/>
      <c r="W30" s="211"/>
      <c r="X30" s="211"/>
      <c r="Y30" s="211"/>
      <c r="Z30" s="211"/>
    </row>
    <row r="31" spans="1:26" ht="15" thickBot="1" x14ac:dyDescent="0.35">
      <c r="A31" s="39">
        <v>562.58000000000004</v>
      </c>
      <c r="B31" s="82" t="s">
        <v>88</v>
      </c>
      <c r="C31" s="15">
        <v>8382</v>
      </c>
      <c r="D31" s="14">
        <f t="shared" si="2"/>
        <v>8382</v>
      </c>
      <c r="E31" s="231"/>
      <c r="F31" s="257"/>
      <c r="G31" s="228"/>
      <c r="H31" s="231"/>
      <c r="I31" s="219"/>
      <c r="J31" s="217"/>
      <c r="K31" s="217"/>
      <c r="L31" s="217">
        <v>720</v>
      </c>
      <c r="M31" s="9">
        <f t="shared" si="0"/>
        <v>720</v>
      </c>
      <c r="N31" s="217"/>
      <c r="O31" s="217">
        <v>7662</v>
      </c>
      <c r="P31" s="217"/>
      <c r="Q31" s="214">
        <f t="shared" si="1"/>
        <v>7662</v>
      </c>
      <c r="R31" s="231"/>
      <c r="T31" s="199"/>
      <c r="U31" s="211"/>
      <c r="V31" s="211"/>
      <c r="W31" s="211"/>
      <c r="X31" s="211"/>
      <c r="Y31" s="211"/>
      <c r="Z31" s="211"/>
    </row>
    <row r="32" spans="1:26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  <c r="T32" s="199"/>
      <c r="U32" s="211"/>
      <c r="V32" s="211"/>
      <c r="W32" s="211"/>
      <c r="X32" s="211"/>
      <c r="Y32" s="211"/>
      <c r="Z32" s="211"/>
    </row>
    <row r="33" spans="1:26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  <c r="T33" s="199"/>
      <c r="U33" s="211"/>
      <c r="V33" s="211"/>
      <c r="W33" s="211"/>
      <c r="X33" s="211"/>
      <c r="Y33" s="211"/>
      <c r="Z33" s="211"/>
    </row>
    <row r="34" spans="1:26" ht="15" thickBot="1" x14ac:dyDescent="0.35">
      <c r="A34" s="39">
        <v>562.71</v>
      </c>
      <c r="B34" s="40" t="s">
        <v>60</v>
      </c>
      <c r="C34" s="15">
        <v>37459</v>
      </c>
      <c r="D34" s="14">
        <f t="shared" si="2"/>
        <v>37459</v>
      </c>
      <c r="E34" s="231"/>
      <c r="F34" s="257">
        <v>1491</v>
      </c>
      <c r="G34" s="228"/>
      <c r="H34" s="231"/>
      <c r="I34" s="219"/>
      <c r="J34" s="217"/>
      <c r="K34" s="217"/>
      <c r="L34" s="217">
        <v>5054</v>
      </c>
      <c r="M34" s="9">
        <f t="shared" si="0"/>
        <v>5054</v>
      </c>
      <c r="N34" s="217"/>
      <c r="O34" s="217">
        <v>28496</v>
      </c>
      <c r="P34" s="217"/>
      <c r="Q34" s="214">
        <f t="shared" si="1"/>
        <v>28496</v>
      </c>
      <c r="R34" s="231">
        <f>1353+1065</f>
        <v>2418</v>
      </c>
      <c r="S34" s="199">
        <v>369.9</v>
      </c>
      <c r="T34" s="199">
        <v>1065</v>
      </c>
      <c r="U34" s="211">
        <v>508.3</v>
      </c>
      <c r="V34" s="211">
        <v>1353</v>
      </c>
      <c r="W34" s="211"/>
      <c r="X34" s="211"/>
      <c r="Y34" s="211"/>
      <c r="Z34" s="211"/>
    </row>
    <row r="35" spans="1:26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T35" s="199"/>
      <c r="U35" s="211"/>
      <c r="V35" s="211"/>
      <c r="W35" s="211"/>
      <c r="X35" s="211"/>
      <c r="Y35" s="211"/>
      <c r="Z35" s="211"/>
    </row>
    <row r="36" spans="1:26" ht="15" thickBot="1" x14ac:dyDescent="0.35">
      <c r="A36" s="39">
        <v>562.73</v>
      </c>
      <c r="B36" s="40" t="s">
        <v>62</v>
      </c>
      <c r="C36" s="15">
        <v>72388</v>
      </c>
      <c r="D36" s="14">
        <f t="shared" si="2"/>
        <v>72388</v>
      </c>
      <c r="E36" s="231"/>
      <c r="F36" s="257">
        <v>72388</v>
      </c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  <c r="T36" s="199"/>
      <c r="U36" s="211"/>
      <c r="V36" s="211"/>
      <c r="W36" s="211"/>
      <c r="X36" s="211"/>
      <c r="Y36" s="211"/>
      <c r="Z36" s="211"/>
    </row>
    <row r="37" spans="1:26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  <c r="U37" s="211"/>
      <c r="V37" s="211"/>
      <c r="W37" s="211"/>
      <c r="X37" s="211"/>
      <c r="Y37" s="211"/>
      <c r="Z37" s="211"/>
    </row>
    <row r="38" spans="1:26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  <c r="W38" s="211"/>
      <c r="X38" s="211"/>
      <c r="Y38" s="211"/>
      <c r="Z38" s="211"/>
    </row>
    <row r="39" spans="1:26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  <c r="W39" s="211"/>
      <c r="X39" s="211"/>
      <c r="Y39" s="211"/>
      <c r="Z39" s="211"/>
    </row>
    <row r="40" spans="1:26" ht="15" thickBot="1" x14ac:dyDescent="0.35">
      <c r="A40" s="39">
        <v>562.79999999999995</v>
      </c>
      <c r="B40" s="40" t="s">
        <v>65</v>
      </c>
      <c r="C40" s="15">
        <v>97784</v>
      </c>
      <c r="D40" s="14">
        <f t="shared" si="2"/>
        <v>97784</v>
      </c>
      <c r="E40" s="231"/>
      <c r="F40" s="257">
        <v>87332</v>
      </c>
      <c r="G40" s="228"/>
      <c r="H40" s="231">
        <v>10452</v>
      </c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  <c r="T40" s="199"/>
      <c r="U40" s="211"/>
      <c r="V40" s="211"/>
      <c r="W40" s="211"/>
      <c r="X40" s="211"/>
      <c r="Y40" s="211"/>
      <c r="Z40" s="211"/>
    </row>
    <row r="41" spans="1:26" ht="15" thickBot="1" x14ac:dyDescent="0.35">
      <c r="A41" s="39">
        <v>562.88</v>
      </c>
      <c r="B41" s="82" t="s">
        <v>91</v>
      </c>
      <c r="C41" s="15">
        <v>16943</v>
      </c>
      <c r="D41" s="14">
        <f t="shared" si="2"/>
        <v>16943</v>
      </c>
      <c r="E41" s="231"/>
      <c r="F41" s="257"/>
      <c r="G41" s="228"/>
      <c r="H41" s="231">
        <v>16943</v>
      </c>
      <c r="I41" s="219"/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/>
      <c r="T41" s="199"/>
      <c r="U41" s="211"/>
      <c r="V41" s="211"/>
      <c r="W41" s="211"/>
      <c r="X41" s="211"/>
      <c r="Y41" s="211"/>
      <c r="Z41" s="211"/>
    </row>
    <row r="42" spans="1:26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T42" s="199"/>
      <c r="U42" s="211"/>
      <c r="V42" s="211"/>
      <c r="W42" s="211"/>
      <c r="X42" s="211"/>
      <c r="Y42" s="211"/>
      <c r="Z42" s="211"/>
    </row>
    <row r="43" spans="1:26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  <c r="U43" s="211"/>
      <c r="V43" s="211"/>
      <c r="W43" s="211"/>
      <c r="X43" s="211"/>
      <c r="Y43" s="211"/>
      <c r="Z43" s="211"/>
    </row>
    <row r="44" spans="1:26" x14ac:dyDescent="0.3">
      <c r="A44" s="206" t="s">
        <v>110</v>
      </c>
      <c r="B44" s="207" t="s">
        <v>68</v>
      </c>
      <c r="C44" s="208">
        <f>SUM(C5:C43)</f>
        <v>1716426</v>
      </c>
      <c r="D44" s="205">
        <f>E44+F44+G44+H44+I44+M44+Q44+R44</f>
        <v>1716423</v>
      </c>
      <c r="E44" s="233">
        <f t="shared" ref="E44:R44" si="3">SUM(E5:E43)</f>
        <v>0</v>
      </c>
      <c r="F44" s="259">
        <f t="shared" si="3"/>
        <v>302173</v>
      </c>
      <c r="G44" s="223">
        <f t="shared" si="3"/>
        <v>8900</v>
      </c>
      <c r="H44" s="233">
        <f t="shared" si="3"/>
        <v>377695</v>
      </c>
      <c r="I44" s="239">
        <f t="shared" si="3"/>
        <v>64592</v>
      </c>
      <c r="J44" s="245">
        <f>SUM(J5:J43)</f>
        <v>0</v>
      </c>
      <c r="K44" s="245">
        <f>SUM(K5:K43)</f>
        <v>0</v>
      </c>
      <c r="L44" s="245">
        <f>SUM(L5:L43)</f>
        <v>388582</v>
      </c>
      <c r="M44" s="208">
        <f t="shared" si="3"/>
        <v>388582</v>
      </c>
      <c r="N44" s="245">
        <f>SUM(N5:N43)</f>
        <v>216472</v>
      </c>
      <c r="O44" s="245">
        <f>SUM(O5:O43)</f>
        <v>196330</v>
      </c>
      <c r="P44" s="245">
        <f>SUM(P5:P43)</f>
        <v>0</v>
      </c>
      <c r="Q44" s="216">
        <f t="shared" si="3"/>
        <v>412802</v>
      </c>
      <c r="R44" s="233">
        <f t="shared" si="3"/>
        <v>161679</v>
      </c>
      <c r="T44" s="199"/>
      <c r="U44" s="211"/>
      <c r="V44" s="211"/>
      <c r="W44" s="211"/>
      <c r="X44" s="211"/>
      <c r="Y44" s="211"/>
      <c r="Z44" s="211"/>
    </row>
    <row r="45" spans="1:26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  <c r="W45" s="211"/>
      <c r="X45" s="211"/>
      <c r="Y45" s="211"/>
      <c r="Z45" s="211"/>
    </row>
    <row r="46" spans="1:26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  <c r="W46" s="211"/>
      <c r="X46" s="211"/>
      <c r="Y46" s="211"/>
      <c r="Z46" s="211"/>
    </row>
    <row r="47" spans="1:26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T47" s="199"/>
      <c r="U47" s="211"/>
      <c r="V47" s="211"/>
      <c r="W47" s="211"/>
      <c r="X47" s="211"/>
      <c r="Y47" s="211"/>
      <c r="Z47" s="211"/>
    </row>
    <row r="48" spans="1:26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  <c r="W48" s="211"/>
      <c r="X48" s="211"/>
      <c r="Y48" s="211"/>
      <c r="Z48" s="211"/>
    </row>
    <row r="49" spans="1:26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T49" s="199"/>
      <c r="U49" s="211"/>
      <c r="V49" s="211"/>
      <c r="W49" s="211"/>
      <c r="X49" s="211"/>
      <c r="Y49" s="211"/>
      <c r="Z49" s="211"/>
    </row>
    <row r="50" spans="1:26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  <c r="W50" s="211"/>
      <c r="X50" s="211"/>
      <c r="Y50" s="211"/>
      <c r="Z50" s="211"/>
    </row>
    <row r="51" spans="1:26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  <c r="W51" s="211"/>
      <c r="X51" s="211"/>
      <c r="Y51" s="211"/>
      <c r="Z51" s="211"/>
    </row>
    <row r="52" spans="1:26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  <c r="W52" s="211"/>
      <c r="X52" s="211"/>
      <c r="Y52" s="211"/>
      <c r="Z52" s="211"/>
    </row>
    <row r="53" spans="1:26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  <c r="T53" s="199"/>
      <c r="U53" s="211"/>
      <c r="V53" s="211"/>
      <c r="W53" s="211"/>
      <c r="X53" s="211"/>
      <c r="Y53" s="211"/>
      <c r="Z53" s="211"/>
    </row>
    <row r="54" spans="1:26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  <c r="U54" s="211"/>
      <c r="V54" s="211"/>
      <c r="W54" s="211"/>
      <c r="X54" s="211"/>
      <c r="Y54" s="211"/>
      <c r="Z54" s="211"/>
    </row>
    <row r="55" spans="1:26" x14ac:dyDescent="0.3">
      <c r="A55" s="41">
        <v>500</v>
      </c>
      <c r="B55" s="32" t="s">
        <v>118</v>
      </c>
      <c r="C55" s="18"/>
      <c r="D55" s="20">
        <f t="shared" si="2"/>
        <v>175362</v>
      </c>
      <c r="E55" s="232"/>
      <c r="F55" s="258"/>
      <c r="G55" s="229">
        <v>18338</v>
      </c>
      <c r="H55" s="232"/>
      <c r="I55" s="220">
        <v>157024</v>
      </c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T55" s="199"/>
      <c r="U55" s="211"/>
      <c r="V55" s="211"/>
      <c r="W55" s="211"/>
      <c r="X55" s="211"/>
      <c r="Y55" s="211"/>
      <c r="Z55" s="211"/>
    </row>
    <row r="56" spans="1:26" ht="15" thickBot="1" x14ac:dyDescent="0.35">
      <c r="A56" s="107"/>
      <c r="B56" s="108" t="s">
        <v>80</v>
      </c>
      <c r="C56" s="111">
        <f>SUM(C44:C55)</f>
        <v>1716426</v>
      </c>
      <c r="D56" s="110">
        <f>E56+F56+G56+H56+I56+M56+Q56+R56</f>
        <v>1891785</v>
      </c>
      <c r="E56" s="235">
        <f t="shared" ref="E56:R56" si="4">SUM(E44:E55)</f>
        <v>0</v>
      </c>
      <c r="F56" s="260">
        <f t="shared" si="4"/>
        <v>302173</v>
      </c>
      <c r="G56" s="225">
        <f t="shared" si="4"/>
        <v>27238</v>
      </c>
      <c r="H56" s="235">
        <f t="shared" si="4"/>
        <v>377695</v>
      </c>
      <c r="I56" s="240">
        <f t="shared" si="4"/>
        <v>221616</v>
      </c>
      <c r="J56" s="218">
        <f>SUM(J44:J55)</f>
        <v>0</v>
      </c>
      <c r="K56" s="218">
        <f>SUM(K44:K55)</f>
        <v>0</v>
      </c>
      <c r="L56" s="218">
        <f>SUM(L44:L55)</f>
        <v>388582</v>
      </c>
      <c r="M56" s="209">
        <f t="shared" si="4"/>
        <v>388582</v>
      </c>
      <c r="N56" s="218">
        <f>SUM(N44:N55)</f>
        <v>216472</v>
      </c>
      <c r="O56" s="218">
        <f>SUM(O44:O55)</f>
        <v>196330</v>
      </c>
      <c r="P56" s="218">
        <f>SUM(P44:P55)</f>
        <v>0</v>
      </c>
      <c r="Q56" s="218">
        <f t="shared" si="4"/>
        <v>412802</v>
      </c>
      <c r="R56" s="235">
        <f t="shared" si="4"/>
        <v>161679</v>
      </c>
    </row>
    <row r="57" spans="1:26" ht="15" thickTop="1" x14ac:dyDescent="0.3"/>
    <row r="58" spans="1:26" ht="15" thickBot="1" x14ac:dyDescent="0.35"/>
    <row r="59" spans="1:26" ht="15" thickBot="1" x14ac:dyDescent="0.35">
      <c r="B59" s="42" t="s">
        <v>109</v>
      </c>
      <c r="C59" s="43"/>
      <c r="D59" s="44"/>
    </row>
    <row r="60" spans="1:26" ht="15" thickTop="1" x14ac:dyDescent="0.3">
      <c r="B60" s="115"/>
      <c r="C60" s="116" t="s">
        <v>82</v>
      </c>
      <c r="D60" s="117" t="s">
        <v>78</v>
      </c>
    </row>
    <row r="61" spans="1:26" x14ac:dyDescent="0.3">
      <c r="B61" s="153" t="s">
        <v>108</v>
      </c>
      <c r="C61" s="45"/>
      <c r="D61" s="46"/>
    </row>
    <row r="62" spans="1:26" x14ac:dyDescent="0.3">
      <c r="B62" s="26" t="s">
        <v>3</v>
      </c>
      <c r="C62" s="47">
        <f>E56</f>
        <v>0</v>
      </c>
      <c r="D62" s="48">
        <f>E56/D56</f>
        <v>0</v>
      </c>
    </row>
    <row r="63" spans="1:26" x14ac:dyDescent="0.3">
      <c r="B63" s="26" t="s">
        <v>4</v>
      </c>
      <c r="C63" s="49">
        <f>F56</f>
        <v>302173</v>
      </c>
      <c r="D63" s="48">
        <f>F56/D56</f>
        <v>0.15972903897641647</v>
      </c>
    </row>
    <row r="64" spans="1:26" x14ac:dyDescent="0.3">
      <c r="B64" s="56" t="s">
        <v>79</v>
      </c>
      <c r="C64" s="50">
        <f>G56</f>
        <v>27238</v>
      </c>
      <c r="D64" s="51">
        <f>G56/D56</f>
        <v>1.4398042060805007E-2</v>
      </c>
    </row>
    <row r="65" spans="2:4" ht="15" thickBot="1" x14ac:dyDescent="0.35">
      <c r="B65" s="146" t="s">
        <v>115</v>
      </c>
      <c r="C65" s="52">
        <f>SUM(C62:C64)</f>
        <v>329411</v>
      </c>
      <c r="D65" s="53">
        <f>SUM(D62:D64)</f>
        <v>0.17412708103722147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377695</v>
      </c>
      <c r="D67" s="25">
        <f>H56/D56</f>
        <v>0.19965006594301149</v>
      </c>
    </row>
    <row r="68" spans="2:4" x14ac:dyDescent="0.3">
      <c r="B68" s="57" t="s">
        <v>7</v>
      </c>
      <c r="C68" s="27">
        <f>I56</f>
        <v>221616</v>
      </c>
      <c r="D68" s="28">
        <f>I56/D56</f>
        <v>0.1171465044917895</v>
      </c>
    </row>
    <row r="69" spans="2:4" ht="15" thickBot="1" x14ac:dyDescent="0.35">
      <c r="B69" s="146" t="s">
        <v>116</v>
      </c>
      <c r="C69" s="52">
        <f>SUM(C67:C68)</f>
        <v>599311</v>
      </c>
      <c r="D69" s="53">
        <f>SUM(D67:D68)</f>
        <v>0.31679657043480097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388582</v>
      </c>
      <c r="D71" s="25">
        <f>M56/D56</f>
        <v>0.20540494823671823</v>
      </c>
    </row>
    <row r="72" spans="2:4" x14ac:dyDescent="0.3">
      <c r="B72" s="24" t="s">
        <v>8</v>
      </c>
      <c r="C72" s="23">
        <f>Q56</f>
        <v>412802</v>
      </c>
      <c r="D72" s="25">
        <f>Q56/D56</f>
        <v>0.21820767159058774</v>
      </c>
    </row>
    <row r="73" spans="2:4" x14ac:dyDescent="0.3">
      <c r="B73" s="163" t="s">
        <v>83</v>
      </c>
      <c r="C73" s="27">
        <f>R56</f>
        <v>161679</v>
      </c>
      <c r="D73" s="28">
        <f>R56/D56</f>
        <v>8.5463728700671593E-2</v>
      </c>
    </row>
    <row r="74" spans="2:4" ht="15" thickBot="1" x14ac:dyDescent="0.35">
      <c r="B74" s="146" t="s">
        <v>117</v>
      </c>
      <c r="C74" s="52">
        <f>SUM(C71:C73)</f>
        <v>963063</v>
      </c>
      <c r="D74" s="53">
        <f>SUM(D71:D73)</f>
        <v>0.50907634852797756</v>
      </c>
    </row>
    <row r="75" spans="2:4" ht="15" thickBot="1" x14ac:dyDescent="0.35">
      <c r="B75" s="157" t="s">
        <v>80</v>
      </c>
      <c r="C75" s="158">
        <f>C65+C69+C74</f>
        <v>1891785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23" priority="7">
      <formula>ROW()=EVEN(ROW())</formula>
    </cfRule>
  </conditionalFormatting>
  <conditionalFormatting sqref="A55:B55">
    <cfRule type="expression" dxfId="22" priority="5">
      <formula>ROW()=EVEN(ROW())</formula>
    </cfRule>
  </conditionalFormatting>
  <conditionalFormatting sqref="A54:B54">
    <cfRule type="expression" dxfId="21" priority="4">
      <formula>ROW()=EVEN(ROW())</formula>
    </cfRule>
  </conditionalFormatting>
  <conditionalFormatting sqref="M45:M55">
    <cfRule type="expression" dxfId="20" priority="3">
      <formula>ROW()=EVEN(ROW())</formula>
    </cfRule>
  </conditionalFormatting>
  <conditionalFormatting sqref="D45:D55">
    <cfRule type="expression" dxfId="19" priority="2">
      <formula>ROW()=EVEN(ROW())</formula>
    </cfRule>
  </conditionalFormatting>
  <conditionalFormatting sqref="N44:P55">
    <cfRule type="expression" dxfId="18" priority="1">
      <formula>ROW()=EVEN(ROW())</formula>
    </cfRule>
  </conditionalFormatting>
  <printOptions horizontalCentered="1"/>
  <pageMargins left="0" right="0" top="1.1000000000000001" bottom="0.5" header="0.3" footer="0.3"/>
  <pageSetup scale="59" fitToHeight="0" orientation="landscape" r:id="rId1"/>
  <headerFooter>
    <oddHeader>&amp;C&amp;"-,Bold"&amp;20Funding by Expenditure Code and Revenue Source&amp;"-,Regular"&amp;11
&amp;"-,Bold"&amp;20 2014&amp;"-,Regular"&amp;11
&amp;"-,Bold"&amp;20WALLA WALLA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88"/>
  <sheetViews>
    <sheetView showZeros="0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3" width="15.88671875" customWidth="1"/>
    <col min="4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0" x14ac:dyDescent="0.3">
      <c r="A1" s="22" t="s">
        <v>150</v>
      </c>
      <c r="B1" s="6"/>
      <c r="C1" s="31">
        <v>207600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0" x14ac:dyDescent="0.3">
      <c r="A2" s="80" t="s">
        <v>44</v>
      </c>
      <c r="B2" s="5"/>
      <c r="C2" s="83">
        <v>74.349999999999994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148</v>
      </c>
    </row>
    <row r="3" spans="1:20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0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</row>
    <row r="5" spans="1:20" ht="15" thickBot="1" x14ac:dyDescent="0.35">
      <c r="A5" s="36">
        <v>562.1</v>
      </c>
      <c r="B5" s="37" t="s">
        <v>47</v>
      </c>
      <c r="C5" s="16">
        <v>79502</v>
      </c>
      <c r="D5" s="14">
        <f>E5+F5+G5+H5+I5+M5+Q5+R5</f>
        <v>1443697</v>
      </c>
      <c r="E5" s="236">
        <v>0</v>
      </c>
      <c r="F5" s="256">
        <v>1147177</v>
      </c>
      <c r="G5" s="227">
        <v>0</v>
      </c>
      <c r="H5" s="236">
        <v>0</v>
      </c>
      <c r="I5" s="241">
        <v>0</v>
      </c>
      <c r="J5" s="214"/>
      <c r="K5" s="214"/>
      <c r="L5" s="214"/>
      <c r="M5" s="9">
        <f>SUM(J5:L5)</f>
        <v>0</v>
      </c>
      <c r="N5" s="214"/>
      <c r="O5" s="214">
        <f>913+60+229867+51556</f>
        <v>282396</v>
      </c>
      <c r="P5" s="214"/>
      <c r="Q5" s="214">
        <f>SUM(N5:P5)</f>
        <v>282396</v>
      </c>
      <c r="R5" s="236">
        <f>13541+31+552</f>
        <v>14124</v>
      </c>
    </row>
    <row r="6" spans="1:20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</row>
    <row r="7" spans="1:20" ht="15" thickBot="1" x14ac:dyDescent="0.35">
      <c r="A7" s="39">
        <v>562.22</v>
      </c>
      <c r="B7" s="82" t="s">
        <v>92</v>
      </c>
      <c r="C7" s="15">
        <v>81439</v>
      </c>
      <c r="D7" s="14">
        <f t="shared" ref="D7:D55" si="2">E7+F7+G7+H7+I7+M7+Q7+R7</f>
        <v>218384</v>
      </c>
      <c r="E7" s="231"/>
      <c r="F7" s="257"/>
      <c r="G7" s="228"/>
      <c r="H7" s="231">
        <v>120454</v>
      </c>
      <c r="I7" s="219">
        <v>97139</v>
      </c>
      <c r="J7" s="217"/>
      <c r="K7" s="217"/>
      <c r="L7" s="217"/>
      <c r="M7" s="9">
        <f t="shared" si="0"/>
        <v>0</v>
      </c>
      <c r="N7" s="217"/>
      <c r="O7" s="217">
        <v>791</v>
      </c>
      <c r="P7" s="217"/>
      <c r="Q7" s="214">
        <f t="shared" si="1"/>
        <v>791</v>
      </c>
      <c r="R7" s="231"/>
    </row>
    <row r="8" spans="1:20" ht="15" thickBot="1" x14ac:dyDescent="0.35">
      <c r="A8" s="39">
        <v>562.24</v>
      </c>
      <c r="B8" s="40" t="s">
        <v>49</v>
      </c>
      <c r="C8" s="15"/>
      <c r="D8" s="14">
        <f t="shared" si="2"/>
        <v>0</v>
      </c>
      <c r="E8" s="231"/>
      <c r="F8" s="257"/>
      <c r="G8" s="228"/>
      <c r="H8" s="231"/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/>
    </row>
    <row r="9" spans="1:20" ht="15" thickBot="1" x14ac:dyDescent="0.35">
      <c r="A9" s="39">
        <v>562.25</v>
      </c>
      <c r="B9" s="82" t="s">
        <v>93</v>
      </c>
      <c r="C9" s="15">
        <v>123839</v>
      </c>
      <c r="D9" s="14">
        <f t="shared" si="2"/>
        <v>0</v>
      </c>
      <c r="E9" s="231"/>
      <c r="F9" s="257"/>
      <c r="G9" s="228"/>
      <c r="H9" s="231"/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</row>
    <row r="10" spans="1:20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</row>
    <row r="11" spans="1:20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</row>
    <row r="12" spans="1:20" ht="15" thickBot="1" x14ac:dyDescent="0.35">
      <c r="A12" s="39">
        <v>562.28</v>
      </c>
      <c r="B12" s="82" t="s">
        <v>94</v>
      </c>
      <c r="C12" s="15">
        <v>661157</v>
      </c>
      <c r="D12" s="14">
        <f t="shared" si="2"/>
        <v>393590</v>
      </c>
      <c r="E12" s="231"/>
      <c r="F12" s="257"/>
      <c r="G12" s="228"/>
      <c r="H12" s="231">
        <f>391416+330</f>
        <v>391746</v>
      </c>
      <c r="I12" s="219"/>
      <c r="J12" s="217"/>
      <c r="K12" s="217"/>
      <c r="L12" s="217"/>
      <c r="M12" s="9">
        <f t="shared" si="0"/>
        <v>0</v>
      </c>
      <c r="N12" s="217"/>
      <c r="O12" s="217">
        <f>225+403+1216</f>
        <v>1844</v>
      </c>
      <c r="P12" s="217"/>
      <c r="Q12" s="214">
        <f t="shared" si="1"/>
        <v>1844</v>
      </c>
      <c r="R12" s="231"/>
    </row>
    <row r="13" spans="1:20" ht="15" thickBot="1" x14ac:dyDescent="0.35">
      <c r="A13" s="39">
        <v>562.29</v>
      </c>
      <c r="B13" s="82" t="s">
        <v>86</v>
      </c>
      <c r="C13" s="15">
        <v>366824</v>
      </c>
      <c r="D13" s="14">
        <f t="shared" si="2"/>
        <v>254219</v>
      </c>
      <c r="E13" s="231"/>
      <c r="F13" s="257"/>
      <c r="G13" s="228">
        <v>154665</v>
      </c>
      <c r="H13" s="231"/>
      <c r="I13" s="219"/>
      <c r="J13" s="217"/>
      <c r="K13" s="217"/>
      <c r="L13" s="217">
        <v>99615</v>
      </c>
      <c r="M13" s="9">
        <f t="shared" si="0"/>
        <v>99615</v>
      </c>
      <c r="N13" s="217"/>
      <c r="O13" s="217"/>
      <c r="P13" s="217"/>
      <c r="Q13" s="214">
        <f t="shared" si="1"/>
        <v>0</v>
      </c>
      <c r="R13" s="231">
        <v>-61</v>
      </c>
      <c r="S13" s="199">
        <v>369.9</v>
      </c>
      <c r="T13" s="200">
        <v>-61</v>
      </c>
    </row>
    <row r="14" spans="1:20" ht="15" thickBot="1" x14ac:dyDescent="0.35">
      <c r="A14" s="39">
        <v>562.32000000000005</v>
      </c>
      <c r="B14" s="40" t="s">
        <v>50</v>
      </c>
      <c r="C14" s="15">
        <v>457777</v>
      </c>
      <c r="D14" s="14">
        <f t="shared" si="2"/>
        <v>56319</v>
      </c>
      <c r="E14" s="231"/>
      <c r="F14" s="257"/>
      <c r="G14" s="228"/>
      <c r="H14" s="231">
        <f>45586+616</f>
        <v>46202</v>
      </c>
      <c r="I14" s="219">
        <v>8983</v>
      </c>
      <c r="J14" s="217"/>
      <c r="K14" s="217"/>
      <c r="L14" s="217"/>
      <c r="M14" s="9">
        <f t="shared" si="0"/>
        <v>0</v>
      </c>
      <c r="N14" s="217"/>
      <c r="O14" s="217">
        <v>1134</v>
      </c>
      <c r="P14" s="217"/>
      <c r="Q14" s="214">
        <f t="shared" si="1"/>
        <v>1134</v>
      </c>
      <c r="R14" s="231"/>
    </row>
    <row r="15" spans="1:20" ht="15" thickBot="1" x14ac:dyDescent="0.35">
      <c r="A15" s="39">
        <v>562.33000000000004</v>
      </c>
      <c r="B15" s="82" t="s">
        <v>95</v>
      </c>
      <c r="C15" s="15"/>
      <c r="D15" s="14">
        <f t="shared" si="2"/>
        <v>0</v>
      </c>
      <c r="E15" s="231"/>
      <c r="F15" s="257"/>
      <c r="G15" s="228"/>
      <c r="H15" s="231"/>
      <c r="I15" s="219"/>
      <c r="J15" s="217"/>
      <c r="K15" s="217"/>
      <c r="L15" s="217"/>
      <c r="M15" s="9">
        <f t="shared" si="0"/>
        <v>0</v>
      </c>
      <c r="N15" s="217"/>
      <c r="O15" s="217"/>
      <c r="P15" s="217"/>
      <c r="Q15" s="214">
        <f t="shared" si="1"/>
        <v>0</v>
      </c>
      <c r="R15" s="231"/>
    </row>
    <row r="16" spans="1:20" ht="15" thickBot="1" x14ac:dyDescent="0.35">
      <c r="A16" s="39">
        <v>562.34</v>
      </c>
      <c r="B16" s="40" t="s">
        <v>51</v>
      </c>
      <c r="C16" s="15">
        <v>489027</v>
      </c>
      <c r="D16" s="14">
        <f t="shared" si="2"/>
        <v>955</v>
      </c>
      <c r="E16" s="231"/>
      <c r="F16" s="257"/>
      <c r="G16" s="228"/>
      <c r="H16" s="231"/>
      <c r="I16" s="219"/>
      <c r="J16" s="217"/>
      <c r="K16" s="217"/>
      <c r="L16" s="217"/>
      <c r="M16" s="9">
        <f t="shared" si="0"/>
        <v>0</v>
      </c>
      <c r="N16" s="217"/>
      <c r="O16" s="217">
        <f>82+873</f>
        <v>955</v>
      </c>
      <c r="P16" s="217"/>
      <c r="Q16" s="214">
        <f t="shared" si="1"/>
        <v>955</v>
      </c>
      <c r="R16" s="231"/>
      <c r="T16" s="204"/>
    </row>
    <row r="17" spans="1:20" ht="15" thickBot="1" x14ac:dyDescent="0.35">
      <c r="A17" s="39">
        <v>562.35</v>
      </c>
      <c r="B17" s="40" t="s">
        <v>52</v>
      </c>
      <c r="C17" s="15">
        <v>100902</v>
      </c>
      <c r="D17" s="14">
        <f t="shared" si="2"/>
        <v>27920</v>
      </c>
      <c r="E17" s="231">
        <v>27500</v>
      </c>
      <c r="F17" s="257"/>
      <c r="G17" s="228"/>
      <c r="H17" s="231"/>
      <c r="I17" s="219"/>
      <c r="J17" s="217"/>
      <c r="K17" s="217"/>
      <c r="L17" s="217"/>
      <c r="M17" s="9">
        <f t="shared" si="0"/>
        <v>0</v>
      </c>
      <c r="N17" s="217"/>
      <c r="O17" s="217">
        <f>345+75</f>
        <v>420</v>
      </c>
      <c r="P17" s="217"/>
      <c r="Q17" s="214">
        <f t="shared" si="1"/>
        <v>420</v>
      </c>
      <c r="R17" s="231"/>
    </row>
    <row r="18" spans="1:20" ht="15" thickBot="1" x14ac:dyDescent="0.35">
      <c r="A18" s="39">
        <v>562.39</v>
      </c>
      <c r="B18" s="40" t="s">
        <v>53</v>
      </c>
      <c r="C18" s="15">
        <v>752198</v>
      </c>
      <c r="D18" s="14">
        <f t="shared" si="2"/>
        <v>67124</v>
      </c>
      <c r="E18" s="231"/>
      <c r="F18" s="257">
        <v>67124</v>
      </c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/>
      <c r="P18" s="217"/>
      <c r="Q18" s="214">
        <f t="shared" si="1"/>
        <v>0</v>
      </c>
      <c r="R18" s="231"/>
    </row>
    <row r="19" spans="1:20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</row>
    <row r="20" spans="1:20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</row>
    <row r="21" spans="1:20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</row>
    <row r="22" spans="1:20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</row>
    <row r="23" spans="1:20" ht="15" thickBot="1" x14ac:dyDescent="0.35">
      <c r="A23" s="39">
        <v>562.45000000000005</v>
      </c>
      <c r="B23" s="82" t="s">
        <v>98</v>
      </c>
      <c r="C23" s="15">
        <v>71041</v>
      </c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</row>
    <row r="24" spans="1:20" ht="15" thickBot="1" x14ac:dyDescent="0.35">
      <c r="A24" s="39">
        <v>562.49</v>
      </c>
      <c r="B24" s="82" t="s">
        <v>87</v>
      </c>
      <c r="C24" s="15">
        <v>438626</v>
      </c>
      <c r="D24" s="14">
        <f t="shared" si="2"/>
        <v>313555</v>
      </c>
      <c r="E24" s="231"/>
      <c r="F24" s="257"/>
      <c r="G24" s="228"/>
      <c r="H24" s="231">
        <f>15957+239979+57619</f>
        <v>313555</v>
      </c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</row>
    <row r="25" spans="1:20" ht="15" thickBot="1" x14ac:dyDescent="0.35">
      <c r="A25" s="39">
        <v>562.52</v>
      </c>
      <c r="B25" s="40" t="s">
        <v>56</v>
      </c>
      <c r="C25" s="15">
        <v>166385</v>
      </c>
      <c r="D25" s="14">
        <f t="shared" si="2"/>
        <v>107590</v>
      </c>
      <c r="E25" s="231"/>
      <c r="F25" s="257"/>
      <c r="G25" s="228">
        <v>20075</v>
      </c>
      <c r="H25" s="231">
        <v>26800</v>
      </c>
      <c r="I25" s="219"/>
      <c r="J25" s="217"/>
      <c r="K25" s="217"/>
      <c r="L25" s="217"/>
      <c r="M25" s="9">
        <f t="shared" si="0"/>
        <v>0</v>
      </c>
      <c r="N25" s="217"/>
      <c r="O25" s="217">
        <f>5800+5800+4000+7050+700+33565+3800</f>
        <v>60715</v>
      </c>
      <c r="P25" s="217"/>
      <c r="Q25" s="214">
        <f t="shared" si="1"/>
        <v>60715</v>
      </c>
      <c r="R25" s="231"/>
    </row>
    <row r="26" spans="1:20" ht="15" thickBot="1" x14ac:dyDescent="0.35">
      <c r="A26" s="39">
        <v>562.53</v>
      </c>
      <c r="B26" s="82" t="s">
        <v>99</v>
      </c>
      <c r="C26" s="15">
        <v>501804</v>
      </c>
      <c r="D26" s="14">
        <f t="shared" si="2"/>
        <v>434977</v>
      </c>
      <c r="E26" s="231"/>
      <c r="F26" s="257"/>
      <c r="G26" s="228">
        <f>186977+70517</f>
        <v>257494</v>
      </c>
      <c r="H26" s="231"/>
      <c r="I26" s="219"/>
      <c r="J26" s="217"/>
      <c r="K26" s="217"/>
      <c r="L26" s="217">
        <v>118986</v>
      </c>
      <c r="M26" s="9">
        <f t="shared" si="0"/>
        <v>118986</v>
      </c>
      <c r="N26" s="217">
        <v>45540</v>
      </c>
      <c r="O26" s="217">
        <f>1987+10750+220</f>
        <v>12957</v>
      </c>
      <c r="P26" s="217"/>
      <c r="Q26" s="214">
        <f t="shared" si="1"/>
        <v>58497</v>
      </c>
      <c r="R26" s="231"/>
    </row>
    <row r="27" spans="1:20" ht="15" thickBot="1" x14ac:dyDescent="0.35">
      <c r="A27" s="39">
        <v>562.54</v>
      </c>
      <c r="B27" s="82" t="s">
        <v>100</v>
      </c>
      <c r="C27" s="15">
        <v>877578</v>
      </c>
      <c r="D27" s="14">
        <f t="shared" si="2"/>
        <v>870439</v>
      </c>
      <c r="E27" s="231"/>
      <c r="F27" s="257"/>
      <c r="G27" s="228">
        <v>11904</v>
      </c>
      <c r="H27" s="231">
        <v>3916</v>
      </c>
      <c r="I27" s="219"/>
      <c r="J27" s="217"/>
      <c r="K27" s="217"/>
      <c r="L27" s="217"/>
      <c r="M27" s="9">
        <f t="shared" si="0"/>
        <v>0</v>
      </c>
      <c r="N27" s="217">
        <f>16220+285000+7125+476582+950+51475+720+1200+6750</f>
        <v>846022</v>
      </c>
      <c r="O27" s="217">
        <v>8100</v>
      </c>
      <c r="P27" s="217">
        <v>500</v>
      </c>
      <c r="Q27" s="214">
        <f t="shared" si="1"/>
        <v>854622</v>
      </c>
      <c r="R27" s="231">
        <v>-3</v>
      </c>
      <c r="S27" s="199">
        <v>361.4</v>
      </c>
      <c r="T27" s="200">
        <v>-3</v>
      </c>
    </row>
    <row r="28" spans="1:20" ht="15" thickBot="1" x14ac:dyDescent="0.35">
      <c r="A28" s="39">
        <v>562.54999999999995</v>
      </c>
      <c r="B28" s="40" t="s">
        <v>57</v>
      </c>
      <c r="C28" s="15">
        <v>1647</v>
      </c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</row>
    <row r="29" spans="1:20" ht="15" thickBot="1" x14ac:dyDescent="0.35">
      <c r="A29" s="39">
        <v>562.55999999999995</v>
      </c>
      <c r="B29" s="40" t="s">
        <v>58</v>
      </c>
      <c r="C29" s="15">
        <v>746595</v>
      </c>
      <c r="D29" s="14">
        <f t="shared" si="2"/>
        <v>661807</v>
      </c>
      <c r="E29" s="231">
        <v>7001</v>
      </c>
      <c r="F29" s="257"/>
      <c r="G29" s="228"/>
      <c r="H29" s="231">
        <v>8508</v>
      </c>
      <c r="I29" s="219">
        <v>1136</v>
      </c>
      <c r="J29" s="217"/>
      <c r="K29" s="217"/>
      <c r="L29" s="217"/>
      <c r="M29" s="9">
        <f t="shared" si="0"/>
        <v>0</v>
      </c>
      <c r="N29" s="217">
        <f>466060+49271+75654+855</f>
        <v>591840</v>
      </c>
      <c r="O29" s="217">
        <f>16684+30548+6090</f>
        <v>53322</v>
      </c>
      <c r="P29" s="217"/>
      <c r="Q29" s="214">
        <f t="shared" si="1"/>
        <v>645162</v>
      </c>
      <c r="R29" s="231"/>
    </row>
    <row r="30" spans="1:20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</row>
    <row r="31" spans="1:20" ht="15" thickBot="1" x14ac:dyDescent="0.35">
      <c r="A31" s="39">
        <v>562.58000000000004</v>
      </c>
      <c r="B31" s="82" t="s">
        <v>88</v>
      </c>
      <c r="C31" s="15">
        <v>105920</v>
      </c>
      <c r="D31" s="14">
        <f t="shared" si="2"/>
        <v>75328</v>
      </c>
      <c r="E31" s="231"/>
      <c r="F31" s="257"/>
      <c r="G31" s="228"/>
      <c r="H31" s="231">
        <v>12911</v>
      </c>
      <c r="I31" s="219"/>
      <c r="J31" s="217"/>
      <c r="K31" s="217"/>
      <c r="L31" s="217"/>
      <c r="M31" s="9">
        <f t="shared" si="0"/>
        <v>0</v>
      </c>
      <c r="N31" s="217">
        <v>56267</v>
      </c>
      <c r="O31" s="217">
        <f>4128+1651+371</f>
        <v>6150</v>
      </c>
      <c r="P31" s="217"/>
      <c r="Q31" s="214">
        <f t="shared" si="1"/>
        <v>62417</v>
      </c>
      <c r="R31" s="231"/>
    </row>
    <row r="32" spans="1:20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</row>
    <row r="33" spans="1:20" ht="15" thickBot="1" x14ac:dyDescent="0.35">
      <c r="A33" s="39">
        <v>562.6</v>
      </c>
      <c r="B33" s="40" t="s">
        <v>59</v>
      </c>
      <c r="C33" s="15">
        <v>33373</v>
      </c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</row>
    <row r="34" spans="1:20" ht="15" thickBot="1" x14ac:dyDescent="0.35">
      <c r="A34" s="39">
        <v>562.71</v>
      </c>
      <c r="B34" s="40" t="s">
        <v>60</v>
      </c>
      <c r="C34" s="15">
        <v>95640</v>
      </c>
      <c r="D34" s="14">
        <f t="shared" si="2"/>
        <v>95212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f>17760+1772+49620+26060</f>
        <v>95212</v>
      </c>
      <c r="P34" s="217"/>
      <c r="Q34" s="214">
        <f t="shared" si="1"/>
        <v>95212</v>
      </c>
      <c r="R34" s="231"/>
    </row>
    <row r="35" spans="1:20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</row>
    <row r="36" spans="1:20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</row>
    <row r="37" spans="1:20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</row>
    <row r="38" spans="1:20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</row>
    <row r="39" spans="1:20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</row>
    <row r="40" spans="1:20" ht="15" thickBot="1" x14ac:dyDescent="0.35">
      <c r="A40" s="39">
        <v>562.79999999999995</v>
      </c>
      <c r="B40" s="40" t="s">
        <v>65</v>
      </c>
      <c r="C40" s="15">
        <v>24311</v>
      </c>
      <c r="D40" s="14">
        <f t="shared" si="2"/>
        <v>0</v>
      </c>
      <c r="E40" s="231"/>
      <c r="F40" s="257"/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</row>
    <row r="41" spans="1:20" ht="15" thickBot="1" x14ac:dyDescent="0.35">
      <c r="A41" s="39">
        <v>562.88</v>
      </c>
      <c r="B41" s="82" t="s">
        <v>91</v>
      </c>
      <c r="C41" s="15">
        <v>144163</v>
      </c>
      <c r="D41" s="14">
        <f t="shared" si="2"/>
        <v>89197</v>
      </c>
      <c r="E41" s="231"/>
      <c r="F41" s="257"/>
      <c r="G41" s="228"/>
      <c r="H41" s="231">
        <v>83114</v>
      </c>
      <c r="I41" s="219"/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>
        <v>6083</v>
      </c>
      <c r="S41" s="199">
        <v>369.9</v>
      </c>
      <c r="T41" s="200">
        <v>6083</v>
      </c>
    </row>
    <row r="42" spans="1:20" ht="15" thickBot="1" x14ac:dyDescent="0.35">
      <c r="A42" s="39">
        <v>562.9</v>
      </c>
      <c r="B42" s="40" t="s">
        <v>66</v>
      </c>
      <c r="C42" s="15">
        <v>4694</v>
      </c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</row>
    <row r="43" spans="1:20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</row>
    <row r="44" spans="1:20" x14ac:dyDescent="0.3">
      <c r="A44" s="206" t="s">
        <v>110</v>
      </c>
      <c r="B44" s="207" t="s">
        <v>68</v>
      </c>
      <c r="C44" s="208">
        <f>SUM(C5:C43)</f>
        <v>6324442</v>
      </c>
      <c r="D44" s="205">
        <f>E44+F44+G44+H44+I44+M44+Q44+R44</f>
        <v>5110313</v>
      </c>
      <c r="E44" s="233">
        <f t="shared" ref="E44:R44" si="3">SUM(E5:E43)</f>
        <v>34501</v>
      </c>
      <c r="F44" s="259">
        <f t="shared" si="3"/>
        <v>1214301</v>
      </c>
      <c r="G44" s="223">
        <f t="shared" si="3"/>
        <v>444138</v>
      </c>
      <c r="H44" s="233">
        <f t="shared" si="3"/>
        <v>1007206</v>
      </c>
      <c r="I44" s="239">
        <f t="shared" si="3"/>
        <v>107258</v>
      </c>
      <c r="J44" s="245">
        <f>SUM(J5:J43)</f>
        <v>0</v>
      </c>
      <c r="K44" s="245">
        <f>SUM(K5:K43)</f>
        <v>0</v>
      </c>
      <c r="L44" s="245">
        <f>SUM(L5:L43)</f>
        <v>218601</v>
      </c>
      <c r="M44" s="208">
        <f t="shared" si="3"/>
        <v>218601</v>
      </c>
      <c r="N44" s="245">
        <f>SUM(N5:N43)</f>
        <v>1539669</v>
      </c>
      <c r="O44" s="245">
        <f>SUM(O5:O43)</f>
        <v>523996</v>
      </c>
      <c r="P44" s="245">
        <f>SUM(P5:P43)</f>
        <v>500</v>
      </c>
      <c r="Q44" s="216">
        <f t="shared" si="3"/>
        <v>2064165</v>
      </c>
      <c r="R44" s="233">
        <f t="shared" si="3"/>
        <v>20143</v>
      </c>
    </row>
    <row r="45" spans="1:20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</row>
    <row r="46" spans="1:20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</row>
    <row r="47" spans="1:20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</row>
    <row r="48" spans="1:20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</row>
    <row r="49" spans="1:26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</row>
    <row r="50" spans="1:26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</row>
    <row r="51" spans="1:26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</row>
    <row r="52" spans="1:26" ht="15" thickBot="1" x14ac:dyDescent="0.35">
      <c r="A52" s="39">
        <v>564</v>
      </c>
      <c r="B52" s="40" t="s">
        <v>75</v>
      </c>
      <c r="C52" s="15">
        <v>3329217</v>
      </c>
      <c r="D52" s="14">
        <f t="shared" si="2"/>
        <v>4415097</v>
      </c>
      <c r="E52" s="231"/>
      <c r="F52" s="257"/>
      <c r="G52" s="228">
        <f>326966+14+7096+49</f>
        <v>334125</v>
      </c>
      <c r="H52" s="231"/>
      <c r="I52" s="219"/>
      <c r="J52" s="217">
        <f>296420+1192+3672919+2460</f>
        <v>3972991</v>
      </c>
      <c r="K52" s="217"/>
      <c r="L52" s="217">
        <f>2241+67303</f>
        <v>69544</v>
      </c>
      <c r="M52" s="9">
        <f t="shared" si="0"/>
        <v>4042535</v>
      </c>
      <c r="N52" s="217"/>
      <c r="O52" s="217"/>
      <c r="P52" s="217"/>
      <c r="Q52" s="214">
        <f t="shared" si="1"/>
        <v>0</v>
      </c>
      <c r="R52" s="231">
        <f>1259+8856+28326-4</f>
        <v>38437</v>
      </c>
      <c r="S52" s="199">
        <v>361.4</v>
      </c>
      <c r="T52" s="200">
        <v>-4</v>
      </c>
      <c r="U52">
        <v>362.5</v>
      </c>
      <c r="V52">
        <v>1259</v>
      </c>
      <c r="W52">
        <v>369.9</v>
      </c>
      <c r="X52">
        <v>8856</v>
      </c>
      <c r="Y52">
        <v>361.1</v>
      </c>
      <c r="Z52">
        <v>28326</v>
      </c>
    </row>
    <row r="53" spans="1:26" ht="15" thickBot="1" x14ac:dyDescent="0.35">
      <c r="A53" s="39">
        <v>566</v>
      </c>
      <c r="B53" s="40" t="s">
        <v>76</v>
      </c>
      <c r="C53" s="15">
        <v>881964</v>
      </c>
      <c r="D53" s="14">
        <f t="shared" si="2"/>
        <v>855218</v>
      </c>
      <c r="E53" s="231"/>
      <c r="F53" s="257"/>
      <c r="G53" s="228">
        <f>447650+3350+1102</f>
        <v>452102</v>
      </c>
      <c r="H53" s="231"/>
      <c r="I53" s="219">
        <f>85530+269982+4344</f>
        <v>359856</v>
      </c>
      <c r="J53" s="217"/>
      <c r="K53" s="217"/>
      <c r="L53" s="217"/>
      <c r="M53" s="9">
        <f t="shared" si="0"/>
        <v>0</v>
      </c>
      <c r="N53" s="217"/>
      <c r="O53" s="217">
        <v>43260</v>
      </c>
      <c r="P53" s="217"/>
      <c r="Q53" s="214">
        <f t="shared" si="1"/>
        <v>43260</v>
      </c>
      <c r="R53" s="231"/>
    </row>
    <row r="54" spans="1:26" ht="15" thickBot="1" x14ac:dyDescent="0.35">
      <c r="A54" s="39">
        <v>568</v>
      </c>
      <c r="B54" s="40" t="s">
        <v>77</v>
      </c>
      <c r="C54" s="15">
        <v>2871448</v>
      </c>
      <c r="D54" s="14">
        <f t="shared" si="2"/>
        <v>2926823</v>
      </c>
      <c r="E54" s="231"/>
      <c r="F54" s="257"/>
      <c r="G54" s="228">
        <f>2624392+14+49</f>
        <v>2624455</v>
      </c>
      <c r="H54" s="231"/>
      <c r="I54" s="219"/>
      <c r="J54" s="217">
        <f>296420+2460+1192</f>
        <v>300072</v>
      </c>
      <c r="K54" s="217"/>
      <c r="L54" s="217">
        <v>2241</v>
      </c>
      <c r="M54" s="9">
        <f t="shared" si="0"/>
        <v>302313</v>
      </c>
      <c r="N54" s="217">
        <v>0</v>
      </c>
      <c r="O54" s="217"/>
      <c r="P54" s="217"/>
      <c r="Q54" s="214">
        <f t="shared" si="1"/>
        <v>0</v>
      </c>
      <c r="R54" s="231">
        <f>59-4</f>
        <v>55</v>
      </c>
      <c r="S54" s="199">
        <v>361.4</v>
      </c>
      <c r="T54" s="200">
        <v>-4</v>
      </c>
      <c r="U54">
        <v>362.5</v>
      </c>
      <c r="V54">
        <v>59</v>
      </c>
    </row>
    <row r="55" spans="1:26" x14ac:dyDescent="0.3">
      <c r="A55" s="41">
        <v>500</v>
      </c>
      <c r="B55" s="32" t="s">
        <v>118</v>
      </c>
      <c r="C55" s="18">
        <f>398706+189068+3401770</f>
        <v>3989544</v>
      </c>
      <c r="D55" s="20">
        <f t="shared" si="2"/>
        <v>3071432</v>
      </c>
      <c r="E55" s="232"/>
      <c r="F55" s="258"/>
      <c r="G55" s="229">
        <f>12+44+1451667+186387</f>
        <v>1638110</v>
      </c>
      <c r="H55" s="232"/>
      <c r="I55" s="220">
        <v>134917</v>
      </c>
      <c r="J55" s="244">
        <f>266780+1073+2214</f>
        <v>270067</v>
      </c>
      <c r="K55" s="244"/>
      <c r="L55" s="244">
        <v>2017</v>
      </c>
      <c r="M55" s="198">
        <f t="shared" si="0"/>
        <v>272084</v>
      </c>
      <c r="N55" s="244"/>
      <c r="O55" s="244">
        <f>164012+859265</f>
        <v>1023277</v>
      </c>
      <c r="P55" s="244"/>
      <c r="Q55" s="215">
        <f t="shared" si="1"/>
        <v>1023277</v>
      </c>
      <c r="R55" s="232">
        <f>2-6+53+2995</f>
        <v>3044</v>
      </c>
    </row>
    <row r="56" spans="1:26" ht="15" thickBot="1" x14ac:dyDescent="0.35">
      <c r="A56" s="107"/>
      <c r="B56" s="108" t="s">
        <v>80</v>
      </c>
      <c r="C56" s="111">
        <f>SUM(C44:C55)</f>
        <v>17396615</v>
      </c>
      <c r="D56" s="110">
        <f>E56+F56+G56+H56+I56+M56+Q56+R56</f>
        <v>16378883</v>
      </c>
      <c r="E56" s="235">
        <f t="shared" ref="E56:R56" si="4">SUM(E44:E55)</f>
        <v>34501</v>
      </c>
      <c r="F56" s="260">
        <f t="shared" si="4"/>
        <v>1214301</v>
      </c>
      <c r="G56" s="225">
        <f t="shared" si="4"/>
        <v>5492930</v>
      </c>
      <c r="H56" s="235">
        <f t="shared" si="4"/>
        <v>1007206</v>
      </c>
      <c r="I56" s="240">
        <f t="shared" si="4"/>
        <v>602031</v>
      </c>
      <c r="J56" s="218">
        <f>SUM(J44:J55)</f>
        <v>4543130</v>
      </c>
      <c r="K56" s="218">
        <f>SUM(K44:K55)</f>
        <v>0</v>
      </c>
      <c r="L56" s="218">
        <f>SUM(L44:L55)</f>
        <v>292403</v>
      </c>
      <c r="M56" s="209">
        <f t="shared" si="4"/>
        <v>4835533</v>
      </c>
      <c r="N56" s="218">
        <f>SUM(N44:N55)</f>
        <v>1539669</v>
      </c>
      <c r="O56" s="218">
        <f>SUM(O44:O55)</f>
        <v>1590533</v>
      </c>
      <c r="P56" s="218">
        <f>SUM(P44:P55)</f>
        <v>500</v>
      </c>
      <c r="Q56" s="218">
        <f t="shared" si="4"/>
        <v>3130702</v>
      </c>
      <c r="R56" s="235">
        <f t="shared" si="4"/>
        <v>61679</v>
      </c>
    </row>
    <row r="57" spans="1:26" ht="15" thickTop="1" x14ac:dyDescent="0.3"/>
    <row r="58" spans="1:26" ht="15" thickBot="1" x14ac:dyDescent="0.35"/>
    <row r="59" spans="1:26" ht="15" thickBot="1" x14ac:dyDescent="0.35">
      <c r="B59" s="42" t="s">
        <v>109</v>
      </c>
      <c r="C59" s="43"/>
      <c r="D59" s="44"/>
    </row>
    <row r="60" spans="1:26" ht="15" thickTop="1" x14ac:dyDescent="0.3">
      <c r="B60" s="115"/>
      <c r="C60" s="116" t="s">
        <v>82</v>
      </c>
      <c r="D60" s="117" t="s">
        <v>78</v>
      </c>
    </row>
    <row r="61" spans="1:26" x14ac:dyDescent="0.3">
      <c r="B61" s="153" t="s">
        <v>108</v>
      </c>
      <c r="C61" s="45"/>
      <c r="D61" s="46"/>
    </row>
    <row r="62" spans="1:26" x14ac:dyDescent="0.3">
      <c r="B62" s="26" t="s">
        <v>3</v>
      </c>
      <c r="C62" s="47">
        <f>E56</f>
        <v>34501</v>
      </c>
      <c r="D62" s="48">
        <f>E56/D56</f>
        <v>2.1064318000195738E-3</v>
      </c>
    </row>
    <row r="63" spans="1:26" x14ac:dyDescent="0.3">
      <c r="B63" s="26" t="s">
        <v>4</v>
      </c>
      <c r="C63" s="49">
        <f>F56</f>
        <v>1214301</v>
      </c>
      <c r="D63" s="48">
        <f>F56/D56</f>
        <v>7.4138205883758981E-2</v>
      </c>
    </row>
    <row r="64" spans="1:26" x14ac:dyDescent="0.3">
      <c r="B64" s="56" t="s">
        <v>79</v>
      </c>
      <c r="C64" s="50">
        <f>G56</f>
        <v>5492930</v>
      </c>
      <c r="D64" s="51">
        <f>G56/D56</f>
        <v>0.33536658146956666</v>
      </c>
    </row>
    <row r="65" spans="2:4" ht="15" thickBot="1" x14ac:dyDescent="0.35">
      <c r="B65" s="146" t="s">
        <v>115</v>
      </c>
      <c r="C65" s="52">
        <f>SUM(C62:C64)</f>
        <v>6741732</v>
      </c>
      <c r="D65" s="53">
        <f>SUM(D62:D64)</f>
        <v>0.4116112191533452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1007206</v>
      </c>
      <c r="D67" s="25">
        <f>H56/D56</f>
        <v>6.1494181257659632E-2</v>
      </c>
    </row>
    <row r="68" spans="2:4" x14ac:dyDescent="0.3">
      <c r="B68" s="57" t="s">
        <v>7</v>
      </c>
      <c r="C68" s="27">
        <f>I56</f>
        <v>602031</v>
      </c>
      <c r="D68" s="28">
        <f>I56/D56</f>
        <v>3.6756535839470861E-2</v>
      </c>
    </row>
    <row r="69" spans="2:4" ht="15" thickBot="1" x14ac:dyDescent="0.35">
      <c r="B69" s="146" t="s">
        <v>116</v>
      </c>
      <c r="C69" s="52">
        <f>SUM(C67:C68)</f>
        <v>1609237</v>
      </c>
      <c r="D69" s="53">
        <f>SUM(D67:D68)</f>
        <v>9.8250717097130486E-2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4835533</v>
      </c>
      <c r="D71" s="25">
        <f>M56/D56</f>
        <v>0.29522971743555404</v>
      </c>
    </row>
    <row r="72" spans="2:4" x14ac:dyDescent="0.3">
      <c r="B72" s="24" t="s">
        <v>8</v>
      </c>
      <c r="C72" s="23">
        <f>Q56</f>
        <v>3130702</v>
      </c>
      <c r="D72" s="25">
        <f>Q56/D56</f>
        <v>0.1911425828000603</v>
      </c>
    </row>
    <row r="73" spans="2:4" x14ac:dyDescent="0.3">
      <c r="B73" s="163" t="s">
        <v>83</v>
      </c>
      <c r="C73" s="27">
        <f>R56</f>
        <v>61679</v>
      </c>
      <c r="D73" s="28">
        <f>R56/D56</f>
        <v>3.7657635139099533E-3</v>
      </c>
    </row>
    <row r="74" spans="2:4" ht="15" thickBot="1" x14ac:dyDescent="0.35">
      <c r="B74" s="146" t="s">
        <v>117</v>
      </c>
      <c r="C74" s="52">
        <f>SUM(C71:C73)</f>
        <v>8027914</v>
      </c>
      <c r="D74" s="53">
        <f>SUM(D71:D73)</f>
        <v>0.49013806374952429</v>
      </c>
    </row>
    <row r="75" spans="2:4" ht="15" thickBot="1" x14ac:dyDescent="0.35">
      <c r="B75" s="157" t="s">
        <v>80</v>
      </c>
      <c r="C75" s="158">
        <f>C65+C69+C74</f>
        <v>16378883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17" priority="7">
      <formula>ROW()=EVEN(ROW())</formula>
    </cfRule>
  </conditionalFormatting>
  <conditionalFormatting sqref="A55:B55">
    <cfRule type="expression" dxfId="16" priority="5">
      <formula>ROW()=EVEN(ROW())</formula>
    </cfRule>
  </conditionalFormatting>
  <conditionalFormatting sqref="A54:B54">
    <cfRule type="expression" dxfId="15" priority="4">
      <formula>ROW()=EVEN(ROW())</formula>
    </cfRule>
  </conditionalFormatting>
  <conditionalFormatting sqref="M45:M55">
    <cfRule type="expression" dxfId="14" priority="3">
      <formula>ROW()=EVEN(ROW())</formula>
    </cfRule>
  </conditionalFormatting>
  <conditionalFormatting sqref="D45:D55">
    <cfRule type="expression" dxfId="13" priority="2">
      <formula>ROW()=EVEN(ROW())</formula>
    </cfRule>
  </conditionalFormatting>
  <conditionalFormatting sqref="N44:P55">
    <cfRule type="expression" dxfId="12" priority="1">
      <formula>ROW()=EVEN(ROW())</formula>
    </cfRule>
  </conditionalFormatting>
  <printOptions horizontalCentered="1"/>
  <pageMargins left="0" right="0" top="1.1000000000000001" bottom="0.5" header="0.3" footer="0.3"/>
  <pageSetup scale="58" fitToHeight="0" orientation="landscape" r:id="rId1"/>
  <headerFooter>
    <oddHeader>&amp;C&amp;"-,Bold"&amp;20Funding by Expenditure Code and Revenue Source&amp;"-,Regular"&amp;11
&amp;"-,Bold"&amp;20 2014&amp;"-,Regular"&amp;11
&amp;"-,Bold"&amp;20WHATCOM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42:H57"/>
  <sheetViews>
    <sheetView view="pageLayout" topLeftCell="A28" zoomScaleNormal="100" workbookViewId="0">
      <selection activeCell="H49" sqref="H49"/>
    </sheetView>
  </sheetViews>
  <sheetFormatPr defaultColWidth="9.109375" defaultRowHeight="13.2" x14ac:dyDescent="0.25"/>
  <cols>
    <col min="1" max="5" width="9.109375" style="61"/>
    <col min="6" max="6" width="10.44140625" style="61" customWidth="1"/>
    <col min="7" max="7" width="11.6640625" style="61" customWidth="1"/>
    <col min="8" max="8" width="12.5546875" style="61" customWidth="1"/>
    <col min="9" max="9" width="11.6640625" style="61" bestFit="1" customWidth="1"/>
    <col min="10" max="10" width="13.5546875" style="61" customWidth="1"/>
    <col min="11" max="12" width="9.109375" style="61"/>
    <col min="13" max="13" width="12.109375" style="61" customWidth="1"/>
    <col min="14" max="14" width="8.6640625" style="61" customWidth="1"/>
    <col min="15" max="16384" width="9.109375" style="61"/>
  </cols>
  <sheetData>
    <row r="42" spans="2:8" ht="13.8" thickBot="1" x14ac:dyDescent="0.3"/>
    <row r="43" spans="2:8" x14ac:dyDescent="0.25">
      <c r="B43" s="62" t="s">
        <v>81</v>
      </c>
      <c r="C43" s="63"/>
      <c r="D43" s="63"/>
      <c r="E43" s="63"/>
      <c r="F43" s="63"/>
      <c r="G43" s="63"/>
      <c r="H43" s="155" t="s">
        <v>82</v>
      </c>
    </row>
    <row r="44" spans="2:8" x14ac:dyDescent="0.25">
      <c r="B44" s="103" t="s">
        <v>113</v>
      </c>
      <c r="C44" s="65"/>
      <c r="D44" s="66"/>
      <c r="E44" s="66"/>
      <c r="F44" s="66"/>
      <c r="G44" s="66"/>
      <c r="H44" s="67">
        <f>'LJH Summary Pg 3-DO NOT INPUT'!G38+'LJH Summary Pg 3-DO NOT INPUT'!H38+'LJH Summary Pg 3-DO NOT INPUT'!I38</f>
        <v>65215197.469999999</v>
      </c>
    </row>
    <row r="45" spans="2:8" x14ac:dyDescent="0.25">
      <c r="B45" s="103" t="s">
        <v>107</v>
      </c>
      <c r="C45" s="65"/>
      <c r="D45" s="66"/>
      <c r="E45" s="66"/>
      <c r="F45" s="66"/>
      <c r="G45" s="66"/>
      <c r="H45" s="67">
        <f>'LJH Summary Pg 3-DO NOT INPUT'!J38+'LJH Summary Pg 3-DO NOT INPUT'!K38</f>
        <v>77739322.159999996</v>
      </c>
    </row>
    <row r="46" spans="2:8" x14ac:dyDescent="0.25">
      <c r="B46" s="103" t="s">
        <v>106</v>
      </c>
      <c r="C46" s="65"/>
      <c r="D46" s="66"/>
      <c r="E46" s="66"/>
      <c r="F46" s="66"/>
      <c r="G46" s="66"/>
      <c r="H46" s="67"/>
    </row>
    <row r="47" spans="2:8" x14ac:dyDescent="0.25">
      <c r="B47" s="129" t="s">
        <v>104</v>
      </c>
      <c r="C47" s="65"/>
      <c r="D47" s="66"/>
      <c r="E47" s="66"/>
      <c r="F47" s="66"/>
      <c r="G47" s="66"/>
      <c r="H47" s="67">
        <f>'LJH Summary Pg 3-DO NOT INPUT'!L38</f>
        <v>83235556.960000008</v>
      </c>
    </row>
    <row r="48" spans="2:8" x14ac:dyDescent="0.25">
      <c r="B48" s="129" t="s">
        <v>8</v>
      </c>
      <c r="C48" s="65"/>
      <c r="D48" s="66"/>
      <c r="E48" s="66"/>
      <c r="F48" s="66"/>
      <c r="G48" s="66"/>
      <c r="H48" s="67">
        <f>'LJH Summary Pg 3-DO NOT INPUT'!M38</f>
        <v>137436691.66</v>
      </c>
    </row>
    <row r="49" spans="2:8" x14ac:dyDescent="0.25">
      <c r="B49" s="64" t="s">
        <v>83</v>
      </c>
      <c r="C49" s="65"/>
      <c r="D49" s="66"/>
      <c r="E49" s="66"/>
      <c r="F49" s="66"/>
      <c r="G49" s="66"/>
      <c r="H49" s="67">
        <f>'LJH Summary Pg 3-DO NOT INPUT'!N38</f>
        <v>36841383.789999999</v>
      </c>
    </row>
    <row r="50" spans="2:8" ht="13.8" thickBot="1" x14ac:dyDescent="0.3">
      <c r="B50" s="147" t="s">
        <v>80</v>
      </c>
      <c r="C50" s="68"/>
      <c r="D50" s="68"/>
      <c r="E50" s="68"/>
      <c r="F50" s="68"/>
      <c r="G50" s="68"/>
      <c r="H50" s="99">
        <f>SUM(H44:H49)</f>
        <v>400468152.04000002</v>
      </c>
    </row>
    <row r="55" spans="2:8" x14ac:dyDescent="0.25">
      <c r="B55" s="101"/>
      <c r="F55" s="71"/>
    </row>
    <row r="56" spans="2:8" x14ac:dyDescent="0.25">
      <c r="B56" s="101"/>
      <c r="F56" s="71"/>
    </row>
    <row r="57" spans="2:8" x14ac:dyDescent="0.25">
      <c r="F57" s="72"/>
    </row>
  </sheetData>
  <printOptions horizontalCentered="1"/>
  <pageMargins left="0" right="0" top="1.25" bottom="0.65" header="0.28000000000000003" footer="0.3"/>
  <pageSetup scale="70" orientation="landscape" r:id="rId1"/>
  <headerFooter>
    <oddHeader>&amp;C&amp;"Arial,Bold"&amp;20 Local Health Jurisdiction Revenue Sources by Type
2014
All Local Health Jurisdictions</oddHeader>
    <oddFooter>&amp;CPage &amp;P
&amp;RSOURCE:  BARS A Reports
Compiled by DOH</oddFooter>
    <firstHeader>&amp;C&amp;"Arial,Bold"&amp;15PUBLIC HEALTH SERVICES - Funding of All Local Health Jurisdictions by Revenue Source Type
2012</firstHeader>
    <firstFooter>&amp;C&amp;11Page 6&amp;R&amp;8 2012 LHJ Funding Summary
Compiled by DOH
Source: BARS A Report</firstFooter>
  </headerFooter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88"/>
  <sheetViews>
    <sheetView showZeros="0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4" x14ac:dyDescent="0.3">
      <c r="A1" s="22" t="s">
        <v>150</v>
      </c>
      <c r="B1" s="6"/>
      <c r="C1" s="31">
        <v>46500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4" x14ac:dyDescent="0.3">
      <c r="A2" s="80" t="s">
        <v>44</v>
      </c>
      <c r="B2" s="5"/>
      <c r="C2" s="83">
        <v>17.8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147</v>
      </c>
    </row>
    <row r="3" spans="1:24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4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  <c r="W4" s="202" t="s">
        <v>153</v>
      </c>
      <c r="X4" s="203" t="s">
        <v>82</v>
      </c>
    </row>
    <row r="5" spans="1:24" ht="15" thickBot="1" x14ac:dyDescent="0.35">
      <c r="A5" s="36">
        <v>562.1</v>
      </c>
      <c r="B5" s="37" t="s">
        <v>47</v>
      </c>
      <c r="C5" s="16">
        <f>350743+58404</f>
        <v>409147</v>
      </c>
      <c r="D5" s="14">
        <f>E5+F5+G5+H5+I5+M5+Q5+R5</f>
        <v>409147</v>
      </c>
      <c r="E5" s="236">
        <v>0</v>
      </c>
      <c r="F5" s="256">
        <v>114057</v>
      </c>
      <c r="G5" s="227">
        <v>0</v>
      </c>
      <c r="H5" s="236">
        <f>6342+712</f>
        <v>7054</v>
      </c>
      <c r="I5" s="241">
        <v>0</v>
      </c>
      <c r="J5" s="214"/>
      <c r="K5" s="214"/>
      <c r="L5" s="214">
        <v>236466</v>
      </c>
      <c r="M5" s="9">
        <f>SUM(J5:L5)</f>
        <v>236466</v>
      </c>
      <c r="N5" s="214">
        <v>5174</v>
      </c>
      <c r="O5" s="214">
        <f>135+11550+17886+620+194</f>
        <v>30385</v>
      </c>
      <c r="P5" s="214"/>
      <c r="Q5" s="214">
        <f>SUM(N5:P5)</f>
        <v>35559</v>
      </c>
      <c r="R5" s="236">
        <f>332+5229+10450</f>
        <v>16011</v>
      </c>
      <c r="S5" s="199">
        <v>361.4</v>
      </c>
      <c r="T5" s="199">
        <v>332</v>
      </c>
      <c r="U5" s="211">
        <v>369.9</v>
      </c>
      <c r="V5" s="211">
        <v>5229</v>
      </c>
      <c r="W5" s="211">
        <v>369.9</v>
      </c>
      <c r="X5" s="211">
        <v>10450</v>
      </c>
    </row>
    <row r="6" spans="1:24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  <c r="U6" s="211"/>
      <c r="V6" s="211"/>
      <c r="W6" s="211"/>
      <c r="X6" s="211"/>
    </row>
    <row r="7" spans="1:24" ht="15" thickBot="1" x14ac:dyDescent="0.35">
      <c r="A7" s="39">
        <v>562.22</v>
      </c>
      <c r="B7" s="82" t="s">
        <v>92</v>
      </c>
      <c r="C7" s="15">
        <f>1504+15268+48+5607+3252</f>
        <v>25679</v>
      </c>
      <c r="D7" s="14">
        <f t="shared" ref="D7:D55" si="2">E7+F7+G7+H7+I7+M7+Q7+R7</f>
        <v>25679</v>
      </c>
      <c r="E7" s="231"/>
      <c r="F7" s="257">
        <v>3710</v>
      </c>
      <c r="G7" s="228"/>
      <c r="H7" s="231">
        <f>16574+2597+1205</f>
        <v>20376</v>
      </c>
      <c r="I7" s="219"/>
      <c r="J7" s="217"/>
      <c r="K7" s="217"/>
      <c r="L7" s="217"/>
      <c r="M7" s="9">
        <f t="shared" si="0"/>
        <v>0</v>
      </c>
      <c r="N7" s="217"/>
      <c r="O7" s="217">
        <v>1593</v>
      </c>
      <c r="P7" s="217"/>
      <c r="Q7" s="214">
        <f t="shared" si="1"/>
        <v>1593</v>
      </c>
      <c r="R7" s="231"/>
      <c r="T7" s="199"/>
      <c r="U7" s="211"/>
      <c r="V7" s="211"/>
      <c r="W7" s="211"/>
      <c r="X7" s="211"/>
    </row>
    <row r="8" spans="1:24" ht="15" thickBot="1" x14ac:dyDescent="0.35">
      <c r="A8" s="39">
        <v>562.24</v>
      </c>
      <c r="B8" s="40" t="s">
        <v>49</v>
      </c>
      <c r="C8" s="15">
        <v>4753</v>
      </c>
      <c r="D8" s="14">
        <f t="shared" si="2"/>
        <v>4753</v>
      </c>
      <c r="E8" s="231"/>
      <c r="F8" s="257"/>
      <c r="G8" s="228"/>
      <c r="H8" s="231">
        <v>4753</v>
      </c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/>
      <c r="T8" s="199"/>
      <c r="U8" s="211"/>
      <c r="V8" s="211"/>
      <c r="W8" s="211"/>
      <c r="X8" s="211"/>
    </row>
    <row r="9" spans="1:24" ht="15" thickBot="1" x14ac:dyDescent="0.35">
      <c r="A9" s="39">
        <v>562.25</v>
      </c>
      <c r="B9" s="82" t="s">
        <v>93</v>
      </c>
      <c r="C9" s="15">
        <v>9274</v>
      </c>
      <c r="D9" s="14">
        <f t="shared" si="2"/>
        <v>9274</v>
      </c>
      <c r="E9" s="231"/>
      <c r="F9" s="257"/>
      <c r="G9" s="228"/>
      <c r="H9" s="231">
        <v>9274</v>
      </c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  <c r="T9" s="199"/>
      <c r="U9" s="211"/>
      <c r="V9" s="211"/>
      <c r="W9" s="211"/>
      <c r="X9" s="211"/>
    </row>
    <row r="10" spans="1:24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T10" s="199"/>
      <c r="U10" s="211"/>
      <c r="V10" s="211"/>
      <c r="W10" s="211"/>
      <c r="X10" s="211"/>
    </row>
    <row r="11" spans="1:24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T11" s="199"/>
      <c r="U11" s="211"/>
      <c r="V11" s="211"/>
      <c r="W11" s="211"/>
      <c r="X11" s="211"/>
    </row>
    <row r="12" spans="1:24" ht="15" thickBot="1" x14ac:dyDescent="0.35">
      <c r="A12" s="39">
        <v>562.28</v>
      </c>
      <c r="B12" s="82" t="s">
        <v>94</v>
      </c>
      <c r="C12" s="15">
        <f>10283+79544+51588+9064+667+444+605</f>
        <v>152195</v>
      </c>
      <c r="D12" s="14">
        <f t="shared" si="2"/>
        <v>152194</v>
      </c>
      <c r="E12" s="231"/>
      <c r="F12" s="257"/>
      <c r="G12" s="228"/>
      <c r="H12" s="231">
        <f>152004+165</f>
        <v>152169</v>
      </c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>
        <v>25</v>
      </c>
      <c r="S12" s="199">
        <v>369.9</v>
      </c>
      <c r="T12" s="199">
        <v>25</v>
      </c>
      <c r="U12" s="211"/>
      <c r="V12" s="211"/>
      <c r="W12" s="211"/>
      <c r="X12" s="211"/>
    </row>
    <row r="13" spans="1:24" ht="15" thickBot="1" x14ac:dyDescent="0.35">
      <c r="A13" s="39">
        <v>562.29</v>
      </c>
      <c r="B13" s="82" t="s">
        <v>86</v>
      </c>
      <c r="C13" s="15">
        <f>367+43090+83940+2972+25841</f>
        <v>156210</v>
      </c>
      <c r="D13" s="14">
        <f t="shared" si="2"/>
        <v>156211</v>
      </c>
      <c r="E13" s="231"/>
      <c r="F13" s="257"/>
      <c r="G13" s="228"/>
      <c r="H13" s="231">
        <v>13213</v>
      </c>
      <c r="I13" s="219"/>
      <c r="J13" s="217"/>
      <c r="K13" s="217"/>
      <c r="L13" s="217">
        <v>91688</v>
      </c>
      <c r="M13" s="9">
        <f t="shared" si="0"/>
        <v>91688</v>
      </c>
      <c r="N13" s="217"/>
      <c r="O13" s="217">
        <f>200+35998+15112</f>
        <v>51310</v>
      </c>
      <c r="P13" s="217"/>
      <c r="Q13" s="214">
        <f t="shared" si="1"/>
        <v>51310</v>
      </c>
      <c r="R13" s="231"/>
      <c r="T13" s="199"/>
      <c r="U13" s="211"/>
      <c r="V13" s="211"/>
      <c r="W13" s="211"/>
      <c r="X13" s="211"/>
    </row>
    <row r="14" spans="1:24" ht="15" thickBot="1" x14ac:dyDescent="0.35">
      <c r="A14" s="39">
        <v>562.32000000000005</v>
      </c>
      <c r="B14" s="40" t="s">
        <v>50</v>
      </c>
      <c r="C14" s="15">
        <f>20881+8634+163+1035+10832+4866+3795+5125+1067+812</f>
        <v>57210</v>
      </c>
      <c r="D14" s="14">
        <f t="shared" si="2"/>
        <v>57210</v>
      </c>
      <c r="E14" s="231"/>
      <c r="F14" s="257">
        <v>13581</v>
      </c>
      <c r="G14" s="228"/>
      <c r="H14" s="231">
        <f>19103+5775+1851</f>
        <v>26729</v>
      </c>
      <c r="I14" s="219"/>
      <c r="J14" s="217"/>
      <c r="K14" s="217"/>
      <c r="L14" s="217"/>
      <c r="M14" s="9">
        <f t="shared" si="0"/>
        <v>0</v>
      </c>
      <c r="N14" s="217"/>
      <c r="O14" s="217">
        <f>1100+13517+25+2258</f>
        <v>16900</v>
      </c>
      <c r="P14" s="217"/>
      <c r="Q14" s="214">
        <f t="shared" si="1"/>
        <v>16900</v>
      </c>
      <c r="R14" s="231"/>
      <c r="T14" s="199"/>
      <c r="U14" s="211"/>
      <c r="V14" s="211"/>
      <c r="W14" s="211"/>
      <c r="X14" s="211"/>
    </row>
    <row r="15" spans="1:24" ht="15" thickBot="1" x14ac:dyDescent="0.35">
      <c r="A15" s="39">
        <v>562.33000000000004</v>
      </c>
      <c r="B15" s="82" t="s">
        <v>95</v>
      </c>
      <c r="C15" s="15">
        <v>11009</v>
      </c>
      <c r="D15" s="14">
        <f t="shared" si="2"/>
        <v>11009</v>
      </c>
      <c r="E15" s="231"/>
      <c r="F15" s="257">
        <v>11009</v>
      </c>
      <c r="G15" s="228"/>
      <c r="H15" s="231"/>
      <c r="I15" s="219"/>
      <c r="J15" s="217"/>
      <c r="K15" s="217"/>
      <c r="L15" s="217"/>
      <c r="M15" s="9">
        <f t="shared" si="0"/>
        <v>0</v>
      </c>
      <c r="N15" s="217"/>
      <c r="O15" s="217"/>
      <c r="P15" s="217"/>
      <c r="Q15" s="214">
        <f t="shared" si="1"/>
        <v>0</v>
      </c>
      <c r="R15" s="231"/>
      <c r="T15" s="199"/>
      <c r="U15" s="211"/>
      <c r="V15" s="211"/>
      <c r="W15" s="211"/>
      <c r="X15" s="211"/>
    </row>
    <row r="16" spans="1:24" ht="15" thickBot="1" x14ac:dyDescent="0.35">
      <c r="A16" s="39">
        <v>562.34</v>
      </c>
      <c r="B16" s="40" t="s">
        <v>51</v>
      </c>
      <c r="C16" s="15">
        <v>12156</v>
      </c>
      <c r="D16" s="14">
        <f t="shared" si="2"/>
        <v>12156</v>
      </c>
      <c r="E16" s="231"/>
      <c r="F16" s="257">
        <v>6372</v>
      </c>
      <c r="G16" s="228"/>
      <c r="H16" s="231"/>
      <c r="I16" s="219"/>
      <c r="J16" s="217"/>
      <c r="K16" s="217"/>
      <c r="L16" s="217"/>
      <c r="M16" s="9">
        <f t="shared" si="0"/>
        <v>0</v>
      </c>
      <c r="N16" s="217"/>
      <c r="O16" s="217">
        <v>5784</v>
      </c>
      <c r="P16" s="217"/>
      <c r="Q16" s="214">
        <f t="shared" si="1"/>
        <v>5784</v>
      </c>
      <c r="R16" s="231"/>
      <c r="T16" s="213"/>
      <c r="U16" s="211"/>
      <c r="V16" s="211"/>
      <c r="W16" s="211"/>
      <c r="X16" s="211"/>
    </row>
    <row r="17" spans="1:24" ht="15" thickBot="1" x14ac:dyDescent="0.35">
      <c r="A17" s="39">
        <v>562.35</v>
      </c>
      <c r="B17" s="40" t="s">
        <v>52</v>
      </c>
      <c r="C17" s="15">
        <f>73+730+150+1132+249</f>
        <v>2334</v>
      </c>
      <c r="D17" s="14">
        <f t="shared" si="2"/>
        <v>2334</v>
      </c>
      <c r="E17" s="231"/>
      <c r="F17" s="257">
        <v>49</v>
      </c>
      <c r="G17" s="228"/>
      <c r="H17" s="231"/>
      <c r="I17" s="219"/>
      <c r="J17" s="217"/>
      <c r="K17" s="217"/>
      <c r="L17" s="217"/>
      <c r="M17" s="9">
        <f t="shared" si="0"/>
        <v>0</v>
      </c>
      <c r="N17" s="217"/>
      <c r="O17" s="217">
        <f>2130+105+50</f>
        <v>2285</v>
      </c>
      <c r="P17" s="217"/>
      <c r="Q17" s="214">
        <f t="shared" si="1"/>
        <v>2285</v>
      </c>
      <c r="R17" s="231"/>
      <c r="T17" s="199"/>
      <c r="U17" s="211"/>
      <c r="V17" s="211"/>
      <c r="W17" s="211"/>
      <c r="X17" s="211"/>
    </row>
    <row r="18" spans="1:24" ht="15" thickBot="1" x14ac:dyDescent="0.35">
      <c r="A18" s="39">
        <v>562.39</v>
      </c>
      <c r="B18" s="40" t="s">
        <v>53</v>
      </c>
      <c r="C18" s="15">
        <v>12240</v>
      </c>
      <c r="D18" s="14">
        <f t="shared" si="2"/>
        <v>12240</v>
      </c>
      <c r="E18" s="231"/>
      <c r="F18" s="257">
        <v>12240</v>
      </c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/>
      <c r="P18" s="217"/>
      <c r="Q18" s="214">
        <f t="shared" si="1"/>
        <v>0</v>
      </c>
      <c r="R18" s="231"/>
      <c r="T18" s="199"/>
      <c r="U18" s="211"/>
      <c r="V18" s="211"/>
      <c r="W18" s="211"/>
      <c r="X18" s="211"/>
    </row>
    <row r="19" spans="1:24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  <c r="T19" s="199"/>
      <c r="U19" s="211"/>
      <c r="V19" s="211"/>
      <c r="W19" s="211"/>
      <c r="X19" s="211"/>
    </row>
    <row r="20" spans="1:24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  <c r="W20" s="211"/>
      <c r="X20" s="211"/>
    </row>
    <row r="21" spans="1:24" ht="15" thickBot="1" x14ac:dyDescent="0.35">
      <c r="A21" s="39">
        <v>562.42999999999995</v>
      </c>
      <c r="B21" s="82" t="s">
        <v>96</v>
      </c>
      <c r="C21" s="15">
        <v>8848</v>
      </c>
      <c r="D21" s="14">
        <f t="shared" si="2"/>
        <v>8848</v>
      </c>
      <c r="E21" s="231"/>
      <c r="F21" s="257"/>
      <c r="G21" s="228"/>
      <c r="H21" s="231"/>
      <c r="I21" s="219"/>
      <c r="J21" s="217"/>
      <c r="K21" s="217"/>
      <c r="L21" s="217">
        <v>8552</v>
      </c>
      <c r="M21" s="9">
        <f t="shared" si="0"/>
        <v>8552</v>
      </c>
      <c r="N21" s="217"/>
      <c r="O21" s="217"/>
      <c r="P21" s="217"/>
      <c r="Q21" s="214">
        <f t="shared" si="1"/>
        <v>0</v>
      </c>
      <c r="R21" s="231">
        <v>296</v>
      </c>
      <c r="S21" s="199">
        <v>369.9</v>
      </c>
      <c r="T21" s="199">
        <v>296</v>
      </c>
      <c r="U21" s="211"/>
      <c r="V21" s="211"/>
      <c r="W21" s="211"/>
      <c r="X21" s="211"/>
    </row>
    <row r="22" spans="1:24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  <c r="T22" s="199"/>
      <c r="U22" s="211"/>
      <c r="V22" s="211"/>
      <c r="W22" s="211"/>
      <c r="X22" s="211"/>
    </row>
    <row r="23" spans="1:24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  <c r="W23" s="211"/>
      <c r="X23" s="211"/>
    </row>
    <row r="24" spans="1:24" ht="15" thickBot="1" x14ac:dyDescent="0.35">
      <c r="A24" s="39">
        <v>562.49</v>
      </c>
      <c r="B24" s="82" t="s">
        <v>87</v>
      </c>
      <c r="C24" s="15"/>
      <c r="D24" s="14">
        <f t="shared" si="2"/>
        <v>0</v>
      </c>
      <c r="E24" s="231"/>
      <c r="F24" s="257"/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  <c r="T24" s="199"/>
      <c r="U24" s="211"/>
      <c r="V24" s="211"/>
      <c r="W24" s="211"/>
      <c r="X24" s="211"/>
    </row>
    <row r="25" spans="1:24" ht="15" thickBot="1" x14ac:dyDescent="0.35">
      <c r="A25" s="39">
        <v>562.52</v>
      </c>
      <c r="B25" s="40" t="s">
        <v>56</v>
      </c>
      <c r="C25" s="15">
        <v>7203</v>
      </c>
      <c r="D25" s="14">
        <f t="shared" si="2"/>
        <v>7203</v>
      </c>
      <c r="E25" s="231"/>
      <c r="F25" s="257">
        <v>6305</v>
      </c>
      <c r="G25" s="228"/>
      <c r="H25" s="231"/>
      <c r="I25" s="219">
        <v>648</v>
      </c>
      <c r="J25" s="217"/>
      <c r="K25" s="217"/>
      <c r="L25" s="217"/>
      <c r="M25" s="9">
        <f t="shared" si="0"/>
        <v>0</v>
      </c>
      <c r="N25" s="217"/>
      <c r="O25" s="217">
        <v>250</v>
      </c>
      <c r="P25" s="217"/>
      <c r="Q25" s="214">
        <f t="shared" si="1"/>
        <v>250</v>
      </c>
      <c r="R25" s="231"/>
      <c r="T25" s="199"/>
      <c r="U25" s="211"/>
      <c r="V25" s="211"/>
      <c r="W25" s="211"/>
      <c r="X25" s="211"/>
    </row>
    <row r="26" spans="1:24" ht="15" thickBot="1" x14ac:dyDescent="0.35">
      <c r="A26" s="39">
        <v>562.53</v>
      </c>
      <c r="B26" s="82" t="s">
        <v>99</v>
      </c>
      <c r="C26" s="15">
        <f>236+20955</f>
        <v>21191</v>
      </c>
      <c r="D26" s="14">
        <f t="shared" si="2"/>
        <v>21191</v>
      </c>
      <c r="E26" s="231"/>
      <c r="F26" s="257">
        <v>7573</v>
      </c>
      <c r="G26" s="228">
        <v>4603</v>
      </c>
      <c r="H26" s="231"/>
      <c r="I26" s="219"/>
      <c r="J26" s="217"/>
      <c r="K26" s="217"/>
      <c r="L26" s="217"/>
      <c r="M26" s="9">
        <f t="shared" si="0"/>
        <v>0</v>
      </c>
      <c r="N26" s="217">
        <v>7615</v>
      </c>
      <c r="O26" s="217"/>
      <c r="P26" s="217"/>
      <c r="Q26" s="214">
        <f t="shared" si="1"/>
        <v>7615</v>
      </c>
      <c r="R26" s="231">
        <v>1400</v>
      </c>
      <c r="S26" s="199">
        <v>369.9</v>
      </c>
      <c r="T26" s="199">
        <v>1400</v>
      </c>
      <c r="U26" s="211"/>
      <c r="V26" s="211"/>
      <c r="W26" s="211"/>
      <c r="X26" s="211"/>
    </row>
    <row r="27" spans="1:24" ht="15" thickBot="1" x14ac:dyDescent="0.35">
      <c r="A27" s="39">
        <v>562.54</v>
      </c>
      <c r="B27" s="82" t="s">
        <v>100</v>
      </c>
      <c r="C27" s="15">
        <v>53555</v>
      </c>
      <c r="D27" s="14">
        <f t="shared" si="2"/>
        <v>53555</v>
      </c>
      <c r="E27" s="231"/>
      <c r="F27" s="257"/>
      <c r="G27" s="228"/>
      <c r="H27" s="231"/>
      <c r="I27" s="219"/>
      <c r="J27" s="217"/>
      <c r="K27" s="217"/>
      <c r="L27" s="217">
        <v>35178</v>
      </c>
      <c r="M27" s="9">
        <f t="shared" si="0"/>
        <v>35178</v>
      </c>
      <c r="N27" s="217">
        <v>12200</v>
      </c>
      <c r="O27" s="217">
        <v>6137</v>
      </c>
      <c r="P27" s="217"/>
      <c r="Q27" s="214">
        <f t="shared" si="1"/>
        <v>18337</v>
      </c>
      <c r="R27" s="231">
        <v>40</v>
      </c>
      <c r="S27" s="199">
        <v>361.4</v>
      </c>
      <c r="T27" s="199">
        <v>40</v>
      </c>
      <c r="U27" s="211"/>
      <c r="V27" s="211"/>
      <c r="W27" s="211"/>
      <c r="X27" s="211"/>
    </row>
    <row r="28" spans="1:24" ht="15" thickBot="1" x14ac:dyDescent="0.35">
      <c r="A28" s="39">
        <v>562.54999999999995</v>
      </c>
      <c r="B28" s="40" t="s">
        <v>57</v>
      </c>
      <c r="C28" s="15"/>
      <c r="D28" s="14">
        <f t="shared" si="2"/>
        <v>0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  <c r="T28" s="199"/>
      <c r="U28" s="211"/>
      <c r="V28" s="211"/>
      <c r="W28" s="211"/>
      <c r="X28" s="211"/>
    </row>
    <row r="29" spans="1:24" ht="15" thickBot="1" x14ac:dyDescent="0.35">
      <c r="A29" s="39">
        <v>562.55999999999995</v>
      </c>
      <c r="B29" s="40" t="s">
        <v>58</v>
      </c>
      <c r="C29" s="15">
        <f>76795+946</f>
        <v>77741</v>
      </c>
      <c r="D29" s="14">
        <f t="shared" si="2"/>
        <v>77741</v>
      </c>
      <c r="E29" s="231"/>
      <c r="F29" s="257"/>
      <c r="G29" s="228"/>
      <c r="H29" s="231"/>
      <c r="I29" s="219"/>
      <c r="J29" s="217"/>
      <c r="K29" s="217"/>
      <c r="L29" s="217"/>
      <c r="M29" s="9">
        <f t="shared" si="0"/>
        <v>0</v>
      </c>
      <c r="N29" s="217">
        <v>76127</v>
      </c>
      <c r="O29" s="217">
        <f>1350+150+114</f>
        <v>1614</v>
      </c>
      <c r="P29" s="217"/>
      <c r="Q29" s="214">
        <f t="shared" si="1"/>
        <v>77741</v>
      </c>
      <c r="R29" s="231"/>
      <c r="T29" s="199"/>
      <c r="U29" s="211"/>
      <c r="V29" s="211"/>
      <c r="W29" s="211"/>
      <c r="X29" s="211"/>
    </row>
    <row r="30" spans="1:24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  <c r="T30" s="199"/>
      <c r="U30" s="211"/>
      <c r="V30" s="211"/>
      <c r="W30" s="211"/>
      <c r="X30" s="211"/>
    </row>
    <row r="31" spans="1:24" ht="15" thickBot="1" x14ac:dyDescent="0.35">
      <c r="A31" s="39">
        <v>562.58000000000004</v>
      </c>
      <c r="B31" s="82" t="s">
        <v>88</v>
      </c>
      <c r="C31" s="15">
        <v>11727</v>
      </c>
      <c r="D31" s="14">
        <f t="shared" si="2"/>
        <v>11727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f>1892+5035</f>
        <v>6927</v>
      </c>
      <c r="O31" s="217">
        <f>150+4650</f>
        <v>4800</v>
      </c>
      <c r="P31" s="217"/>
      <c r="Q31" s="214">
        <f t="shared" si="1"/>
        <v>11727</v>
      </c>
      <c r="R31" s="231"/>
      <c r="T31" s="199"/>
      <c r="U31" s="211"/>
      <c r="V31" s="211"/>
      <c r="W31" s="211"/>
      <c r="X31" s="211"/>
    </row>
    <row r="32" spans="1:24" ht="15" thickBot="1" x14ac:dyDescent="0.35">
      <c r="A32" s="39">
        <v>562.59</v>
      </c>
      <c r="B32" s="82" t="s">
        <v>89</v>
      </c>
      <c r="C32" s="15">
        <v>17815</v>
      </c>
      <c r="D32" s="14">
        <f t="shared" si="2"/>
        <v>17815</v>
      </c>
      <c r="E32" s="231"/>
      <c r="F32" s="257"/>
      <c r="G32" s="228"/>
      <c r="H32" s="231"/>
      <c r="I32" s="219"/>
      <c r="J32" s="247"/>
      <c r="K32" s="247"/>
      <c r="L32" s="247">
        <v>17815</v>
      </c>
      <c r="M32" s="9">
        <f t="shared" si="0"/>
        <v>17815</v>
      </c>
      <c r="N32" s="247"/>
      <c r="O32" s="247"/>
      <c r="P32" s="247"/>
      <c r="Q32" s="214">
        <f t="shared" si="1"/>
        <v>0</v>
      </c>
      <c r="R32" s="231"/>
      <c r="T32" s="199"/>
      <c r="U32" s="211"/>
      <c r="V32" s="211"/>
      <c r="W32" s="211"/>
      <c r="X32" s="211"/>
    </row>
    <row r="33" spans="1:24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  <c r="T33" s="199"/>
      <c r="U33" s="211"/>
      <c r="V33" s="211"/>
      <c r="W33" s="211"/>
      <c r="X33" s="211"/>
    </row>
    <row r="34" spans="1:24" ht="15" thickBot="1" x14ac:dyDescent="0.35">
      <c r="A34" s="39">
        <v>562.71</v>
      </c>
      <c r="B34" s="40" t="s">
        <v>60</v>
      </c>
      <c r="C34" s="15">
        <v>30700</v>
      </c>
      <c r="D34" s="14">
        <f t="shared" si="2"/>
        <v>30700</v>
      </c>
      <c r="E34" s="231"/>
      <c r="F34" s="257">
        <v>14459</v>
      </c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16241</v>
      </c>
      <c r="P34" s="217"/>
      <c r="Q34" s="214">
        <f t="shared" si="1"/>
        <v>16241</v>
      </c>
      <c r="R34" s="231"/>
      <c r="T34" s="199"/>
      <c r="U34" s="211"/>
      <c r="V34" s="211"/>
      <c r="W34" s="211"/>
      <c r="X34" s="211"/>
    </row>
    <row r="35" spans="1:24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T35" s="199"/>
      <c r="U35" s="211"/>
      <c r="V35" s="211"/>
      <c r="W35" s="211"/>
      <c r="X35" s="211"/>
    </row>
    <row r="36" spans="1:24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  <c r="T36" s="199"/>
      <c r="U36" s="211"/>
      <c r="V36" s="211"/>
      <c r="W36" s="211"/>
      <c r="X36" s="211"/>
    </row>
    <row r="37" spans="1:24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  <c r="U37" s="211"/>
      <c r="V37" s="211"/>
      <c r="W37" s="211"/>
      <c r="X37" s="211"/>
    </row>
    <row r="38" spans="1:24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  <c r="W38" s="211"/>
      <c r="X38" s="211"/>
    </row>
    <row r="39" spans="1:24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  <c r="W39" s="211"/>
      <c r="X39" s="211"/>
    </row>
    <row r="40" spans="1:24" ht="15" thickBot="1" x14ac:dyDescent="0.35">
      <c r="A40" s="39">
        <v>562.79999999999995</v>
      </c>
      <c r="B40" s="40" t="s">
        <v>65</v>
      </c>
      <c r="C40" s="15"/>
      <c r="D40" s="14">
        <f t="shared" si="2"/>
        <v>0</v>
      </c>
      <c r="E40" s="231"/>
      <c r="F40" s="257"/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  <c r="T40" s="199"/>
      <c r="U40" s="211"/>
      <c r="V40" s="211"/>
      <c r="W40" s="211"/>
      <c r="X40" s="211"/>
    </row>
    <row r="41" spans="1:24" ht="15" thickBot="1" x14ac:dyDescent="0.35">
      <c r="A41" s="39">
        <v>562.88</v>
      </c>
      <c r="B41" s="82" t="s">
        <v>91</v>
      </c>
      <c r="C41" s="15">
        <f>35778+121</f>
        <v>35899</v>
      </c>
      <c r="D41" s="14">
        <f t="shared" si="2"/>
        <v>35899</v>
      </c>
      <c r="E41" s="231"/>
      <c r="F41" s="257"/>
      <c r="G41" s="228"/>
      <c r="H41" s="231">
        <v>35899</v>
      </c>
      <c r="I41" s="219"/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/>
      <c r="T41" s="199"/>
      <c r="U41" s="211"/>
      <c r="V41" s="211"/>
      <c r="W41" s="211"/>
      <c r="X41" s="211"/>
    </row>
    <row r="42" spans="1:24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T42" s="199"/>
      <c r="U42" s="211"/>
      <c r="V42" s="211"/>
      <c r="W42" s="211"/>
      <c r="X42" s="211"/>
    </row>
    <row r="43" spans="1:24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  <c r="U43" s="211"/>
      <c r="V43" s="211"/>
      <c r="W43" s="211"/>
      <c r="X43" s="211"/>
    </row>
    <row r="44" spans="1:24" x14ac:dyDescent="0.3">
      <c r="A44" s="206" t="s">
        <v>110</v>
      </c>
      <c r="B44" s="207" t="s">
        <v>68</v>
      </c>
      <c r="C44" s="208">
        <f>SUM(C5:C43)</f>
        <v>1116886</v>
      </c>
      <c r="D44" s="205">
        <f>E44+F44+G44+H44+I44+M44+Q44+R44</f>
        <v>1116886</v>
      </c>
      <c r="E44" s="233">
        <f t="shared" ref="E44:R44" si="3">SUM(E5:E43)</f>
        <v>0</v>
      </c>
      <c r="F44" s="259">
        <f t="shared" si="3"/>
        <v>189355</v>
      </c>
      <c r="G44" s="223">
        <f t="shared" si="3"/>
        <v>4603</v>
      </c>
      <c r="H44" s="233">
        <f t="shared" si="3"/>
        <v>269467</v>
      </c>
      <c r="I44" s="239">
        <f t="shared" si="3"/>
        <v>648</v>
      </c>
      <c r="J44" s="245">
        <f>SUM(J5:J43)</f>
        <v>0</v>
      </c>
      <c r="K44" s="245">
        <f>SUM(K5:K43)</f>
        <v>0</v>
      </c>
      <c r="L44" s="245">
        <f>SUM(L5:L43)</f>
        <v>389699</v>
      </c>
      <c r="M44" s="208">
        <f t="shared" si="3"/>
        <v>389699</v>
      </c>
      <c r="N44" s="245">
        <f>SUM(N5:N43)</f>
        <v>108043</v>
      </c>
      <c r="O44" s="245">
        <f>SUM(O5:O43)</f>
        <v>137299</v>
      </c>
      <c r="P44" s="245">
        <f>SUM(P5:P43)</f>
        <v>0</v>
      </c>
      <c r="Q44" s="216">
        <f t="shared" si="3"/>
        <v>245342</v>
      </c>
      <c r="R44" s="233">
        <f t="shared" si="3"/>
        <v>17772</v>
      </c>
      <c r="T44" s="199"/>
      <c r="U44" s="211"/>
      <c r="V44" s="211"/>
      <c r="W44" s="211"/>
      <c r="X44" s="211"/>
    </row>
    <row r="45" spans="1:24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  <c r="W45" s="211"/>
      <c r="X45" s="211"/>
    </row>
    <row r="46" spans="1:24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  <c r="W46" s="211"/>
      <c r="X46" s="211"/>
    </row>
    <row r="47" spans="1:24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T47" s="199"/>
      <c r="U47" s="211"/>
      <c r="V47" s="211"/>
      <c r="W47" s="211"/>
      <c r="X47" s="211"/>
    </row>
    <row r="48" spans="1:24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  <c r="W48" s="211"/>
      <c r="X48" s="211"/>
    </row>
    <row r="49" spans="1:24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T49" s="199"/>
      <c r="U49" s="211"/>
      <c r="V49" s="211"/>
      <c r="W49" s="211"/>
      <c r="X49" s="211"/>
    </row>
    <row r="50" spans="1:24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  <c r="W50" s="211"/>
      <c r="X50" s="211"/>
    </row>
    <row r="51" spans="1:24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  <c r="W51" s="211"/>
      <c r="X51" s="211"/>
    </row>
    <row r="52" spans="1:24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  <c r="W52" s="211"/>
      <c r="X52" s="211"/>
    </row>
    <row r="53" spans="1:24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  <c r="T53" s="199"/>
      <c r="U53" s="211"/>
      <c r="V53" s="211"/>
      <c r="W53" s="211"/>
      <c r="X53" s="211"/>
    </row>
    <row r="54" spans="1:24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  <c r="U54" s="211"/>
      <c r="V54" s="211"/>
      <c r="W54" s="211"/>
      <c r="X54" s="211"/>
    </row>
    <row r="55" spans="1:24" x14ac:dyDescent="0.3">
      <c r="A55" s="41">
        <v>500</v>
      </c>
      <c r="B55" s="32" t="s">
        <v>118</v>
      </c>
      <c r="C55" s="18">
        <v>17518</v>
      </c>
      <c r="D55" s="20">
        <f t="shared" si="2"/>
        <v>17518</v>
      </c>
      <c r="E55" s="232"/>
      <c r="F55" s="258"/>
      <c r="G55" s="229">
        <v>5256</v>
      </c>
      <c r="H55" s="232"/>
      <c r="I55" s="220">
        <v>12262</v>
      </c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T55" s="199"/>
      <c r="U55" s="211"/>
      <c r="V55" s="211"/>
      <c r="W55" s="211"/>
      <c r="X55" s="211"/>
    </row>
    <row r="56" spans="1:24" ht="15" thickBot="1" x14ac:dyDescent="0.35">
      <c r="A56" s="107"/>
      <c r="B56" s="108" t="s">
        <v>80</v>
      </c>
      <c r="C56" s="111">
        <f>SUM(C44:C55)</f>
        <v>1134404</v>
      </c>
      <c r="D56" s="110">
        <f>E56+F56+G56+H56+I56+M56+Q56+R56</f>
        <v>1134404</v>
      </c>
      <c r="E56" s="235">
        <f t="shared" ref="E56:R56" si="4">SUM(E44:E55)</f>
        <v>0</v>
      </c>
      <c r="F56" s="260">
        <f t="shared" si="4"/>
        <v>189355</v>
      </c>
      <c r="G56" s="225">
        <f t="shared" si="4"/>
        <v>9859</v>
      </c>
      <c r="H56" s="235">
        <f t="shared" si="4"/>
        <v>269467</v>
      </c>
      <c r="I56" s="240">
        <f t="shared" si="4"/>
        <v>12910</v>
      </c>
      <c r="J56" s="218">
        <f>SUM(J44:J55)</f>
        <v>0</v>
      </c>
      <c r="K56" s="218">
        <f>SUM(K44:K55)</f>
        <v>0</v>
      </c>
      <c r="L56" s="218">
        <f>SUM(L44:L55)</f>
        <v>389699</v>
      </c>
      <c r="M56" s="209">
        <f t="shared" si="4"/>
        <v>389699</v>
      </c>
      <c r="N56" s="218">
        <f>SUM(N44:N55)</f>
        <v>108043</v>
      </c>
      <c r="O56" s="218">
        <f>SUM(O44:O55)</f>
        <v>137299</v>
      </c>
      <c r="P56" s="218">
        <f>SUM(P44:P55)</f>
        <v>0</v>
      </c>
      <c r="Q56" s="218">
        <f t="shared" si="4"/>
        <v>245342</v>
      </c>
      <c r="R56" s="235">
        <f t="shared" si="4"/>
        <v>17772</v>
      </c>
      <c r="T56" s="199"/>
      <c r="U56" s="211"/>
      <c r="V56" s="211"/>
      <c r="W56" s="211"/>
      <c r="X56" s="211"/>
    </row>
    <row r="57" spans="1:24" ht="15" thickTop="1" x14ac:dyDescent="0.3"/>
    <row r="58" spans="1:24" ht="15" thickBot="1" x14ac:dyDescent="0.35"/>
    <row r="59" spans="1:24" ht="15" thickBot="1" x14ac:dyDescent="0.35">
      <c r="B59" s="42" t="s">
        <v>109</v>
      </c>
      <c r="C59" s="43"/>
      <c r="D59" s="44"/>
    </row>
    <row r="60" spans="1:24" ht="15" thickTop="1" x14ac:dyDescent="0.3">
      <c r="B60" s="115"/>
      <c r="C60" s="116" t="s">
        <v>82</v>
      </c>
      <c r="D60" s="117" t="s">
        <v>78</v>
      </c>
    </row>
    <row r="61" spans="1:24" x14ac:dyDescent="0.3">
      <c r="B61" s="153" t="s">
        <v>108</v>
      </c>
      <c r="C61" s="45"/>
      <c r="D61" s="46"/>
    </row>
    <row r="62" spans="1:24" x14ac:dyDescent="0.3">
      <c r="B62" s="26" t="s">
        <v>3</v>
      </c>
      <c r="C62" s="47">
        <f>E56</f>
        <v>0</v>
      </c>
      <c r="D62" s="48">
        <f>E56/D56</f>
        <v>0</v>
      </c>
    </row>
    <row r="63" spans="1:24" x14ac:dyDescent="0.3">
      <c r="B63" s="26" t="s">
        <v>4</v>
      </c>
      <c r="C63" s="49">
        <f>F56</f>
        <v>189355</v>
      </c>
      <c r="D63" s="48">
        <f>F56/D56</f>
        <v>0.16692025063381299</v>
      </c>
    </row>
    <row r="64" spans="1:24" x14ac:dyDescent="0.3">
      <c r="B64" s="56" t="s">
        <v>79</v>
      </c>
      <c r="C64" s="50">
        <f>G56</f>
        <v>9859</v>
      </c>
      <c r="D64" s="51">
        <f>G56/D56</f>
        <v>8.6909072958134843E-3</v>
      </c>
    </row>
    <row r="65" spans="2:4" ht="15" thickBot="1" x14ac:dyDescent="0.35">
      <c r="B65" s="146" t="s">
        <v>115</v>
      </c>
      <c r="C65" s="52">
        <f>SUM(C62:C64)</f>
        <v>199214</v>
      </c>
      <c r="D65" s="53">
        <f>SUM(D62:D64)</f>
        <v>0.17561115792962648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269467</v>
      </c>
      <c r="D67" s="25">
        <f>H56/D56</f>
        <v>0.23754059400354724</v>
      </c>
    </row>
    <row r="68" spans="2:4" x14ac:dyDescent="0.3">
      <c r="B68" s="57" t="s">
        <v>7</v>
      </c>
      <c r="C68" s="27">
        <f>I56</f>
        <v>12910</v>
      </c>
      <c r="D68" s="28">
        <f>I56/D56</f>
        <v>1.1380425315848675E-2</v>
      </c>
    </row>
    <row r="69" spans="2:4" ht="15" thickBot="1" x14ac:dyDescent="0.35">
      <c r="B69" s="146" t="s">
        <v>116</v>
      </c>
      <c r="C69" s="52">
        <f>SUM(C67:C68)</f>
        <v>282377</v>
      </c>
      <c r="D69" s="53">
        <f>SUM(D67:D68)</f>
        <v>0.24892101931939592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389699</v>
      </c>
      <c r="D71" s="25">
        <f>M56/D56</f>
        <v>0.3435275263486377</v>
      </c>
    </row>
    <row r="72" spans="2:4" x14ac:dyDescent="0.3">
      <c r="B72" s="24" t="s">
        <v>8</v>
      </c>
      <c r="C72" s="23">
        <f>Q56</f>
        <v>245342</v>
      </c>
      <c r="D72" s="25">
        <f>Q56/D56</f>
        <v>0.21627392004964721</v>
      </c>
    </row>
    <row r="73" spans="2:4" x14ac:dyDescent="0.3">
      <c r="B73" s="163" t="s">
        <v>83</v>
      </c>
      <c r="C73" s="27">
        <f>R56</f>
        <v>17772</v>
      </c>
      <c r="D73" s="28">
        <f>R56/D56</f>
        <v>1.566637635269269E-2</v>
      </c>
    </row>
    <row r="74" spans="2:4" ht="15" thickBot="1" x14ac:dyDescent="0.35">
      <c r="B74" s="146" t="s">
        <v>117</v>
      </c>
      <c r="C74" s="52">
        <f>SUM(C71:C73)</f>
        <v>652813</v>
      </c>
      <c r="D74" s="53">
        <f>SUM(D71:D73)</f>
        <v>0.57546782275097752</v>
      </c>
    </row>
    <row r="75" spans="2:4" ht="15" thickBot="1" x14ac:dyDescent="0.35">
      <c r="B75" s="157" t="s">
        <v>80</v>
      </c>
      <c r="C75" s="158">
        <f>C65+C69+C74</f>
        <v>1134404</v>
      </c>
      <c r="D75" s="159">
        <f>D65+D69+D74</f>
        <v>0.99999999999999989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11" priority="7">
      <formula>ROW()=EVEN(ROW())</formula>
    </cfRule>
  </conditionalFormatting>
  <conditionalFormatting sqref="A55:B55">
    <cfRule type="expression" dxfId="10" priority="5">
      <formula>ROW()=EVEN(ROW())</formula>
    </cfRule>
  </conditionalFormatting>
  <conditionalFormatting sqref="A54:B54">
    <cfRule type="expression" dxfId="9" priority="4">
      <formula>ROW()=EVEN(ROW())</formula>
    </cfRule>
  </conditionalFormatting>
  <conditionalFormatting sqref="M45:M55">
    <cfRule type="expression" dxfId="8" priority="3">
      <formula>ROW()=EVEN(ROW())</formula>
    </cfRule>
  </conditionalFormatting>
  <conditionalFormatting sqref="D45:D55">
    <cfRule type="expression" dxfId="7" priority="2">
      <formula>ROW()=EVEN(ROW())</formula>
    </cfRule>
  </conditionalFormatting>
  <conditionalFormatting sqref="N44:P55">
    <cfRule type="expression" dxfId="6" priority="1">
      <formula>ROW()=EVEN(ROW())</formula>
    </cfRule>
  </conditionalFormatting>
  <printOptions horizontalCentered="1"/>
  <pageMargins left="0" right="0" top="1.1000000000000001" bottom="0.5" header="0.3" footer="0.3"/>
  <pageSetup scale="59" fitToHeight="0" orientation="landscape" r:id="rId1"/>
  <headerFooter>
    <oddHeader>&amp;C&amp;"-,Bold"&amp;20Funding by Expenditure Code and Revenue Source&amp;"-,Regular"&amp;11
&amp;"-,Bold"&amp;20 2014&amp;"-,Regular"&amp;11
&amp;"-,Bold"&amp;20WHITMAN</oddHeader>
    <oddFooter>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88"/>
  <sheetViews>
    <sheetView showZeros="0" view="pageLayout" zoomScaleNormal="100" workbookViewId="0">
      <selection activeCell="G10" sqref="G10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4" x14ac:dyDescent="0.3">
      <c r="A1" s="22" t="s">
        <v>150</v>
      </c>
      <c r="B1" s="6"/>
      <c r="C1" s="31">
        <v>248800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4" x14ac:dyDescent="0.3">
      <c r="A2" s="80" t="s">
        <v>44</v>
      </c>
      <c r="B2" s="5"/>
      <c r="C2" s="83">
        <v>25.88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146</v>
      </c>
    </row>
    <row r="3" spans="1:24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4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</row>
    <row r="5" spans="1:24" ht="15" thickBot="1" x14ac:dyDescent="0.35">
      <c r="A5" s="36">
        <v>562.1</v>
      </c>
      <c r="B5" s="37" t="s">
        <v>47</v>
      </c>
      <c r="C5" s="16">
        <f>202432+60949</f>
        <v>263381</v>
      </c>
      <c r="D5" s="14">
        <f>E5+F5+G5+H5+I5+M5+Q5+R5</f>
        <v>242247</v>
      </c>
      <c r="E5" s="236">
        <v>0</v>
      </c>
      <c r="F5" s="275">
        <v>175901</v>
      </c>
      <c r="G5" s="227"/>
      <c r="H5" s="236"/>
      <c r="I5" s="241">
        <v>31019</v>
      </c>
      <c r="J5" s="214"/>
      <c r="K5" s="214"/>
      <c r="L5" s="214"/>
      <c r="M5" s="9">
        <f>SUM(J5:L5)</f>
        <v>0</v>
      </c>
      <c r="N5" s="214"/>
      <c r="O5" s="214"/>
      <c r="P5" s="214"/>
      <c r="Q5" s="214">
        <f>SUM(N5:P5)</f>
        <v>0</v>
      </c>
      <c r="R5" s="236">
        <f>35449-122</f>
        <v>35327</v>
      </c>
      <c r="S5" s="199">
        <v>361</v>
      </c>
      <c r="T5" s="199">
        <v>35449</v>
      </c>
      <c r="U5" s="211">
        <v>369</v>
      </c>
      <c r="V5" s="211">
        <v>-122</v>
      </c>
      <c r="W5" s="211"/>
      <c r="X5" s="211"/>
    </row>
    <row r="6" spans="1:24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76"/>
      <c r="G6" s="228"/>
      <c r="H6" s="231"/>
      <c r="I6" s="219"/>
      <c r="J6" s="217"/>
      <c r="K6" s="217"/>
      <c r="L6" s="217"/>
      <c r="M6" s="9">
        <f t="shared" ref="M6:M55" si="0">SUM(J6:L6)</f>
        <v>0</v>
      </c>
      <c r="N6" s="217"/>
      <c r="O6" s="217"/>
      <c r="P6" s="217"/>
      <c r="Q6" s="214">
        <f t="shared" ref="Q6:Q55" si="1">SUM(N6:P6)</f>
        <v>0</v>
      </c>
      <c r="R6" s="231"/>
      <c r="T6" s="199"/>
      <c r="U6" s="211"/>
      <c r="V6" s="211"/>
      <c r="W6" s="211"/>
      <c r="X6" s="211"/>
    </row>
    <row r="7" spans="1:24" ht="15" thickBot="1" x14ac:dyDescent="0.35">
      <c r="A7" s="39">
        <v>562.22</v>
      </c>
      <c r="B7" s="82" t="s">
        <v>92</v>
      </c>
      <c r="C7" s="15">
        <v>6741</v>
      </c>
      <c r="D7" s="14">
        <f t="shared" ref="D7:D55" si="2">E7+F7+G7+H7+I7+M7+Q7+R7</f>
        <v>6741</v>
      </c>
      <c r="E7" s="231"/>
      <c r="F7" s="276">
        <v>3067</v>
      </c>
      <c r="G7" s="228"/>
      <c r="H7" s="231"/>
      <c r="I7" s="219">
        <v>3674</v>
      </c>
      <c r="J7" s="217"/>
      <c r="K7" s="217"/>
      <c r="L7" s="217"/>
      <c r="M7" s="9">
        <f t="shared" si="0"/>
        <v>0</v>
      </c>
      <c r="N7" s="217"/>
      <c r="O7" s="217"/>
      <c r="P7" s="217"/>
      <c r="Q7" s="214">
        <f t="shared" si="1"/>
        <v>0</v>
      </c>
      <c r="R7" s="231"/>
      <c r="T7" s="199"/>
      <c r="U7" s="211"/>
      <c r="V7" s="211"/>
      <c r="W7" s="211"/>
      <c r="X7" s="211"/>
    </row>
    <row r="8" spans="1:24" ht="15" thickBot="1" x14ac:dyDescent="0.35">
      <c r="A8" s="39">
        <v>562.24</v>
      </c>
      <c r="B8" s="40" t="s">
        <v>49</v>
      </c>
      <c r="C8" s="15"/>
      <c r="D8" s="14">
        <f t="shared" si="2"/>
        <v>0</v>
      </c>
      <c r="E8" s="231"/>
      <c r="F8" s="276"/>
      <c r="G8" s="228"/>
      <c r="H8" s="231"/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/>
      <c r="T8" s="199"/>
      <c r="U8" s="211"/>
      <c r="V8" s="211"/>
      <c r="W8" s="211"/>
      <c r="X8" s="211"/>
    </row>
    <row r="9" spans="1:24" ht="15" thickBot="1" x14ac:dyDescent="0.35">
      <c r="A9" s="39">
        <v>562.25</v>
      </c>
      <c r="B9" s="82" t="s">
        <v>93</v>
      </c>
      <c r="C9" s="15">
        <v>50044</v>
      </c>
      <c r="D9" s="14">
        <f t="shared" si="2"/>
        <v>44</v>
      </c>
      <c r="E9" s="231"/>
      <c r="F9" s="276"/>
      <c r="G9" s="228"/>
      <c r="H9" s="231"/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>
        <v>44</v>
      </c>
      <c r="S9" s="199">
        <v>369</v>
      </c>
      <c r="T9" s="199">
        <v>44</v>
      </c>
      <c r="U9" s="211"/>
      <c r="V9" s="211"/>
      <c r="W9" s="211"/>
      <c r="X9" s="211"/>
    </row>
    <row r="10" spans="1:24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76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T10" s="199"/>
      <c r="U10" s="211"/>
      <c r="V10" s="211"/>
      <c r="W10" s="211"/>
      <c r="X10" s="211"/>
    </row>
    <row r="11" spans="1:24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76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T11" s="199"/>
      <c r="U11" s="211"/>
      <c r="V11" s="211"/>
      <c r="W11" s="211"/>
      <c r="X11" s="211"/>
    </row>
    <row r="12" spans="1:24" ht="15" thickBot="1" x14ac:dyDescent="0.35">
      <c r="A12" s="39">
        <v>562.28</v>
      </c>
      <c r="B12" s="82" t="s">
        <v>94</v>
      </c>
      <c r="C12" s="15"/>
      <c r="D12" s="14">
        <f t="shared" si="2"/>
        <v>0</v>
      </c>
      <c r="E12" s="231"/>
      <c r="F12" s="276"/>
      <c r="G12" s="228"/>
      <c r="H12" s="231"/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  <c r="T12" s="199"/>
      <c r="U12" s="211"/>
      <c r="V12" s="211"/>
      <c r="W12" s="211"/>
      <c r="X12" s="211"/>
    </row>
    <row r="13" spans="1:24" ht="15" thickBot="1" x14ac:dyDescent="0.35">
      <c r="A13" s="39">
        <v>562.29</v>
      </c>
      <c r="B13" s="82" t="s">
        <v>86</v>
      </c>
      <c r="C13" s="15"/>
      <c r="D13" s="14">
        <f t="shared" si="2"/>
        <v>0</v>
      </c>
      <c r="E13" s="231"/>
      <c r="F13" s="276"/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/>
      <c r="P13" s="217"/>
      <c r="Q13" s="214">
        <f t="shared" si="1"/>
        <v>0</v>
      </c>
      <c r="R13" s="231"/>
      <c r="T13" s="199"/>
      <c r="U13" s="211"/>
      <c r="V13" s="211"/>
      <c r="W13" s="211"/>
      <c r="X13" s="211"/>
    </row>
    <row r="14" spans="1:24" ht="15" thickBot="1" x14ac:dyDescent="0.35">
      <c r="A14" s="39">
        <v>562.32000000000005</v>
      </c>
      <c r="B14" s="40" t="s">
        <v>50</v>
      </c>
      <c r="C14" s="15">
        <v>84423</v>
      </c>
      <c r="D14" s="14">
        <f t="shared" si="2"/>
        <v>84423</v>
      </c>
      <c r="E14" s="231"/>
      <c r="F14" s="276">
        <v>10862</v>
      </c>
      <c r="G14" s="228"/>
      <c r="H14" s="231">
        <f>72120+1241</f>
        <v>73361</v>
      </c>
      <c r="I14" s="219"/>
      <c r="J14" s="217"/>
      <c r="K14" s="217"/>
      <c r="L14" s="217"/>
      <c r="M14" s="9">
        <f t="shared" si="0"/>
        <v>0</v>
      </c>
      <c r="N14" s="217"/>
      <c r="O14" s="217"/>
      <c r="P14" s="217"/>
      <c r="Q14" s="214">
        <f t="shared" si="1"/>
        <v>0</v>
      </c>
      <c r="R14" s="231">
        <v>200</v>
      </c>
      <c r="S14" s="199">
        <v>369</v>
      </c>
      <c r="T14" s="199">
        <v>200</v>
      </c>
      <c r="U14" s="211"/>
      <c r="V14" s="211"/>
      <c r="W14" s="211"/>
      <c r="X14" s="211"/>
    </row>
    <row r="15" spans="1:24" ht="15" thickBot="1" x14ac:dyDescent="0.35">
      <c r="A15" s="39">
        <v>562.33000000000004</v>
      </c>
      <c r="B15" s="82" t="s">
        <v>95</v>
      </c>
      <c r="C15" s="15">
        <v>148581</v>
      </c>
      <c r="D15" s="14">
        <f t="shared" si="2"/>
        <v>148581</v>
      </c>
      <c r="E15" s="231"/>
      <c r="F15" s="276">
        <v>144436</v>
      </c>
      <c r="G15" s="228"/>
      <c r="H15" s="231">
        <v>3905</v>
      </c>
      <c r="I15" s="219"/>
      <c r="J15" s="217"/>
      <c r="K15" s="217"/>
      <c r="L15" s="217"/>
      <c r="M15" s="9">
        <f t="shared" si="0"/>
        <v>0</v>
      </c>
      <c r="N15" s="217"/>
      <c r="O15" s="217">
        <v>240</v>
      </c>
      <c r="P15" s="217"/>
      <c r="Q15" s="214">
        <f t="shared" si="1"/>
        <v>240</v>
      </c>
      <c r="R15" s="231"/>
      <c r="T15" s="199"/>
      <c r="U15" s="211"/>
      <c r="V15" s="211"/>
      <c r="W15" s="211"/>
      <c r="X15" s="211"/>
    </row>
    <row r="16" spans="1:24" ht="15" thickBot="1" x14ac:dyDescent="0.35">
      <c r="A16" s="39">
        <v>562.34</v>
      </c>
      <c r="B16" s="40" t="s">
        <v>51</v>
      </c>
      <c r="C16" s="15">
        <v>271386</v>
      </c>
      <c r="D16" s="14">
        <f t="shared" si="2"/>
        <v>271386</v>
      </c>
      <c r="E16" s="231"/>
      <c r="F16" s="276">
        <v>171266</v>
      </c>
      <c r="G16" s="228"/>
      <c r="H16" s="231"/>
      <c r="I16" s="219"/>
      <c r="J16" s="217"/>
      <c r="K16" s="217"/>
      <c r="L16" s="217"/>
      <c r="M16" s="9">
        <f t="shared" si="0"/>
        <v>0</v>
      </c>
      <c r="N16" s="217"/>
      <c r="O16" s="217">
        <v>100000</v>
      </c>
      <c r="P16" s="217"/>
      <c r="Q16" s="214">
        <f t="shared" si="1"/>
        <v>100000</v>
      </c>
      <c r="R16" s="231">
        <v>120</v>
      </c>
      <c r="T16" s="213"/>
      <c r="U16" s="211"/>
      <c r="V16" s="211"/>
      <c r="W16" s="211"/>
      <c r="X16" s="211"/>
    </row>
    <row r="17" spans="1:24" ht="15" thickBot="1" x14ac:dyDescent="0.35">
      <c r="A17" s="39">
        <v>562.35</v>
      </c>
      <c r="B17" s="40" t="s">
        <v>52</v>
      </c>
      <c r="C17" s="15">
        <v>44620</v>
      </c>
      <c r="D17" s="14">
        <f t="shared" si="2"/>
        <v>44620</v>
      </c>
      <c r="E17" s="231">
        <v>16250</v>
      </c>
      <c r="F17" s="276">
        <v>28295</v>
      </c>
      <c r="G17" s="228"/>
      <c r="H17" s="231"/>
      <c r="I17" s="219"/>
      <c r="J17" s="217"/>
      <c r="K17" s="217"/>
      <c r="L17" s="217"/>
      <c r="M17" s="9">
        <f t="shared" si="0"/>
        <v>0</v>
      </c>
      <c r="N17" s="217"/>
      <c r="O17" s="217"/>
      <c r="P17" s="217"/>
      <c r="Q17" s="214">
        <f t="shared" si="1"/>
        <v>0</v>
      </c>
      <c r="R17" s="231">
        <v>75</v>
      </c>
      <c r="S17" s="199">
        <v>369</v>
      </c>
      <c r="T17" s="199">
        <v>75</v>
      </c>
      <c r="U17" s="211"/>
      <c r="V17" s="211"/>
      <c r="W17" s="211"/>
      <c r="X17" s="211"/>
    </row>
    <row r="18" spans="1:24" ht="15" thickBot="1" x14ac:dyDescent="0.35">
      <c r="A18" s="39">
        <v>562.39</v>
      </c>
      <c r="B18" s="40" t="s">
        <v>53</v>
      </c>
      <c r="C18" s="15">
        <v>161740</v>
      </c>
      <c r="D18" s="14">
        <f t="shared" si="2"/>
        <v>161740</v>
      </c>
      <c r="E18" s="231"/>
      <c r="F18" s="257">
        <v>161740</v>
      </c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/>
      <c r="P18" s="217"/>
      <c r="Q18" s="214">
        <f t="shared" si="1"/>
        <v>0</v>
      </c>
      <c r="R18" s="231"/>
      <c r="T18" s="199"/>
      <c r="U18" s="211"/>
      <c r="V18" s="211"/>
      <c r="W18" s="211"/>
      <c r="X18" s="211"/>
    </row>
    <row r="19" spans="1:24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  <c r="T19" s="199"/>
      <c r="U19" s="211"/>
      <c r="V19" s="211"/>
      <c r="W19" s="211"/>
      <c r="X19" s="211"/>
    </row>
    <row r="20" spans="1:24" ht="15" thickBot="1" x14ac:dyDescent="0.35">
      <c r="A20" s="39">
        <v>562.41999999999996</v>
      </c>
      <c r="B20" s="40" t="s">
        <v>55</v>
      </c>
      <c r="C20" s="15">
        <v>56389</v>
      </c>
      <c r="D20" s="14">
        <f t="shared" si="2"/>
        <v>56389</v>
      </c>
      <c r="E20" s="231"/>
      <c r="F20" s="276">
        <v>6397</v>
      </c>
      <c r="G20" s="228"/>
      <c r="H20" s="231"/>
      <c r="I20" s="219">
        <v>49992</v>
      </c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T20" s="199"/>
      <c r="U20" s="211"/>
      <c r="V20" s="211"/>
      <c r="W20" s="211"/>
      <c r="X20" s="211"/>
    </row>
    <row r="21" spans="1:24" ht="15" thickBot="1" x14ac:dyDescent="0.35">
      <c r="A21" s="39">
        <v>562.42999999999995</v>
      </c>
      <c r="B21" s="82" t="s">
        <v>96</v>
      </c>
      <c r="C21" s="15">
        <v>511458</v>
      </c>
      <c r="D21" s="14">
        <f t="shared" si="2"/>
        <v>90915</v>
      </c>
      <c r="E21" s="231"/>
      <c r="F21" s="276">
        <v>26473</v>
      </c>
      <c r="G21" s="228"/>
      <c r="H21" s="231">
        <v>64056</v>
      </c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>
        <v>386</v>
      </c>
      <c r="S21" s="199">
        <v>369</v>
      </c>
      <c r="T21" s="199">
        <v>386</v>
      </c>
      <c r="U21" s="211"/>
      <c r="V21" s="211"/>
      <c r="W21" s="211"/>
      <c r="X21" s="211"/>
    </row>
    <row r="22" spans="1:24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57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  <c r="T22" s="199"/>
      <c r="U22" s="211"/>
      <c r="V22" s="211"/>
      <c r="W22" s="211"/>
      <c r="X22" s="211"/>
    </row>
    <row r="23" spans="1:24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  <c r="T23" s="199"/>
      <c r="U23" s="211"/>
      <c r="V23" s="211"/>
      <c r="W23" s="211"/>
      <c r="X23" s="211"/>
    </row>
    <row r="24" spans="1:24" ht="15" thickBot="1" x14ac:dyDescent="0.35">
      <c r="A24" s="39">
        <v>562.49</v>
      </c>
      <c r="B24" s="82" t="s">
        <v>87</v>
      </c>
      <c r="C24" s="15"/>
      <c r="D24" s="14">
        <f t="shared" si="2"/>
        <v>0</v>
      </c>
      <c r="E24" s="231"/>
      <c r="F24" s="257"/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  <c r="T24" s="199"/>
      <c r="U24" s="211"/>
      <c r="V24" s="211"/>
      <c r="W24" s="211"/>
      <c r="X24" s="211"/>
    </row>
    <row r="25" spans="1:24" ht="15" thickBot="1" x14ac:dyDescent="0.35">
      <c r="A25" s="39">
        <v>562.52</v>
      </c>
      <c r="B25" s="40" t="s">
        <v>56</v>
      </c>
      <c r="C25" s="15">
        <v>132952</v>
      </c>
      <c r="D25" s="14">
        <f t="shared" si="2"/>
        <v>131790</v>
      </c>
      <c r="E25" s="231"/>
      <c r="F25" s="276">
        <v>51639</v>
      </c>
      <c r="G25" s="228"/>
      <c r="H25" s="231"/>
      <c r="I25" s="219"/>
      <c r="J25" s="217"/>
      <c r="K25" s="217"/>
      <c r="L25" s="217"/>
      <c r="M25" s="9">
        <f t="shared" si="0"/>
        <v>0</v>
      </c>
      <c r="N25" s="217"/>
      <c r="O25" s="217">
        <f>41185+32366+6600</f>
        <v>80151</v>
      </c>
      <c r="P25" s="217"/>
      <c r="Q25" s="214">
        <f t="shared" si="1"/>
        <v>80151</v>
      </c>
      <c r="R25" s="231"/>
      <c r="T25" s="199"/>
      <c r="U25" s="211"/>
      <c r="V25" s="211"/>
      <c r="W25" s="211"/>
      <c r="X25" s="211"/>
    </row>
    <row r="26" spans="1:24" ht="15" thickBot="1" x14ac:dyDescent="0.35">
      <c r="A26" s="39">
        <v>562.53</v>
      </c>
      <c r="B26" s="82" t="s">
        <v>99</v>
      </c>
      <c r="C26" s="15">
        <v>75749</v>
      </c>
      <c r="D26" s="14">
        <f t="shared" si="2"/>
        <v>126604</v>
      </c>
      <c r="E26" s="231"/>
      <c r="F26" s="276">
        <v>437</v>
      </c>
      <c r="G26" s="228">
        <f>47560</f>
        <v>47560</v>
      </c>
      <c r="H26" s="231"/>
      <c r="I26" s="219"/>
      <c r="J26" s="217"/>
      <c r="K26" s="217"/>
      <c r="L26" s="217"/>
      <c r="M26" s="9">
        <f t="shared" si="0"/>
        <v>0</v>
      </c>
      <c r="N26" s="217">
        <v>5139</v>
      </c>
      <c r="O26" s="217">
        <f>60000+13468</f>
        <v>73468</v>
      </c>
      <c r="P26" s="217"/>
      <c r="Q26" s="214">
        <f t="shared" si="1"/>
        <v>78607</v>
      </c>
      <c r="R26" s="231"/>
      <c r="T26" s="199"/>
      <c r="U26" s="211"/>
      <c r="V26" s="211"/>
      <c r="W26" s="211"/>
      <c r="X26" s="211"/>
    </row>
    <row r="27" spans="1:24" ht="15" thickBot="1" x14ac:dyDescent="0.35">
      <c r="A27" s="39">
        <v>562.54</v>
      </c>
      <c r="B27" s="82" t="s">
        <v>100</v>
      </c>
      <c r="C27" s="15">
        <v>294721</v>
      </c>
      <c r="D27" s="14">
        <f t="shared" si="2"/>
        <v>275454</v>
      </c>
      <c r="E27" s="231"/>
      <c r="F27" s="257"/>
      <c r="G27" s="228"/>
      <c r="H27" s="231"/>
      <c r="I27" s="219"/>
      <c r="J27" s="217"/>
      <c r="K27" s="217"/>
      <c r="L27" s="217"/>
      <c r="M27" s="9">
        <f t="shared" si="0"/>
        <v>0</v>
      </c>
      <c r="N27" s="217">
        <v>261279</v>
      </c>
      <c r="O27" s="217">
        <v>14173</v>
      </c>
      <c r="P27" s="217"/>
      <c r="Q27" s="214">
        <f t="shared" si="1"/>
        <v>275452</v>
      </c>
      <c r="R27" s="231">
        <v>2</v>
      </c>
      <c r="S27" s="199">
        <v>369</v>
      </c>
      <c r="T27" s="199">
        <v>2</v>
      </c>
      <c r="U27" s="211"/>
      <c r="V27" s="211"/>
      <c r="W27" s="211"/>
      <c r="X27" s="211"/>
    </row>
    <row r="28" spans="1:24" ht="15" thickBot="1" x14ac:dyDescent="0.35">
      <c r="A28" s="39">
        <v>562.54999999999995</v>
      </c>
      <c r="B28" s="40" t="s">
        <v>57</v>
      </c>
      <c r="C28" s="15">
        <v>12774</v>
      </c>
      <c r="D28" s="14">
        <f t="shared" si="2"/>
        <v>12774</v>
      </c>
      <c r="E28" s="231"/>
      <c r="F28" s="276">
        <v>12774</v>
      </c>
      <c r="G28" s="228"/>
      <c r="H28" s="231"/>
      <c r="I28" s="219"/>
      <c r="J28" s="217"/>
      <c r="K28" s="217"/>
      <c r="L28" s="217"/>
      <c r="M28" s="9">
        <f t="shared" si="0"/>
        <v>0</v>
      </c>
      <c r="N28" s="217"/>
      <c r="O28" s="217"/>
      <c r="P28" s="217"/>
      <c r="Q28" s="214">
        <f t="shared" si="1"/>
        <v>0</v>
      </c>
      <c r="R28" s="231"/>
      <c r="T28" s="199"/>
      <c r="U28" s="211"/>
      <c r="V28" s="211"/>
      <c r="W28" s="211"/>
      <c r="X28" s="211"/>
    </row>
    <row r="29" spans="1:24" ht="15" thickBot="1" x14ac:dyDescent="0.35">
      <c r="A29" s="39">
        <v>562.55999999999995</v>
      </c>
      <c r="B29" s="40" t="s">
        <v>58</v>
      </c>
      <c r="C29" s="15">
        <v>520366</v>
      </c>
      <c r="D29" s="14">
        <f t="shared" si="2"/>
        <v>532725</v>
      </c>
      <c r="E29" s="231"/>
      <c r="F29" s="276">
        <v>12502</v>
      </c>
      <c r="G29" s="228"/>
      <c r="H29" s="231"/>
      <c r="I29" s="219"/>
      <c r="J29" s="217"/>
      <c r="K29" s="217"/>
      <c r="L29" s="217"/>
      <c r="M29" s="9">
        <f t="shared" si="0"/>
        <v>0</v>
      </c>
      <c r="N29" s="217">
        <f>458113+12880</f>
        <v>470993</v>
      </c>
      <c r="O29" s="217">
        <v>50152</v>
      </c>
      <c r="P29" s="217"/>
      <c r="Q29" s="214">
        <f t="shared" si="1"/>
        <v>521145</v>
      </c>
      <c r="R29" s="231">
        <f>401-1323</f>
        <v>-922</v>
      </c>
      <c r="S29" s="199">
        <v>369</v>
      </c>
      <c r="T29" s="199">
        <v>401</v>
      </c>
      <c r="U29" s="211">
        <v>308.3</v>
      </c>
      <c r="V29" s="211">
        <v>-1323</v>
      </c>
      <c r="W29" s="211"/>
      <c r="X29" s="211"/>
    </row>
    <row r="30" spans="1:24" ht="15" thickBot="1" x14ac:dyDescent="0.35">
      <c r="A30" s="39">
        <v>562.57000000000005</v>
      </c>
      <c r="B30" s="82" t="s">
        <v>101</v>
      </c>
      <c r="C30" s="15"/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  <c r="T30" s="199"/>
      <c r="U30" s="211"/>
      <c r="V30" s="211"/>
      <c r="W30" s="211"/>
      <c r="X30" s="211"/>
    </row>
    <row r="31" spans="1:24" ht="15" thickBot="1" x14ac:dyDescent="0.35">
      <c r="A31" s="39">
        <v>562.58000000000004</v>
      </c>
      <c r="B31" s="82" t="s">
        <v>88</v>
      </c>
      <c r="C31" s="15">
        <v>27253</v>
      </c>
      <c r="D31" s="14">
        <f t="shared" si="2"/>
        <v>27252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v>26865</v>
      </c>
      <c r="O31" s="217">
        <v>387</v>
      </c>
      <c r="P31" s="217"/>
      <c r="Q31" s="214">
        <f t="shared" si="1"/>
        <v>27252</v>
      </c>
      <c r="R31" s="231"/>
      <c r="T31" s="199"/>
      <c r="U31" s="211"/>
      <c r="V31" s="211"/>
      <c r="W31" s="211"/>
      <c r="X31" s="211"/>
    </row>
    <row r="32" spans="1:24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  <c r="T32" s="199"/>
      <c r="U32" s="211"/>
      <c r="V32" s="211"/>
      <c r="W32" s="211"/>
      <c r="X32" s="211"/>
    </row>
    <row r="33" spans="1:24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  <c r="T33" s="199"/>
      <c r="U33" s="211"/>
      <c r="V33" s="211"/>
      <c r="W33" s="211"/>
      <c r="X33" s="211"/>
    </row>
    <row r="34" spans="1:24" ht="15" thickBot="1" x14ac:dyDescent="0.35">
      <c r="A34" s="39">
        <v>562.71</v>
      </c>
      <c r="B34" s="40" t="s">
        <v>60</v>
      </c>
      <c r="C34" s="15">
        <v>131074</v>
      </c>
      <c r="D34" s="14">
        <f t="shared" si="2"/>
        <v>183619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184003</v>
      </c>
      <c r="P34" s="217"/>
      <c r="Q34" s="214">
        <f t="shared" si="1"/>
        <v>184003</v>
      </c>
      <c r="R34" s="231">
        <v>-384</v>
      </c>
      <c r="S34" s="199">
        <v>369</v>
      </c>
      <c r="T34" s="199">
        <v>-384</v>
      </c>
      <c r="U34" s="211"/>
      <c r="V34" s="211"/>
      <c r="W34" s="211"/>
      <c r="X34" s="211"/>
    </row>
    <row r="35" spans="1:24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  <c r="T35" s="199"/>
      <c r="U35" s="211"/>
      <c r="V35" s="211"/>
      <c r="W35" s="211"/>
      <c r="X35" s="211"/>
    </row>
    <row r="36" spans="1:24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  <c r="T36" s="199"/>
      <c r="U36" s="211"/>
      <c r="V36" s="211"/>
      <c r="W36" s="211"/>
      <c r="X36" s="211"/>
    </row>
    <row r="37" spans="1:24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T37" s="199"/>
      <c r="U37" s="211"/>
      <c r="V37" s="211"/>
      <c r="W37" s="211"/>
      <c r="X37" s="211"/>
    </row>
    <row r="38" spans="1:24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T38" s="199"/>
      <c r="U38" s="211"/>
      <c r="V38" s="211"/>
      <c r="W38" s="211"/>
      <c r="X38" s="211"/>
    </row>
    <row r="39" spans="1:24" ht="15" thickBot="1" x14ac:dyDescent="0.35">
      <c r="A39" s="39">
        <v>562.79</v>
      </c>
      <c r="B39" s="40" t="s">
        <v>64</v>
      </c>
      <c r="C39" s="15">
        <v>235975</v>
      </c>
      <c r="D39" s="14">
        <f t="shared" si="2"/>
        <v>239732</v>
      </c>
      <c r="E39" s="231"/>
      <c r="F39" s="257">
        <v>239732</v>
      </c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T39" s="199"/>
      <c r="U39" s="211"/>
      <c r="V39" s="211"/>
      <c r="W39" s="211"/>
      <c r="X39" s="211"/>
    </row>
    <row r="40" spans="1:24" ht="15" thickBot="1" x14ac:dyDescent="0.35">
      <c r="A40" s="39">
        <v>562.79999999999995</v>
      </c>
      <c r="B40" s="40" t="s">
        <v>65</v>
      </c>
      <c r="C40" s="15">
        <v>6960</v>
      </c>
      <c r="D40" s="14">
        <f t="shared" si="2"/>
        <v>6960</v>
      </c>
      <c r="E40" s="231"/>
      <c r="F40" s="276">
        <v>6960</v>
      </c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  <c r="T40" s="199"/>
      <c r="U40" s="211"/>
      <c r="V40" s="211"/>
      <c r="W40" s="211"/>
      <c r="X40" s="211"/>
    </row>
    <row r="41" spans="1:24" ht="15" thickBot="1" x14ac:dyDescent="0.35">
      <c r="A41" s="39">
        <v>562.88</v>
      </c>
      <c r="B41" s="82" t="s">
        <v>91</v>
      </c>
      <c r="C41" s="15">
        <v>83350</v>
      </c>
      <c r="D41" s="14">
        <f t="shared" si="2"/>
        <v>83350</v>
      </c>
      <c r="E41" s="231"/>
      <c r="F41" s="257"/>
      <c r="G41" s="228"/>
      <c r="H41" s="231">
        <v>83350</v>
      </c>
      <c r="I41" s="219"/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/>
      <c r="T41" s="199"/>
      <c r="U41" s="211"/>
      <c r="V41" s="211"/>
      <c r="W41" s="211"/>
      <c r="X41" s="211"/>
    </row>
    <row r="42" spans="1:24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T42" s="199"/>
      <c r="U42" s="211"/>
      <c r="V42" s="211"/>
      <c r="W42" s="211"/>
      <c r="X42" s="211"/>
    </row>
    <row r="43" spans="1:24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T43" s="199"/>
      <c r="U43" s="211"/>
      <c r="V43" s="211"/>
      <c r="W43" s="211"/>
      <c r="X43" s="211"/>
    </row>
    <row r="44" spans="1:24" x14ac:dyDescent="0.3">
      <c r="A44" s="206" t="s">
        <v>110</v>
      </c>
      <c r="B44" s="207" t="s">
        <v>68</v>
      </c>
      <c r="C44" s="208">
        <f>SUM(C5:C43)</f>
        <v>3119937</v>
      </c>
      <c r="D44" s="205">
        <f>E44+F44+G44+H44+I44+M44+Q44+R44</f>
        <v>2727346</v>
      </c>
      <c r="E44" s="233">
        <f t="shared" ref="E44:R44" si="3">SUM(E5:E43)</f>
        <v>16250</v>
      </c>
      <c r="F44" s="259">
        <f t="shared" si="3"/>
        <v>1052481</v>
      </c>
      <c r="G44" s="223">
        <f t="shared" si="3"/>
        <v>47560</v>
      </c>
      <c r="H44" s="233">
        <f t="shared" si="3"/>
        <v>224672</v>
      </c>
      <c r="I44" s="239">
        <f t="shared" si="3"/>
        <v>84685</v>
      </c>
      <c r="J44" s="245">
        <f>SUM(J5:J43)</f>
        <v>0</v>
      </c>
      <c r="K44" s="245">
        <f>SUM(K5:K43)</f>
        <v>0</v>
      </c>
      <c r="L44" s="245">
        <f>SUM(L5:L43)</f>
        <v>0</v>
      </c>
      <c r="M44" s="208">
        <f t="shared" si="3"/>
        <v>0</v>
      </c>
      <c r="N44" s="245">
        <f>SUM(N5:N43)</f>
        <v>764276</v>
      </c>
      <c r="O44" s="245">
        <f>SUM(O5:O43)</f>
        <v>502574</v>
      </c>
      <c r="P44" s="245">
        <f>SUM(P5:P43)</f>
        <v>0</v>
      </c>
      <c r="Q44" s="216">
        <f t="shared" si="3"/>
        <v>1266850</v>
      </c>
      <c r="R44" s="233">
        <f t="shared" si="3"/>
        <v>34848</v>
      </c>
      <c r="T44" s="199"/>
      <c r="U44" s="211"/>
      <c r="V44" s="211"/>
      <c r="W44" s="211"/>
      <c r="X44" s="211"/>
    </row>
    <row r="45" spans="1:24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T45" s="199"/>
      <c r="U45" s="211"/>
      <c r="V45" s="211"/>
      <c r="W45" s="211"/>
      <c r="X45" s="211"/>
    </row>
    <row r="46" spans="1:24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T46" s="199"/>
      <c r="U46" s="211"/>
      <c r="V46" s="211"/>
      <c r="W46" s="211"/>
      <c r="X46" s="211"/>
    </row>
    <row r="47" spans="1:24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T47" s="199"/>
      <c r="U47" s="211"/>
      <c r="V47" s="211"/>
      <c r="W47" s="211"/>
      <c r="X47" s="211"/>
    </row>
    <row r="48" spans="1:24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T48" s="199"/>
      <c r="U48" s="211"/>
      <c r="V48" s="211"/>
      <c r="W48" s="211"/>
      <c r="X48" s="211"/>
    </row>
    <row r="49" spans="1:24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T49" s="199"/>
      <c r="U49" s="211"/>
      <c r="V49" s="211"/>
      <c r="W49" s="211"/>
      <c r="X49" s="211"/>
    </row>
    <row r="50" spans="1:24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T50" s="199"/>
      <c r="U50" s="211"/>
      <c r="V50" s="211"/>
      <c r="W50" s="211"/>
      <c r="X50" s="211"/>
    </row>
    <row r="51" spans="1:24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T51" s="199"/>
      <c r="U51" s="211"/>
      <c r="V51" s="211"/>
      <c r="W51" s="211"/>
      <c r="X51" s="211"/>
    </row>
    <row r="52" spans="1:24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T52" s="199"/>
      <c r="U52" s="211"/>
      <c r="V52" s="211"/>
      <c r="W52" s="211"/>
      <c r="X52" s="211"/>
    </row>
    <row r="53" spans="1:24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  <c r="T53" s="199"/>
      <c r="U53" s="211"/>
      <c r="V53" s="211"/>
      <c r="W53" s="211"/>
      <c r="X53" s="211"/>
    </row>
    <row r="54" spans="1:24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T54" s="199"/>
      <c r="U54" s="211"/>
      <c r="V54" s="211"/>
      <c r="W54" s="211"/>
      <c r="X54" s="211"/>
    </row>
    <row r="55" spans="1:24" x14ac:dyDescent="0.3">
      <c r="A55" s="41">
        <v>500</v>
      </c>
      <c r="B55" s="32" t="s">
        <v>118</v>
      </c>
      <c r="C55" s="18"/>
      <c r="D55" s="20">
        <f t="shared" si="2"/>
        <v>0</v>
      </c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T55" s="199"/>
      <c r="U55" s="211"/>
      <c r="V55" s="211"/>
      <c r="W55" s="211"/>
      <c r="X55" s="211"/>
    </row>
    <row r="56" spans="1:24" ht="15" thickBot="1" x14ac:dyDescent="0.35">
      <c r="A56" s="107"/>
      <c r="B56" s="108" t="s">
        <v>80</v>
      </c>
      <c r="C56" s="111">
        <f>SUM(C44:C55)</f>
        <v>3119937</v>
      </c>
      <c r="D56" s="110">
        <f>E56+F56+G56+H56+I56+M56+Q56+R56</f>
        <v>2727346</v>
      </c>
      <c r="E56" s="235">
        <f t="shared" ref="E56:R56" si="4">SUM(E44:E55)</f>
        <v>16250</v>
      </c>
      <c r="F56" s="260">
        <f t="shared" si="4"/>
        <v>1052481</v>
      </c>
      <c r="G56" s="225">
        <f t="shared" si="4"/>
        <v>47560</v>
      </c>
      <c r="H56" s="235">
        <f t="shared" si="4"/>
        <v>224672</v>
      </c>
      <c r="I56" s="240">
        <f t="shared" si="4"/>
        <v>84685</v>
      </c>
      <c r="J56" s="218">
        <f>SUM(J44:J55)</f>
        <v>0</v>
      </c>
      <c r="K56" s="218">
        <f>SUM(K44:K55)</f>
        <v>0</v>
      </c>
      <c r="L56" s="218">
        <f>SUM(L44:L55)</f>
        <v>0</v>
      </c>
      <c r="M56" s="209">
        <f t="shared" si="4"/>
        <v>0</v>
      </c>
      <c r="N56" s="218">
        <f>SUM(N44:N55)</f>
        <v>764276</v>
      </c>
      <c r="O56" s="218">
        <f>SUM(O44:O55)</f>
        <v>502574</v>
      </c>
      <c r="P56" s="218">
        <f>SUM(P44:P55)</f>
        <v>0</v>
      </c>
      <c r="Q56" s="218">
        <f t="shared" si="4"/>
        <v>1266850</v>
      </c>
      <c r="R56" s="235">
        <f t="shared" si="4"/>
        <v>34848</v>
      </c>
    </row>
    <row r="57" spans="1:24" ht="15" thickTop="1" x14ac:dyDescent="0.3"/>
    <row r="58" spans="1:24" ht="15" thickBot="1" x14ac:dyDescent="0.35"/>
    <row r="59" spans="1:24" ht="15" thickBot="1" x14ac:dyDescent="0.35">
      <c r="B59" s="42" t="s">
        <v>109</v>
      </c>
      <c r="C59" s="43"/>
      <c r="D59" s="44"/>
    </row>
    <row r="60" spans="1:24" ht="15" thickTop="1" x14ac:dyDescent="0.3">
      <c r="B60" s="115"/>
      <c r="C60" s="116" t="s">
        <v>82</v>
      </c>
      <c r="D60" s="117" t="s">
        <v>78</v>
      </c>
    </row>
    <row r="61" spans="1:24" x14ac:dyDescent="0.3">
      <c r="B61" s="153" t="s">
        <v>108</v>
      </c>
      <c r="C61" s="45"/>
      <c r="D61" s="46"/>
    </row>
    <row r="62" spans="1:24" x14ac:dyDescent="0.3">
      <c r="B62" s="26" t="s">
        <v>3</v>
      </c>
      <c r="C62" s="47">
        <f>E56</f>
        <v>16250</v>
      </c>
      <c r="D62" s="48">
        <f>E56/D56</f>
        <v>5.9581732570784928E-3</v>
      </c>
    </row>
    <row r="63" spans="1:24" x14ac:dyDescent="0.3">
      <c r="B63" s="26" t="s">
        <v>4</v>
      </c>
      <c r="C63" s="49">
        <f>F56</f>
        <v>1052481</v>
      </c>
      <c r="D63" s="48">
        <f>F56/D56</f>
        <v>0.38589933217127564</v>
      </c>
    </row>
    <row r="64" spans="1:24" x14ac:dyDescent="0.3">
      <c r="B64" s="56" t="s">
        <v>79</v>
      </c>
      <c r="C64" s="50">
        <f>G56</f>
        <v>47560</v>
      </c>
      <c r="D64" s="51">
        <f>G56/D56</f>
        <v>1.7438198160409424E-2</v>
      </c>
    </row>
    <row r="65" spans="2:4" ht="15" thickBot="1" x14ac:dyDescent="0.35">
      <c r="B65" s="146" t="s">
        <v>115</v>
      </c>
      <c r="C65" s="52">
        <f>SUM(C62:C64)</f>
        <v>1116291</v>
      </c>
      <c r="D65" s="53">
        <f>SUM(D62:D64)</f>
        <v>0.40929570358876355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224672</v>
      </c>
      <c r="D67" s="25">
        <f>H56/D56</f>
        <v>8.2377520123959339E-2</v>
      </c>
    </row>
    <row r="68" spans="2:4" x14ac:dyDescent="0.3">
      <c r="B68" s="57" t="s">
        <v>7</v>
      </c>
      <c r="C68" s="27">
        <f>I56</f>
        <v>84685</v>
      </c>
      <c r="D68" s="28">
        <f>I56/D56</f>
        <v>3.1050332447734905E-2</v>
      </c>
    </row>
    <row r="69" spans="2:4" ht="15" thickBot="1" x14ac:dyDescent="0.35">
      <c r="B69" s="146" t="s">
        <v>116</v>
      </c>
      <c r="C69" s="52">
        <f>SUM(C67:C68)</f>
        <v>309357</v>
      </c>
      <c r="D69" s="53">
        <f>SUM(D67:D68)</f>
        <v>0.11342785257169424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0</v>
      </c>
      <c r="D71" s="25">
        <f>M56/D56</f>
        <v>0</v>
      </c>
    </row>
    <row r="72" spans="2:4" x14ac:dyDescent="0.3">
      <c r="B72" s="24" t="s">
        <v>8</v>
      </c>
      <c r="C72" s="23">
        <f>Q56</f>
        <v>1266850</v>
      </c>
      <c r="D72" s="25">
        <f>Q56/D56</f>
        <v>0.46449918712183935</v>
      </c>
    </row>
    <row r="73" spans="2:4" x14ac:dyDescent="0.3">
      <c r="B73" s="163" t="s">
        <v>83</v>
      </c>
      <c r="C73" s="27">
        <f>R56</f>
        <v>34848</v>
      </c>
      <c r="D73" s="28">
        <f>R56/D56</f>
        <v>1.2777256717702851E-2</v>
      </c>
    </row>
    <row r="74" spans="2:4" ht="15" thickBot="1" x14ac:dyDescent="0.35">
      <c r="B74" s="146" t="s">
        <v>117</v>
      </c>
      <c r="C74" s="52">
        <f>SUM(C71:C73)</f>
        <v>1301698</v>
      </c>
      <c r="D74" s="53">
        <f>SUM(D71:D73)</f>
        <v>0.47727644383954221</v>
      </c>
    </row>
    <row r="75" spans="2:4" ht="15" thickBot="1" x14ac:dyDescent="0.35">
      <c r="B75" s="157" t="s">
        <v>80</v>
      </c>
      <c r="C75" s="158">
        <f>C65+C69+C74</f>
        <v>2727346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L55 A5:R43 A44:M44 Q44:R55">
    <cfRule type="expression" dxfId="5" priority="7">
      <formula>ROW()=EVEN(ROW())</formula>
    </cfRule>
  </conditionalFormatting>
  <conditionalFormatting sqref="A55:B55">
    <cfRule type="expression" dxfId="4" priority="5">
      <formula>ROW()=EVEN(ROW())</formula>
    </cfRule>
  </conditionalFormatting>
  <conditionalFormatting sqref="A54:B54">
    <cfRule type="expression" dxfId="3" priority="4">
      <formula>ROW()=EVEN(ROW())</formula>
    </cfRule>
  </conditionalFormatting>
  <conditionalFormatting sqref="M45:M55">
    <cfRule type="expression" dxfId="2" priority="3">
      <formula>ROW()=EVEN(ROW())</formula>
    </cfRule>
  </conditionalFormatting>
  <conditionalFormatting sqref="D45:D55">
    <cfRule type="expression" dxfId="1" priority="2">
      <formula>ROW()=EVEN(ROW())</formula>
    </cfRule>
  </conditionalFormatting>
  <conditionalFormatting sqref="N44:P55">
    <cfRule type="expression" dxfId="0" priority="1">
      <formula>ROW()=EVEN(ROW())</formula>
    </cfRule>
  </conditionalFormatting>
  <printOptions horizontalCentered="1"/>
  <pageMargins left="0" right="0" top="1.1000000000000001" bottom="0.5" header="0.3" footer="0.3"/>
  <pageSetup scale="85" fitToHeight="0" orientation="landscape" r:id="rId1"/>
  <headerFooter>
    <oddHeader>&amp;C&amp;"-,Bold"&amp;20Funding by Expenditure Code and Revenue Source&amp;"-,Regular"&amp;11
&amp;"-,Bold"&amp;20 2014&amp;"-,Regular"&amp;11
&amp;"-,Bold"&amp;20YAKIMA</oddHeader>
  </headerFooter>
  <rowBreaks count="1" manualBreakCount="1">
    <brk id="44" max="16383" man="1"/>
  </rowBreaks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topLeftCell="A2" zoomScaleNormal="100" workbookViewId="0">
      <selection activeCell="B12" sqref="B12:H12"/>
    </sheetView>
  </sheetViews>
  <sheetFormatPr defaultColWidth="6" defaultRowHeight="14.4" x14ac:dyDescent="0.3"/>
  <cols>
    <col min="1" max="8" width="12.6640625" customWidth="1"/>
  </cols>
  <sheetData>
    <row r="1" spans="1:8" s="179" customFormat="1" ht="33.75" customHeight="1" x14ac:dyDescent="0.3">
      <c r="A1" s="303" t="s">
        <v>108</v>
      </c>
      <c r="B1" s="304"/>
      <c r="C1" s="305"/>
      <c r="D1" s="303" t="s">
        <v>107</v>
      </c>
      <c r="E1" s="304"/>
      <c r="F1" s="303" t="s">
        <v>106</v>
      </c>
      <c r="G1" s="306"/>
      <c r="H1" s="178"/>
    </row>
    <row r="2" spans="1:8" ht="70.2" customHeight="1" x14ac:dyDescent="0.3">
      <c r="A2" s="180" t="s">
        <v>3</v>
      </c>
      <c r="B2" s="181" t="s">
        <v>4</v>
      </c>
      <c r="C2" s="182" t="s">
        <v>5</v>
      </c>
      <c r="D2" s="180" t="s">
        <v>6</v>
      </c>
      <c r="E2" s="183" t="s">
        <v>7</v>
      </c>
      <c r="F2" s="180" t="s">
        <v>103</v>
      </c>
      <c r="G2" s="184" t="s">
        <v>8</v>
      </c>
      <c r="H2" s="185" t="s">
        <v>83</v>
      </c>
    </row>
    <row r="3" spans="1:8" ht="40.200000000000003" customHeight="1" x14ac:dyDescent="0.3">
      <c r="A3" s="180" t="s">
        <v>119</v>
      </c>
      <c r="B3" s="181" t="s">
        <v>151</v>
      </c>
      <c r="C3" s="182" t="s">
        <v>120</v>
      </c>
      <c r="D3" s="180" t="s">
        <v>121</v>
      </c>
      <c r="E3" s="183" t="s">
        <v>122</v>
      </c>
      <c r="F3" s="180" t="s">
        <v>123</v>
      </c>
      <c r="G3" s="184" t="s">
        <v>124</v>
      </c>
      <c r="H3" s="185" t="s">
        <v>149</v>
      </c>
    </row>
    <row r="4" spans="1:8" ht="40.200000000000003" customHeight="1" x14ac:dyDescent="0.3">
      <c r="A4" s="180" t="s">
        <v>125</v>
      </c>
      <c r="B4" s="181"/>
      <c r="C4" s="182" t="s">
        <v>126</v>
      </c>
      <c r="D4" s="180" t="s">
        <v>127</v>
      </c>
      <c r="E4" s="183" t="s">
        <v>128</v>
      </c>
      <c r="F4" s="180">
        <v>368</v>
      </c>
      <c r="G4" s="184" t="s">
        <v>169</v>
      </c>
      <c r="H4" s="186" t="s">
        <v>130</v>
      </c>
    </row>
    <row r="5" spans="1:8" ht="40.200000000000003" customHeight="1" x14ac:dyDescent="0.3">
      <c r="A5" s="180" t="s">
        <v>131</v>
      </c>
      <c r="B5" s="181"/>
      <c r="C5" s="182" t="s">
        <v>132</v>
      </c>
      <c r="D5" s="180"/>
      <c r="E5" s="183" t="s">
        <v>133</v>
      </c>
      <c r="F5" s="180" t="s">
        <v>134</v>
      </c>
      <c r="G5" s="184" t="s">
        <v>135</v>
      </c>
      <c r="H5" s="185" t="s">
        <v>136</v>
      </c>
    </row>
    <row r="6" spans="1:8" ht="40.200000000000003" customHeight="1" x14ac:dyDescent="0.3">
      <c r="A6" s="180" t="s">
        <v>137</v>
      </c>
      <c r="B6" s="181"/>
      <c r="C6" s="182"/>
      <c r="D6" s="180"/>
      <c r="E6" s="183" t="s">
        <v>138</v>
      </c>
      <c r="F6" s="180" t="s">
        <v>139</v>
      </c>
      <c r="G6" s="184" t="s">
        <v>168</v>
      </c>
      <c r="H6" s="185" t="s">
        <v>141</v>
      </c>
    </row>
    <row r="7" spans="1:8" ht="40.200000000000003" customHeight="1" x14ac:dyDescent="0.3">
      <c r="A7" s="180" t="s">
        <v>140</v>
      </c>
      <c r="B7" s="181"/>
      <c r="C7" s="182"/>
      <c r="D7" s="180"/>
      <c r="E7" s="183"/>
      <c r="F7" s="180">
        <v>337</v>
      </c>
      <c r="G7" s="184"/>
      <c r="H7" s="185">
        <v>508</v>
      </c>
    </row>
    <row r="8" spans="1:8" ht="40.200000000000003" customHeight="1" x14ac:dyDescent="0.3">
      <c r="A8" s="180" t="s">
        <v>142</v>
      </c>
      <c r="B8" s="181"/>
      <c r="C8" s="182"/>
      <c r="D8" s="180"/>
      <c r="E8" s="183"/>
      <c r="F8" s="180"/>
      <c r="G8" s="184"/>
      <c r="H8" s="185"/>
    </row>
    <row r="9" spans="1:8" ht="40.200000000000003" customHeight="1" thickBot="1" x14ac:dyDescent="0.35">
      <c r="A9" s="187" t="s">
        <v>143</v>
      </c>
      <c r="B9" s="188"/>
      <c r="C9" s="189"/>
      <c r="D9" s="187"/>
      <c r="E9" s="190"/>
      <c r="F9" s="187"/>
      <c r="G9" s="191"/>
      <c r="H9" s="192"/>
    </row>
    <row r="10" spans="1:8" x14ac:dyDescent="0.3">
      <c r="A10" s="193"/>
      <c r="B10" s="193"/>
      <c r="C10" s="193"/>
      <c r="D10" s="193"/>
      <c r="E10" s="193"/>
      <c r="F10" s="193"/>
      <c r="G10" s="193"/>
      <c r="H10" s="193"/>
    </row>
    <row r="11" spans="1:8" ht="36" customHeight="1" x14ac:dyDescent="0.3">
      <c r="A11" s="270" t="s">
        <v>171</v>
      </c>
      <c r="B11" s="302" t="s">
        <v>172</v>
      </c>
      <c r="C11" s="302"/>
      <c r="D11" s="302"/>
      <c r="E11" s="302"/>
      <c r="F11" s="302"/>
      <c r="G11" s="302"/>
      <c r="H11" s="302"/>
    </row>
    <row r="12" spans="1:8" ht="29.25" customHeight="1" x14ac:dyDescent="0.3">
      <c r="A12" s="194"/>
      <c r="B12" s="302"/>
      <c r="C12" s="302"/>
      <c r="D12" s="302"/>
      <c r="E12" s="302"/>
      <c r="F12" s="302"/>
      <c r="G12" s="302"/>
      <c r="H12" s="302"/>
    </row>
    <row r="13" spans="1:8" ht="15" customHeight="1" x14ac:dyDescent="0.3">
      <c r="A13" s="193"/>
      <c r="B13" s="302"/>
      <c r="C13" s="302"/>
      <c r="D13" s="302"/>
      <c r="E13" s="302"/>
      <c r="F13" s="302"/>
      <c r="G13" s="302"/>
      <c r="H13" s="302"/>
    </row>
    <row r="14" spans="1:8" x14ac:dyDescent="0.3">
      <c r="A14" s="193"/>
      <c r="B14" s="193"/>
      <c r="C14" s="193"/>
      <c r="D14" s="193"/>
      <c r="E14" s="193"/>
      <c r="F14" s="193"/>
      <c r="G14" s="193"/>
      <c r="H14" s="193"/>
    </row>
    <row r="15" spans="1:8" x14ac:dyDescent="0.3">
      <c r="A15" s="193"/>
      <c r="B15" s="193"/>
      <c r="C15" s="193"/>
      <c r="D15" s="193"/>
      <c r="E15" s="193"/>
      <c r="F15" s="193"/>
      <c r="G15" s="193"/>
      <c r="H15" s="193"/>
    </row>
    <row r="16" spans="1:8" x14ac:dyDescent="0.3">
      <c r="A16" s="193"/>
      <c r="B16" s="193"/>
      <c r="C16" s="193"/>
      <c r="D16" s="193"/>
      <c r="E16" s="193"/>
      <c r="F16" s="193"/>
      <c r="G16" s="193"/>
      <c r="H16" s="193"/>
    </row>
    <row r="17" spans="1:8" x14ac:dyDescent="0.3">
      <c r="A17" s="193"/>
      <c r="B17" s="193"/>
      <c r="C17" s="193"/>
      <c r="D17" s="193"/>
      <c r="E17" s="193"/>
      <c r="F17" s="193"/>
      <c r="G17" s="193"/>
      <c r="H17" s="193"/>
    </row>
    <row r="18" spans="1:8" x14ac:dyDescent="0.3">
      <c r="A18" s="193"/>
      <c r="B18" s="193"/>
      <c r="C18" s="193"/>
      <c r="D18" s="193"/>
      <c r="E18" s="193"/>
      <c r="F18" s="193"/>
      <c r="G18" s="193"/>
      <c r="H18" s="193"/>
    </row>
    <row r="19" spans="1:8" x14ac:dyDescent="0.3">
      <c r="A19" s="193"/>
      <c r="B19" s="193"/>
      <c r="C19" s="193"/>
      <c r="D19" s="193"/>
      <c r="E19" s="193"/>
      <c r="F19" s="193"/>
      <c r="G19" s="193"/>
      <c r="H19" s="193"/>
    </row>
    <row r="20" spans="1:8" x14ac:dyDescent="0.3">
      <c r="A20" s="193"/>
      <c r="B20" s="193"/>
      <c r="C20" s="193"/>
      <c r="D20" s="193"/>
      <c r="E20" s="193"/>
      <c r="F20" s="193"/>
      <c r="G20" s="193"/>
      <c r="H20" s="193"/>
    </row>
    <row r="21" spans="1:8" x14ac:dyDescent="0.3">
      <c r="A21" s="193"/>
      <c r="B21" s="193"/>
      <c r="C21" s="193"/>
      <c r="D21" s="193"/>
      <c r="E21" s="193"/>
      <c r="F21" s="193"/>
      <c r="G21" s="193"/>
      <c r="H21" s="193"/>
    </row>
    <row r="22" spans="1:8" x14ac:dyDescent="0.3">
      <c r="A22" s="193"/>
      <c r="B22" s="193"/>
      <c r="C22" s="193"/>
      <c r="D22" s="193"/>
      <c r="E22" s="193"/>
      <c r="F22" s="193"/>
      <c r="G22" s="193"/>
      <c r="H22" s="193"/>
    </row>
  </sheetData>
  <mergeCells count="6">
    <mergeCell ref="B13:H13"/>
    <mergeCell ref="A1:C1"/>
    <mergeCell ref="D1:E1"/>
    <mergeCell ref="F1:G1"/>
    <mergeCell ref="B11:H11"/>
    <mergeCell ref="B12:H12"/>
  </mergeCells>
  <printOptions horizontalCentered="1"/>
  <pageMargins left="0.25" right="0.25" top="1.5" bottom="0.65" header="0.5" footer="0.5"/>
  <pageSetup scale="94" orientation="landscape" r:id="rId1"/>
  <headerFooter>
    <oddHeader>&amp;C&amp;"Calibri,Bold"&amp;20Matrix of BARS Revenue Code Placement
2014</oddHeader>
    <oddFooter>&amp;C&amp;9Page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4:Q54"/>
  <sheetViews>
    <sheetView view="pageLayout" topLeftCell="A37" zoomScaleNormal="100" workbookViewId="0">
      <selection activeCell="B49" sqref="B49:B52"/>
    </sheetView>
  </sheetViews>
  <sheetFormatPr defaultColWidth="3.88671875" defaultRowHeight="13.2" x14ac:dyDescent="0.25"/>
  <cols>
    <col min="1" max="1" width="35.33203125" style="61" customWidth="1"/>
    <col min="2" max="2" width="14.44140625" style="61" customWidth="1"/>
    <col min="3" max="3" width="17.5546875" style="61" customWidth="1"/>
    <col min="4" max="4" width="44.6640625" style="61" customWidth="1"/>
    <col min="5" max="5" width="14.44140625" style="61" customWidth="1"/>
    <col min="6" max="6" width="17.5546875" style="61" customWidth="1"/>
    <col min="7" max="7" width="30" style="61" bestFit="1" customWidth="1"/>
    <col min="8" max="8" width="14.44140625" style="61" customWidth="1"/>
    <col min="9" max="16384" width="3.88671875" style="61"/>
  </cols>
  <sheetData>
    <row r="44" spans="1:17" x14ac:dyDescent="0.25">
      <c r="Q44" s="69"/>
    </row>
    <row r="46" spans="1:17" x14ac:dyDescent="0.25">
      <c r="C46" s="160"/>
    </row>
    <row r="47" spans="1:17" ht="13.8" thickBot="1" x14ac:dyDescent="0.3"/>
    <row r="48" spans="1:17" x14ac:dyDescent="0.25">
      <c r="A48" s="104" t="s">
        <v>108</v>
      </c>
      <c r="B48" s="161" t="s">
        <v>82</v>
      </c>
      <c r="D48" s="105" t="s">
        <v>114</v>
      </c>
      <c r="E48" s="161" t="s">
        <v>82</v>
      </c>
      <c r="F48" s="70"/>
      <c r="G48" s="105" t="s">
        <v>106</v>
      </c>
      <c r="H48" s="161" t="s">
        <v>82</v>
      </c>
    </row>
    <row r="49" spans="1:8" x14ac:dyDescent="0.25">
      <c r="A49" s="73" t="s">
        <v>3</v>
      </c>
      <c r="B49" s="74">
        <f>'LJH Summary Pg 3-DO NOT INPUT'!G38</f>
        <v>9564361.5199999996</v>
      </c>
      <c r="D49" s="73" t="s">
        <v>6</v>
      </c>
      <c r="E49" s="74">
        <f>'LJH Summary Pg 3-DO NOT INPUT'!J38</f>
        <v>48262765.93</v>
      </c>
      <c r="F49" s="71"/>
      <c r="G49" s="73" t="s">
        <v>103</v>
      </c>
      <c r="H49" s="74">
        <f>'LJH Summary Pg 3-DO NOT INPUT'!L38</f>
        <v>83235556.960000008</v>
      </c>
    </row>
    <row r="50" spans="1:8" ht="13.8" thickBot="1" x14ac:dyDescent="0.3">
      <c r="A50" s="97" t="s">
        <v>4</v>
      </c>
      <c r="B50" s="98">
        <f>'LJH Summary Pg 3-DO NOT INPUT'!H38</f>
        <v>35395640.719999999</v>
      </c>
      <c r="D50" s="73" t="s">
        <v>7</v>
      </c>
      <c r="E50" s="74">
        <f>'LJH Summary Pg 3-DO NOT INPUT'!K38</f>
        <v>29476556.23</v>
      </c>
      <c r="F50" s="71"/>
      <c r="G50" s="73" t="s">
        <v>8</v>
      </c>
      <c r="H50" s="74">
        <f>'LJH Summary Pg 3-DO NOT INPUT'!M38</f>
        <v>137436691.66</v>
      </c>
    </row>
    <row r="51" spans="1:8" ht="13.8" thickBot="1" x14ac:dyDescent="0.3">
      <c r="A51" s="75" t="s">
        <v>79</v>
      </c>
      <c r="B51" s="76">
        <f>'LJH Summary Pg 3-DO NOT INPUT'!I38</f>
        <v>20255195.23</v>
      </c>
      <c r="D51" s="148" t="s">
        <v>116</v>
      </c>
      <c r="E51" s="100">
        <f>SUM(E49:E50)</f>
        <v>77739322.159999996</v>
      </c>
      <c r="F51" s="71"/>
      <c r="G51" s="130" t="s">
        <v>83</v>
      </c>
      <c r="H51" s="74">
        <f>'LJH Summary Pg 3-DO NOT INPUT'!N38</f>
        <v>36841383.789999999</v>
      </c>
    </row>
    <row r="52" spans="1:8" ht="13.8" thickBot="1" x14ac:dyDescent="0.3">
      <c r="A52" s="148" t="s">
        <v>115</v>
      </c>
      <c r="B52" s="100">
        <f>SUM(B49:B51)</f>
        <v>65215197.469999999</v>
      </c>
      <c r="E52" s="77"/>
      <c r="F52" s="72"/>
      <c r="G52" s="149" t="s">
        <v>117</v>
      </c>
      <c r="H52" s="100">
        <f>SUM(H49:H51)</f>
        <v>257513632.41</v>
      </c>
    </row>
    <row r="53" spans="1:8" x14ac:dyDescent="0.25">
      <c r="E53" s="77"/>
      <c r="H53" s="77"/>
    </row>
    <row r="54" spans="1:8" x14ac:dyDescent="0.25">
      <c r="H54" s="77"/>
    </row>
  </sheetData>
  <printOptions horizontalCentered="1"/>
  <pageMargins left="0" right="0" top="1.25" bottom="0.65" header="0.28000000000000003" footer="0.3"/>
  <pageSetup scale="68" orientation="landscape" r:id="rId1"/>
  <headerFooter>
    <oddHeader>&amp;C&amp;"Arial,Bold"&amp;20Local Health Jurisdiction Revenue Sources by Type - Detail
2014
All Local Health Jurisdictions</oddHeader>
    <oddFooter>&amp;CPage &amp;P&amp;7
&amp;RSOURCE:  BARS A Reports
Compiled by DOH</oddFooter>
    <firstHeader>&amp;C&amp;"Arial,Bold"&amp;12PUBLIC HEALTH SERVICES - Funding of All Local Health Jurisdictions by Revenue Source
2012</firstHeader>
    <firstFooter>&amp;C&amp;11Page 6&amp;R&amp;8 2012 LHJ Funding Summary
Compiled by DOH
Source: BARS A Report</first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showZeros="0" view="pageLayout" topLeftCell="A32" zoomScaleNormal="100" workbookViewId="0">
      <selection activeCell="B5" sqref="B5"/>
    </sheetView>
  </sheetViews>
  <sheetFormatPr defaultRowHeight="14.4" x14ac:dyDescent="0.3"/>
  <cols>
    <col min="1" max="1" width="7.33203125" customWidth="1"/>
    <col min="2" max="2" width="35.109375" bestFit="1" customWidth="1"/>
    <col min="3" max="12" width="11.6640625" customWidth="1"/>
  </cols>
  <sheetData>
    <row r="1" spans="1:12" x14ac:dyDescent="0.3">
      <c r="A1" s="22" t="s">
        <v>150</v>
      </c>
      <c r="B1" s="6"/>
      <c r="C1" s="31">
        <f>'Asotin Pgs 10-11'!C1+'Adams Pgs 8-9'!C1+'Benton-Franklin Pgs 12-13'!C1+'Chelan-Douglas Pgs 14-15'!C1+'Clallam Pgs 16-17'!C1+'Clark Pgs 18-19'!C1+'Columbia Pgs 20-21'!C1+'Cowlitz Pgs 22-23'!C1+'Garfield Pgs 24-25'!C1+'Grant Pgs 26-27'!C1+'Grays Harbor Pgs 28-29'!C1+'Island Pgs 30-31'!C1+'Jefferson Pgs 32-33'!C1+'Kitsap Pgs 34-35'!C1+'Kittitas Pgs 36-37'!C1+'Klickitat Pgs 38-39'!C1+'Lewis Pgs 40-41'!C1+'Lincoln Pgs 42-43'!C1+'Mason Pgs 44-45'!C1+'Northeast Tri Pgs 46-47'!C1+'Okanogan Pgs 48-49'!C1+'Pacific Pgs 50-51'!C1+'San Juan Pgs 52-53'!C1+'Seattle-King Pgs 54-55'!C1+'Skagit Pgs 56-57'!C1+'Skamania Pgs 58-59'!C1+'Snohomish Pgs 60-61'!C1+'Spokane Pgs 62-63'!C1+'Tacoma-Pierce Pgs 64-65'!C1+'Thurston Pgs 66-67'!C1+'Wahkiakum Pgs 68-69'!C1+'Walla Walla Pgs 70-71'!C1+'Whatcom Pgs 72-73'!C1+'Whitman Pgs 74-75'!C1+'Yakima Pgs 76-77'!C1</f>
        <v>6968170</v>
      </c>
      <c r="D1" s="4"/>
      <c r="E1" s="3"/>
      <c r="F1" s="3"/>
      <c r="G1" s="3"/>
      <c r="H1" s="3"/>
      <c r="I1" s="3"/>
      <c r="J1" s="3"/>
      <c r="K1" s="3"/>
      <c r="L1" s="3"/>
    </row>
    <row r="2" spans="1:12" x14ac:dyDescent="0.3">
      <c r="A2" s="80" t="s">
        <v>44</v>
      </c>
      <c r="B2" s="5"/>
      <c r="C2" s="164">
        <f>'Asotin Pgs 10-11'!C2+'Adams Pgs 8-9'!C2+'Benton-Franklin Pgs 12-13'!C2+'Chelan-Douglas Pgs 14-15'!C2+'Clallam Pgs 16-17'!C2+'Clark Pgs 18-19'!C2+'Columbia Pgs 20-21'!C2+'Cowlitz Pgs 22-23'!C2+'Garfield Pgs 24-25'!C2+'Grant Pgs 26-27'!C2+'Grays Harbor Pgs 28-29'!C2+'Island Pgs 30-31'!C2+'Jefferson Pgs 32-33'!C2+'Kitsap Pgs 34-35'!C2+'Kittitas Pgs 36-37'!C2+'Klickitat Pgs 38-39'!C2+'Lewis Pgs 40-41'!C2+'Lincoln Pgs 42-43'!C2+'Mason Pgs 44-45'!C2+'Northeast Tri Pgs 46-47'!C2+'Okanogan Pgs 48-49'!C2+'Pacific Pgs 50-51'!C2+'San Juan Pgs 52-53'!C2+'Seattle-King Pgs 54-55'!C2+'Skagit Pgs 56-57'!C2+'Skamania Pgs 58-59'!C2+'Snohomish Pgs 60-61'!C2+'Spokane Pgs 62-63'!C2+'Tacoma-Pierce Pgs 64-65'!C2+'Thurston Pgs 66-67'!C2+'Wahkiakum Pgs 68-69'!C2+'Walla Walla Pgs 70-71'!C2+'Whatcom Pgs 72-73'!C2+'Whitman Pgs 74-75'!C2+'Yakima Pgs 76-77'!C2</f>
        <v>2696.0799999999995</v>
      </c>
      <c r="D2" s="4"/>
      <c r="E2" s="3"/>
      <c r="F2" s="3"/>
      <c r="G2" s="3"/>
      <c r="H2" s="3"/>
      <c r="I2" s="5"/>
      <c r="J2" s="106"/>
      <c r="K2" s="5"/>
    </row>
    <row r="3" spans="1:12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99" t="s">
        <v>106</v>
      </c>
      <c r="K3" s="296"/>
      <c r="L3" s="135"/>
    </row>
    <row r="4" spans="1:12" ht="69.599999999999994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134" t="s">
        <v>3</v>
      </c>
      <c r="F4" s="145" t="s">
        <v>4</v>
      </c>
      <c r="G4" s="144" t="s">
        <v>5</v>
      </c>
      <c r="H4" s="143" t="s">
        <v>6</v>
      </c>
      <c r="I4" s="144" t="s">
        <v>105</v>
      </c>
      <c r="J4" s="143" t="s">
        <v>103</v>
      </c>
      <c r="K4" s="142" t="s">
        <v>8</v>
      </c>
      <c r="L4" s="134" t="s">
        <v>46</v>
      </c>
    </row>
    <row r="5" spans="1:12" x14ac:dyDescent="0.3">
      <c r="A5" s="36">
        <v>562.1</v>
      </c>
      <c r="B5" s="37" t="s">
        <v>47</v>
      </c>
      <c r="C5" s="165">
        <f>'Asotin Pgs 10-11'!C5+'Adams Pgs 8-9'!C5+'Benton-Franklin Pgs 12-13'!C5+'Chelan-Douglas Pgs 14-15'!C5+'Clallam Pgs 16-17'!C5+'Clark Pgs 18-19'!C5+'Columbia Pgs 20-21'!C5+'Cowlitz Pgs 22-23'!C5+'Garfield Pgs 24-25'!C5+'Grant Pgs 26-27'!C5+'Grays Harbor Pgs 28-29'!C5+'Island Pgs 30-31'!C5+'Jefferson Pgs 32-33'!C5+'Kitsap Pgs 34-35'!C5+'Kittitas Pgs 36-37'!C5+'Klickitat Pgs 38-39'!C5+'Lewis Pgs 40-41'!C5+'Lincoln Pgs 42-43'!C5+'Mason Pgs 44-45'!C5+'Northeast Tri Pgs 46-47'!C5+'Okanogan Pgs 48-49'!C5+'Pacific Pgs 50-51'!C5+'San Juan Pgs 52-53'!C5+'Seattle-King Pgs 54-55'!C5+'Skagit Pgs 56-57'!C5+'Skamania Pgs 58-59'!C5+'Snohomish Pgs 60-61'!C5+'Spokane Pgs 62-63'!C5+'Tacoma-Pierce Pgs 64-65'!C5+'Thurston Pgs 66-67'!C5+'Wahkiakum Pgs 68-69'!C5+'Walla Walla Pgs 70-71'!C5+'Whatcom Pgs 72-73'!C5+'Whitman Pgs 74-75'!C5+'Yakima Pgs 76-77'!C5</f>
        <v>55556808.839999996</v>
      </c>
      <c r="D5" s="38">
        <f>'Asotin Pgs 10-11'!D5+'Adams Pgs 8-9'!D5+'Benton-Franklin Pgs 12-13'!D5+'Chelan-Douglas Pgs 14-15'!D5+'Clallam Pgs 16-17'!D5+'Clark Pgs 18-19'!D5+'Columbia Pgs 20-21'!D5+'Cowlitz Pgs 22-23'!D5+'Garfield Pgs 24-25'!D5+'Grant Pgs 26-27'!D5+'Grays Harbor Pgs 28-29'!D5+'Island Pgs 30-31'!D5+'Jefferson Pgs 32-33'!D5+'Kitsap Pgs 34-35'!D5+'Kittitas Pgs 36-37'!D5+'Klickitat Pgs 38-39'!D5+'Lewis Pgs 40-41'!D5+'Lincoln Pgs 42-43'!D5+'Mason Pgs 44-45'!D5+'Northeast Tri Pgs 46-47'!D5+'Okanogan Pgs 48-49'!D5+'Pacific Pgs 50-51'!D5+'San Juan Pgs 52-53'!D5+'Seattle-King Pgs 54-55'!D5+'Skagit Pgs 56-57'!D5+'Skamania Pgs 58-59'!D5+'Snohomish Pgs 60-61'!D5+'Spokane Pgs 62-63'!D5+'Tacoma-Pierce Pgs 64-65'!D5+'Thurston Pgs 66-67'!D5+'Wahkiakum Pgs 68-69'!D5+'Walla Walla Pgs 70-71'!D5+'Whatcom Pgs 72-73'!D5+'Whitman Pgs 74-75'!D5+'Yakima Pgs 76-77'!D5</f>
        <v>36457623.880000003</v>
      </c>
      <c r="E5" s="168">
        <f>'Asotin Pgs 10-11'!E5+'Adams Pgs 8-9'!E5+'Benton-Franklin Pgs 12-13'!E5+'Chelan-Douglas Pgs 14-15'!E5+'Clallam Pgs 16-17'!E5+'Clark Pgs 18-19'!E5+'Columbia Pgs 20-21'!E5+'Cowlitz Pgs 22-23'!E5+'Garfield Pgs 24-25'!E5+'Grant Pgs 26-27'!E5+'Grays Harbor Pgs 28-29'!E5+'Island Pgs 30-31'!E5+'Jefferson Pgs 32-33'!E5+'Kitsap Pgs 34-35'!E5+'Kittitas Pgs 36-37'!E5+'Klickitat Pgs 38-39'!E5+'Lewis Pgs 40-41'!E5+'Lincoln Pgs 42-43'!E5+'Mason Pgs 44-45'!E5+'Northeast Tri Pgs 46-47'!E5+'Okanogan Pgs 48-49'!E5+'Pacific Pgs 50-51'!E5+'San Juan Pgs 52-53'!E5+'Seattle-King Pgs 54-55'!E5+'Skagit Pgs 56-57'!E5+'Skamania Pgs 58-59'!E5+'Snohomish Pgs 60-61'!E5+'Spokane Pgs 62-63'!E5+'Tacoma-Pierce Pgs 64-65'!E5+'Thurston Pgs 66-67'!E5+'Wahkiakum Pgs 68-69'!E5+'Walla Walla Pgs 70-71'!E5+'Whatcom Pgs 72-73'!E5+'Whitman Pgs 74-75'!E5+'Yakima Pgs 76-77'!E5</f>
        <v>0</v>
      </c>
      <c r="F5" s="21">
        <f>'Asotin Pgs 10-11'!F5+'Adams Pgs 8-9'!F5+'Benton-Franklin Pgs 12-13'!F5+'Chelan-Douglas Pgs 14-15'!F5+'Clallam Pgs 16-17'!F5+'Clark Pgs 18-19'!F5+'Columbia Pgs 20-21'!F5+'Cowlitz Pgs 22-23'!F5+'Garfield Pgs 24-25'!F5+'Grant Pgs 26-27'!F5+'Grays Harbor Pgs 28-29'!F5+'Island Pgs 30-31'!F5+'Jefferson Pgs 32-33'!F5+'Kitsap Pgs 34-35'!F5+'Kittitas Pgs 36-37'!F5+'Klickitat Pgs 38-39'!F5+'Lewis Pgs 40-41'!F5+'Lincoln Pgs 42-43'!F5+'Mason Pgs 44-45'!F5+'Northeast Tri Pgs 46-47'!F5+'Okanogan Pgs 48-49'!F5+'Pacific Pgs 50-51'!F5+'San Juan Pgs 52-53'!F5+'Seattle-King Pgs 54-55'!F5+'Skagit Pgs 56-57'!F5+'Skamania Pgs 58-59'!F5+'Snohomish Pgs 60-61'!F5+'Spokane Pgs 62-63'!F5+'Tacoma-Pierce Pgs 64-65'!F5+'Thurston Pgs 66-67'!F5+'Wahkiakum Pgs 68-69'!F5+'Walla Walla Pgs 70-71'!F5+'Whatcom Pgs 72-73'!F5+'Whitman Pgs 74-75'!F5+'Yakima Pgs 76-77'!F5</f>
        <v>5428502.2999999998</v>
      </c>
      <c r="G5" s="7">
        <f>'Asotin Pgs 10-11'!G5+'Adams Pgs 8-9'!G5+'Benton-Franklin Pgs 12-13'!G5+'Chelan-Douglas Pgs 14-15'!G5+'Clallam Pgs 16-17'!G5+'Clark Pgs 18-19'!G5+'Columbia Pgs 20-21'!G5+'Cowlitz Pgs 22-23'!G5+'Garfield Pgs 24-25'!G5+'Grant Pgs 26-27'!G5+'Grays Harbor Pgs 28-29'!G5+'Island Pgs 30-31'!G5+'Jefferson Pgs 32-33'!G5+'Kitsap Pgs 34-35'!G5+'Kittitas Pgs 36-37'!G5+'Klickitat Pgs 38-39'!G5+'Lewis Pgs 40-41'!G5+'Lincoln Pgs 42-43'!G5+'Mason Pgs 44-45'!G5+'Northeast Tri Pgs 46-47'!G5+'Okanogan Pgs 48-49'!G5+'Pacific Pgs 50-51'!G5+'San Juan Pgs 52-53'!G5+'Seattle-King Pgs 54-55'!G5+'Skagit Pgs 56-57'!G5+'Skamania Pgs 58-59'!G5+'Snohomish Pgs 60-61'!G5+'Spokane Pgs 62-63'!G5+'Tacoma-Pierce Pgs 64-65'!G5+'Thurston Pgs 66-67'!G5+'Wahkiakum Pgs 68-69'!G5+'Walla Walla Pgs 70-71'!G5+'Whatcom Pgs 72-73'!G5+'Whitman Pgs 74-75'!G5+'Yakima Pgs 76-77'!G5</f>
        <v>1010893</v>
      </c>
      <c r="H5" s="16">
        <f>'Asotin Pgs 10-11'!H5+'Adams Pgs 8-9'!H5+'Benton-Franklin Pgs 12-13'!H5+'Chelan-Douglas Pgs 14-15'!H5+'Clallam Pgs 16-17'!H5+'Clark Pgs 18-19'!H5+'Columbia Pgs 20-21'!H5+'Cowlitz Pgs 22-23'!H5+'Garfield Pgs 24-25'!H5+'Grant Pgs 26-27'!H5+'Grays Harbor Pgs 28-29'!H5+'Island Pgs 30-31'!H5+'Jefferson Pgs 32-33'!H5+'Kitsap Pgs 34-35'!H5+'Kittitas Pgs 36-37'!H5+'Klickitat Pgs 38-39'!H5+'Lewis Pgs 40-41'!H5+'Lincoln Pgs 42-43'!H5+'Mason Pgs 44-45'!H5+'Northeast Tri Pgs 46-47'!H5+'Okanogan Pgs 48-49'!H5+'Pacific Pgs 50-51'!H5+'San Juan Pgs 52-53'!H5+'Seattle-King Pgs 54-55'!H5+'Skagit Pgs 56-57'!H5+'Skamania Pgs 58-59'!H5+'Snohomish Pgs 60-61'!H5+'Spokane Pgs 62-63'!H5+'Tacoma-Pierce Pgs 64-65'!H5+'Thurston Pgs 66-67'!H5+'Wahkiakum Pgs 68-69'!H5+'Walla Walla Pgs 70-71'!H5+'Whatcom Pgs 72-73'!H5+'Whitman Pgs 74-75'!H5+'Yakima Pgs 76-77'!H5</f>
        <v>271421.86</v>
      </c>
      <c r="I5" s="7">
        <f>'Asotin Pgs 10-11'!I5+'Adams Pgs 8-9'!I5+'Benton-Franklin Pgs 12-13'!I5+'Chelan-Douglas Pgs 14-15'!I5+'Clallam Pgs 16-17'!I5+'Clark Pgs 18-19'!I5+'Columbia Pgs 20-21'!I5+'Cowlitz Pgs 22-23'!I5+'Garfield Pgs 24-25'!I5+'Grant Pgs 26-27'!I5+'Grays Harbor Pgs 28-29'!I5+'Island Pgs 30-31'!I5+'Jefferson Pgs 32-33'!I5+'Kitsap Pgs 34-35'!I5+'Kittitas Pgs 36-37'!I5+'Klickitat Pgs 38-39'!I5+'Lewis Pgs 40-41'!I5+'Lincoln Pgs 42-43'!I5+'Mason Pgs 44-45'!I5+'Northeast Tri Pgs 46-47'!I5+'Okanogan Pgs 48-49'!I5+'Pacific Pgs 50-51'!I5+'San Juan Pgs 52-53'!I5+'Seattle-King Pgs 54-55'!I5+'Skagit Pgs 56-57'!I5+'Skamania Pgs 58-59'!I5+'Snohomish Pgs 60-61'!I5+'Spokane Pgs 62-63'!I5+'Tacoma-Pierce Pgs 64-65'!I5+'Thurston Pgs 66-67'!I5+'Wahkiakum Pgs 68-69'!I5+'Walla Walla Pgs 70-71'!I5+'Whatcom Pgs 72-73'!I5+'Whitman Pgs 74-75'!I5+'Yakima Pgs 76-77'!I5</f>
        <v>855058.92</v>
      </c>
      <c r="J5" s="16">
        <f>'Asotin Pgs 10-11'!M5+'Adams Pgs 8-9'!M5+'Benton-Franklin Pgs 12-13'!M5+'Chelan-Douglas Pgs 14-15'!M5+'Clallam Pgs 16-17'!M5+'Clark Pgs 18-19'!M5+'Columbia Pgs 20-21'!M5+'Cowlitz Pgs 22-23'!M5+'Garfield Pgs 24-25'!M5+'Grant Pgs 26-27'!M5+'Grays Harbor Pgs 28-29'!M5+'Island Pgs 30-31'!M5+'Jefferson Pgs 32-33'!M5+'Kitsap Pgs 34-35'!M5+'Kittitas Pgs 36-37'!M5+'Klickitat Pgs 38-39'!M5+'Lewis Pgs 40-41'!M5+'Lincoln Pgs 42-43'!M5+'Mason Pgs 44-45'!M5+'Northeast Tri Pgs 46-47'!M5+'Okanogan Pgs 48-49'!M5+'Pacific Pgs 50-51'!M5+'San Juan Pgs 52-53'!M5+'Seattle-King Pgs 54-55'!M5+'Skagit Pgs 56-57'!M5+'Skamania Pgs 58-59'!M5+'Snohomish Pgs 60-61'!M5+'Spokane Pgs 62-63'!M5+'Tacoma-Pierce Pgs 64-65'!M5+'Thurston Pgs 66-67'!M5+'Wahkiakum Pgs 68-69'!M5+'Walla Walla Pgs 70-71'!M5+'Whatcom Pgs 72-73'!M5+'Whitman Pgs 74-75'!M5+'Yakima Pgs 76-77'!M5</f>
        <v>10784626.32</v>
      </c>
      <c r="K5" s="7">
        <f>'Asotin Pgs 10-11'!Q5+'Adams Pgs 8-9'!Q5+'Benton-Franklin Pgs 12-13'!Q5+'Chelan-Douglas Pgs 14-15'!Q5+'Clallam Pgs 16-17'!Q5+'Clark Pgs 18-19'!Q5+'Columbia Pgs 20-21'!Q5+'Cowlitz Pgs 22-23'!Q5+'Garfield Pgs 24-25'!Q5+'Grant Pgs 26-27'!Q5+'Grays Harbor Pgs 28-29'!Q5+'Island Pgs 30-31'!Q5+'Jefferson Pgs 32-33'!Q5+'Kitsap Pgs 34-35'!Q5+'Kittitas Pgs 36-37'!Q5+'Klickitat Pgs 38-39'!Q5+'Lewis Pgs 40-41'!Q5+'Lincoln Pgs 42-43'!Q5+'Mason Pgs 44-45'!Q5+'Northeast Tri Pgs 46-47'!Q5+'Okanogan Pgs 48-49'!Q5+'Pacific Pgs 50-51'!Q5+'San Juan Pgs 52-53'!Q5+'Seattle-King Pgs 54-55'!Q5+'Skagit Pgs 56-57'!Q5+'Skamania Pgs 58-59'!Q5+'Snohomish Pgs 60-61'!Q5+'Spokane Pgs 62-63'!Q5+'Tacoma-Pierce Pgs 64-65'!Q5+'Thurston Pgs 66-67'!Q5+'Wahkiakum Pgs 68-69'!Q5+'Walla Walla Pgs 70-71'!Q5+'Whatcom Pgs 72-73'!Q5+'Whitman Pgs 74-75'!Q5+'Yakima Pgs 76-77'!Q5</f>
        <v>2183840</v>
      </c>
      <c r="L5" s="15">
        <f>'Asotin Pgs 10-11'!R5+'Adams Pgs 8-9'!R5+'Benton-Franklin Pgs 12-13'!R5+'Chelan-Douglas Pgs 14-15'!R5+'Clallam Pgs 16-17'!R5+'Clark Pgs 18-19'!R5+'Columbia Pgs 20-21'!R5+'Cowlitz Pgs 22-23'!R5+'Garfield Pgs 24-25'!R5+'Grant Pgs 26-27'!R5+'Grays Harbor Pgs 28-29'!R5+'Island Pgs 30-31'!R5+'Jefferson Pgs 32-33'!R5+'Kitsap Pgs 34-35'!R5+'Kittitas Pgs 36-37'!R5+'Klickitat Pgs 38-39'!R5+'Lewis Pgs 40-41'!R5+'Lincoln Pgs 42-43'!R5+'Mason Pgs 44-45'!R5+'Northeast Tri Pgs 46-47'!R5+'Okanogan Pgs 48-49'!R5+'Pacific Pgs 50-51'!R5+'San Juan Pgs 52-53'!R5+'Seattle-King Pgs 54-55'!R5+'Skagit Pgs 56-57'!R5+'Skamania Pgs 58-59'!R5+'Snohomish Pgs 60-61'!R5+'Spokane Pgs 62-63'!R5+'Tacoma-Pierce Pgs 64-65'!R5+'Thurston Pgs 66-67'!R5+'Wahkiakum Pgs 68-69'!R5+'Walla Walla Pgs 70-71'!R5+'Whatcom Pgs 72-73'!R5+'Whitman Pgs 74-75'!R5+'Yakima Pgs 76-77'!R5</f>
        <v>15923281.48</v>
      </c>
    </row>
    <row r="6" spans="1:12" x14ac:dyDescent="0.3">
      <c r="A6" s="39">
        <v>562.21</v>
      </c>
      <c r="B6" s="40" t="s">
        <v>48</v>
      </c>
      <c r="C6" s="165">
        <f>'Asotin Pgs 10-11'!C6+'Adams Pgs 8-9'!C6+'Benton-Franklin Pgs 12-13'!C6+'Chelan-Douglas Pgs 14-15'!C6+'Clallam Pgs 16-17'!C6+'Clark Pgs 18-19'!C6+'Columbia Pgs 20-21'!C6+'Cowlitz Pgs 22-23'!C6+'Garfield Pgs 24-25'!C6+'Grant Pgs 26-27'!C6+'Grays Harbor Pgs 28-29'!C6+'Island Pgs 30-31'!C6+'Jefferson Pgs 32-33'!C6+'Kitsap Pgs 34-35'!C6+'Kittitas Pgs 36-37'!C6+'Klickitat Pgs 38-39'!C6+'Lewis Pgs 40-41'!C6+'Lincoln Pgs 42-43'!C6+'Mason Pgs 44-45'!C6+'Northeast Tri Pgs 46-47'!C6+'Okanogan Pgs 48-49'!C6+'Pacific Pgs 50-51'!C6+'San Juan Pgs 52-53'!C6+'Seattle-King Pgs 54-55'!C6+'Skagit Pgs 56-57'!C6+'Skamania Pgs 58-59'!C6+'Snohomish Pgs 60-61'!C6+'Spokane Pgs 62-63'!C6+'Tacoma-Pierce Pgs 64-65'!C6+'Thurston Pgs 66-67'!C6+'Wahkiakum Pgs 68-69'!C6+'Walla Walla Pgs 70-71'!C6+'Whatcom Pgs 72-73'!C6+'Whitman Pgs 74-75'!C6+'Yakima Pgs 76-77'!C6</f>
        <v>0</v>
      </c>
      <c r="D6" s="17">
        <f>'Asotin Pgs 10-11'!D6+'Adams Pgs 8-9'!D6+'Benton-Franklin Pgs 12-13'!D6+'Chelan-Douglas Pgs 14-15'!D6+'Clallam Pgs 16-17'!D6+'Clark Pgs 18-19'!D6+'Columbia Pgs 20-21'!D6+'Cowlitz Pgs 22-23'!D6+'Garfield Pgs 24-25'!D6+'Grant Pgs 26-27'!D6+'Grays Harbor Pgs 28-29'!D6+'Island Pgs 30-31'!D6+'Jefferson Pgs 32-33'!D6+'Kitsap Pgs 34-35'!D6+'Kittitas Pgs 36-37'!D6+'Klickitat Pgs 38-39'!D6+'Lewis Pgs 40-41'!D6+'Lincoln Pgs 42-43'!D6+'Mason Pgs 44-45'!D6+'Northeast Tri Pgs 46-47'!D6+'Okanogan Pgs 48-49'!D6+'Pacific Pgs 50-51'!D6+'San Juan Pgs 52-53'!D6+'Seattle-King Pgs 54-55'!D6+'Skagit Pgs 56-57'!D6+'Skamania Pgs 58-59'!D6+'Snohomish Pgs 60-61'!D6+'Spokane Pgs 62-63'!D6+'Tacoma-Pierce Pgs 64-65'!D6+'Thurston Pgs 66-67'!D6+'Wahkiakum Pgs 68-69'!D6+'Walla Walla Pgs 70-71'!D6+'Whatcom Pgs 72-73'!D6+'Whitman Pgs 74-75'!D6+'Yakima Pgs 76-77'!D6</f>
        <v>0</v>
      </c>
      <c r="E6" s="165">
        <f>'Asotin Pgs 10-11'!E6+'Adams Pgs 8-9'!E6+'Benton-Franklin Pgs 12-13'!E6+'Chelan-Douglas Pgs 14-15'!E6+'Clallam Pgs 16-17'!E6+'Clark Pgs 18-19'!E6+'Columbia Pgs 20-21'!E6+'Cowlitz Pgs 22-23'!E6+'Garfield Pgs 24-25'!E6+'Grant Pgs 26-27'!E6+'Grays Harbor Pgs 28-29'!E6+'Island Pgs 30-31'!E6+'Jefferson Pgs 32-33'!E6+'Kitsap Pgs 34-35'!E6+'Kittitas Pgs 36-37'!E6+'Klickitat Pgs 38-39'!E6+'Lewis Pgs 40-41'!E6+'Lincoln Pgs 42-43'!E6+'Mason Pgs 44-45'!E6+'Northeast Tri Pgs 46-47'!E6+'Okanogan Pgs 48-49'!E6+'Pacific Pgs 50-51'!E6+'San Juan Pgs 52-53'!E6+'Seattle-King Pgs 54-55'!E6+'Skagit Pgs 56-57'!E6+'Skamania Pgs 58-59'!E6+'Snohomish Pgs 60-61'!E6+'Spokane Pgs 62-63'!E6+'Tacoma-Pierce Pgs 64-65'!E6+'Thurston Pgs 66-67'!E6+'Wahkiakum Pgs 68-69'!E6+'Walla Walla Pgs 70-71'!E6+'Whatcom Pgs 72-73'!E6+'Whitman Pgs 74-75'!E6+'Yakima Pgs 76-77'!E6</f>
        <v>0</v>
      </c>
      <c r="F6" s="8">
        <f>'Asotin Pgs 10-11'!F6+'Adams Pgs 8-9'!F6+'Benton-Franklin Pgs 12-13'!F6+'Chelan-Douglas Pgs 14-15'!F6+'Clallam Pgs 16-17'!F6+'Clark Pgs 18-19'!F6+'Columbia Pgs 20-21'!F6+'Cowlitz Pgs 22-23'!F6+'Garfield Pgs 24-25'!F6+'Grant Pgs 26-27'!F6+'Grays Harbor Pgs 28-29'!F6+'Island Pgs 30-31'!F6+'Jefferson Pgs 32-33'!F6+'Kitsap Pgs 34-35'!F6+'Kittitas Pgs 36-37'!F6+'Klickitat Pgs 38-39'!F6+'Lewis Pgs 40-41'!F6+'Lincoln Pgs 42-43'!F6+'Mason Pgs 44-45'!F6+'Northeast Tri Pgs 46-47'!F6+'Okanogan Pgs 48-49'!F6+'Pacific Pgs 50-51'!F6+'San Juan Pgs 52-53'!F6+'Seattle-King Pgs 54-55'!F6+'Skagit Pgs 56-57'!F6+'Skamania Pgs 58-59'!F6+'Snohomish Pgs 60-61'!F6+'Spokane Pgs 62-63'!F6+'Tacoma-Pierce Pgs 64-65'!F6+'Thurston Pgs 66-67'!F6+'Wahkiakum Pgs 68-69'!F6+'Walla Walla Pgs 70-71'!F6+'Whatcom Pgs 72-73'!F6+'Whitman Pgs 74-75'!F6+'Yakima Pgs 76-77'!F6</f>
        <v>0</v>
      </c>
      <c r="G6" s="7">
        <f>'Asotin Pgs 10-11'!G6+'Adams Pgs 8-9'!G6+'Benton-Franklin Pgs 12-13'!G6+'Chelan-Douglas Pgs 14-15'!G6+'Clallam Pgs 16-17'!G6+'Clark Pgs 18-19'!G6+'Columbia Pgs 20-21'!G6+'Cowlitz Pgs 22-23'!G6+'Garfield Pgs 24-25'!G6+'Grant Pgs 26-27'!G6+'Grays Harbor Pgs 28-29'!G6+'Island Pgs 30-31'!G6+'Jefferson Pgs 32-33'!G6+'Kitsap Pgs 34-35'!G6+'Kittitas Pgs 36-37'!G6+'Klickitat Pgs 38-39'!G6+'Lewis Pgs 40-41'!G6+'Lincoln Pgs 42-43'!G6+'Mason Pgs 44-45'!G6+'Northeast Tri Pgs 46-47'!G6+'Okanogan Pgs 48-49'!G6+'Pacific Pgs 50-51'!G6+'San Juan Pgs 52-53'!G6+'Seattle-King Pgs 54-55'!G6+'Skagit Pgs 56-57'!G6+'Skamania Pgs 58-59'!G6+'Snohomish Pgs 60-61'!G6+'Spokane Pgs 62-63'!G6+'Tacoma-Pierce Pgs 64-65'!G6+'Thurston Pgs 66-67'!G6+'Wahkiakum Pgs 68-69'!G6+'Walla Walla Pgs 70-71'!G6+'Whatcom Pgs 72-73'!G6+'Whitman Pgs 74-75'!G6+'Yakima Pgs 76-77'!G6</f>
        <v>0</v>
      </c>
      <c r="H6" s="15">
        <f>'Asotin Pgs 10-11'!H6+'Adams Pgs 8-9'!H6+'Benton-Franklin Pgs 12-13'!H6+'Chelan-Douglas Pgs 14-15'!H6+'Clallam Pgs 16-17'!H6+'Clark Pgs 18-19'!H6+'Columbia Pgs 20-21'!H6+'Cowlitz Pgs 22-23'!H6+'Garfield Pgs 24-25'!H6+'Grant Pgs 26-27'!H6+'Grays Harbor Pgs 28-29'!H6+'Island Pgs 30-31'!H6+'Jefferson Pgs 32-33'!H6+'Kitsap Pgs 34-35'!H6+'Kittitas Pgs 36-37'!H6+'Klickitat Pgs 38-39'!H6+'Lewis Pgs 40-41'!H6+'Lincoln Pgs 42-43'!H6+'Mason Pgs 44-45'!H6+'Northeast Tri Pgs 46-47'!H6+'Okanogan Pgs 48-49'!H6+'Pacific Pgs 50-51'!H6+'San Juan Pgs 52-53'!H6+'Seattle-King Pgs 54-55'!H6+'Skagit Pgs 56-57'!H6+'Skamania Pgs 58-59'!H6+'Snohomish Pgs 60-61'!H6+'Spokane Pgs 62-63'!H6+'Tacoma-Pierce Pgs 64-65'!H6+'Thurston Pgs 66-67'!H6+'Wahkiakum Pgs 68-69'!H6+'Walla Walla Pgs 70-71'!H6+'Whatcom Pgs 72-73'!H6+'Whitman Pgs 74-75'!H6+'Yakima Pgs 76-77'!H6</f>
        <v>0</v>
      </c>
      <c r="I6" s="7">
        <f>'Asotin Pgs 10-11'!I6+'Adams Pgs 8-9'!I6+'Benton-Franklin Pgs 12-13'!I6+'Chelan-Douglas Pgs 14-15'!I6+'Clallam Pgs 16-17'!I6+'Clark Pgs 18-19'!I6+'Columbia Pgs 20-21'!I6+'Cowlitz Pgs 22-23'!I6+'Garfield Pgs 24-25'!I6+'Grant Pgs 26-27'!I6+'Grays Harbor Pgs 28-29'!I6+'Island Pgs 30-31'!I6+'Jefferson Pgs 32-33'!I6+'Kitsap Pgs 34-35'!I6+'Kittitas Pgs 36-37'!I6+'Klickitat Pgs 38-39'!I6+'Lewis Pgs 40-41'!I6+'Lincoln Pgs 42-43'!I6+'Mason Pgs 44-45'!I6+'Northeast Tri Pgs 46-47'!I6+'Okanogan Pgs 48-49'!I6+'Pacific Pgs 50-51'!I6+'San Juan Pgs 52-53'!I6+'Seattle-King Pgs 54-55'!I6+'Skagit Pgs 56-57'!I6+'Skamania Pgs 58-59'!I6+'Snohomish Pgs 60-61'!I6+'Spokane Pgs 62-63'!I6+'Tacoma-Pierce Pgs 64-65'!I6+'Thurston Pgs 66-67'!I6+'Wahkiakum Pgs 68-69'!I6+'Walla Walla Pgs 70-71'!I6+'Whatcom Pgs 72-73'!I6+'Whitman Pgs 74-75'!I6+'Yakima Pgs 76-77'!I6</f>
        <v>0</v>
      </c>
      <c r="J6" s="15">
        <f>'Asotin Pgs 10-11'!M6+'Adams Pgs 8-9'!M6+'Benton-Franklin Pgs 12-13'!M6+'Chelan-Douglas Pgs 14-15'!M6+'Clallam Pgs 16-17'!M6+'Clark Pgs 18-19'!M6+'Columbia Pgs 20-21'!M6+'Cowlitz Pgs 22-23'!M6+'Garfield Pgs 24-25'!M6+'Grant Pgs 26-27'!M6+'Grays Harbor Pgs 28-29'!M6+'Island Pgs 30-31'!M6+'Jefferson Pgs 32-33'!M6+'Kitsap Pgs 34-35'!M6+'Kittitas Pgs 36-37'!M6+'Klickitat Pgs 38-39'!M6+'Lewis Pgs 40-41'!M6+'Lincoln Pgs 42-43'!M6+'Mason Pgs 44-45'!M6+'Northeast Tri Pgs 46-47'!M6+'Okanogan Pgs 48-49'!M6+'Pacific Pgs 50-51'!M6+'San Juan Pgs 52-53'!M6+'Seattle-King Pgs 54-55'!M6+'Skagit Pgs 56-57'!M6+'Skamania Pgs 58-59'!M6+'Snohomish Pgs 60-61'!M6+'Spokane Pgs 62-63'!M6+'Tacoma-Pierce Pgs 64-65'!M6+'Thurston Pgs 66-67'!M6+'Wahkiakum Pgs 68-69'!M6+'Walla Walla Pgs 70-71'!M6+'Whatcom Pgs 72-73'!M6+'Whitman Pgs 74-75'!M6+'Yakima Pgs 76-77'!M6</f>
        <v>0</v>
      </c>
      <c r="K6" s="7">
        <f>'Asotin Pgs 10-11'!Q6+'Adams Pgs 8-9'!Q6+'Benton-Franklin Pgs 12-13'!Q6+'Chelan-Douglas Pgs 14-15'!Q6+'Clallam Pgs 16-17'!Q6+'Clark Pgs 18-19'!Q6+'Columbia Pgs 20-21'!Q6+'Cowlitz Pgs 22-23'!Q6+'Garfield Pgs 24-25'!Q6+'Grant Pgs 26-27'!Q6+'Grays Harbor Pgs 28-29'!Q6+'Island Pgs 30-31'!Q6+'Jefferson Pgs 32-33'!Q6+'Kitsap Pgs 34-35'!Q6+'Kittitas Pgs 36-37'!Q6+'Klickitat Pgs 38-39'!Q6+'Lewis Pgs 40-41'!Q6+'Lincoln Pgs 42-43'!Q6+'Mason Pgs 44-45'!Q6+'Northeast Tri Pgs 46-47'!Q6+'Okanogan Pgs 48-49'!Q6+'Pacific Pgs 50-51'!Q6+'San Juan Pgs 52-53'!Q6+'Seattle-King Pgs 54-55'!Q6+'Skagit Pgs 56-57'!Q6+'Skamania Pgs 58-59'!Q6+'Snohomish Pgs 60-61'!Q6+'Spokane Pgs 62-63'!Q6+'Tacoma-Pierce Pgs 64-65'!Q6+'Thurston Pgs 66-67'!Q6+'Wahkiakum Pgs 68-69'!Q6+'Walla Walla Pgs 70-71'!Q6+'Whatcom Pgs 72-73'!Q6+'Whitman Pgs 74-75'!Q6+'Yakima Pgs 76-77'!Q6</f>
        <v>0</v>
      </c>
      <c r="L6" s="15">
        <f>'Asotin Pgs 10-11'!R6+'Adams Pgs 8-9'!R6+'Benton-Franklin Pgs 12-13'!R6+'Chelan-Douglas Pgs 14-15'!R6+'Clallam Pgs 16-17'!R6+'Clark Pgs 18-19'!R6+'Columbia Pgs 20-21'!R6+'Cowlitz Pgs 22-23'!R6+'Garfield Pgs 24-25'!R6+'Grant Pgs 26-27'!R6+'Grays Harbor Pgs 28-29'!R6+'Island Pgs 30-31'!R6+'Jefferson Pgs 32-33'!R6+'Kitsap Pgs 34-35'!R6+'Kittitas Pgs 36-37'!R6+'Klickitat Pgs 38-39'!R6+'Lewis Pgs 40-41'!R6+'Lincoln Pgs 42-43'!R6+'Mason Pgs 44-45'!R6+'Northeast Tri Pgs 46-47'!R6+'Okanogan Pgs 48-49'!R6+'Pacific Pgs 50-51'!R6+'San Juan Pgs 52-53'!R6+'Seattle-King Pgs 54-55'!R6+'Skagit Pgs 56-57'!R6+'Skamania Pgs 58-59'!R6+'Snohomish Pgs 60-61'!R6+'Spokane Pgs 62-63'!R6+'Tacoma-Pierce Pgs 64-65'!R6+'Thurston Pgs 66-67'!R6+'Wahkiakum Pgs 68-69'!R6+'Walla Walla Pgs 70-71'!R6+'Whatcom Pgs 72-73'!R6+'Whitman Pgs 74-75'!R6+'Yakima Pgs 76-77'!R6</f>
        <v>0</v>
      </c>
    </row>
    <row r="7" spans="1:12" x14ac:dyDescent="0.3">
      <c r="A7" s="39">
        <v>562.22</v>
      </c>
      <c r="B7" s="141" t="s">
        <v>92</v>
      </c>
      <c r="C7" s="165">
        <f>'Asotin Pgs 10-11'!C7+'Adams Pgs 8-9'!C7+'Benton-Franklin Pgs 12-13'!C7+'Chelan-Douglas Pgs 14-15'!C7+'Clallam Pgs 16-17'!C7+'Clark Pgs 18-19'!C7+'Columbia Pgs 20-21'!C7+'Cowlitz Pgs 22-23'!C7+'Garfield Pgs 24-25'!C7+'Grant Pgs 26-27'!C7+'Grays Harbor Pgs 28-29'!C7+'Island Pgs 30-31'!C7+'Jefferson Pgs 32-33'!C7+'Kitsap Pgs 34-35'!C7+'Kittitas Pgs 36-37'!C7+'Klickitat Pgs 38-39'!C7+'Lewis Pgs 40-41'!C7+'Lincoln Pgs 42-43'!C7+'Mason Pgs 44-45'!C7+'Northeast Tri Pgs 46-47'!C7+'Okanogan Pgs 48-49'!C7+'Pacific Pgs 50-51'!C7+'San Juan Pgs 52-53'!C7+'Seattle-King Pgs 54-55'!C7+'Skagit Pgs 56-57'!C7+'Skamania Pgs 58-59'!C7+'Snohomish Pgs 60-61'!C7+'Spokane Pgs 62-63'!C7+'Tacoma-Pierce Pgs 64-65'!C7+'Thurston Pgs 66-67'!C7+'Wahkiakum Pgs 68-69'!C7+'Walla Walla Pgs 70-71'!C7+'Whatcom Pgs 72-73'!C7+'Whitman Pgs 74-75'!C7+'Yakima Pgs 76-77'!C7</f>
        <v>30117423.289999999</v>
      </c>
      <c r="D7" s="17">
        <f>'Asotin Pgs 10-11'!D7+'Adams Pgs 8-9'!D7+'Benton-Franklin Pgs 12-13'!D7+'Chelan-Douglas Pgs 14-15'!D7+'Clallam Pgs 16-17'!D7+'Clark Pgs 18-19'!D7+'Columbia Pgs 20-21'!D7+'Cowlitz Pgs 22-23'!D7+'Garfield Pgs 24-25'!D7+'Grant Pgs 26-27'!D7+'Grays Harbor Pgs 28-29'!D7+'Island Pgs 30-31'!D7+'Jefferson Pgs 32-33'!D7+'Kitsap Pgs 34-35'!D7+'Kittitas Pgs 36-37'!D7+'Klickitat Pgs 38-39'!D7+'Lewis Pgs 40-41'!D7+'Lincoln Pgs 42-43'!D7+'Mason Pgs 44-45'!D7+'Northeast Tri Pgs 46-47'!D7+'Okanogan Pgs 48-49'!D7+'Pacific Pgs 50-51'!D7+'San Juan Pgs 52-53'!D7+'Seattle-King Pgs 54-55'!D7+'Skagit Pgs 56-57'!D7+'Skamania Pgs 58-59'!D7+'Snohomish Pgs 60-61'!D7+'Spokane Pgs 62-63'!D7+'Tacoma-Pierce Pgs 64-65'!D7+'Thurston Pgs 66-67'!D7+'Wahkiakum Pgs 68-69'!D7+'Walla Walla Pgs 70-71'!D7+'Whatcom Pgs 72-73'!D7+'Whitman Pgs 74-75'!D7+'Yakima Pgs 76-77'!D7</f>
        <v>39820997.539999999</v>
      </c>
      <c r="E7" s="165">
        <f>'Asotin Pgs 10-11'!E7+'Adams Pgs 8-9'!E7+'Benton-Franklin Pgs 12-13'!E7+'Chelan-Douglas Pgs 14-15'!E7+'Clallam Pgs 16-17'!E7+'Clark Pgs 18-19'!E7+'Columbia Pgs 20-21'!E7+'Cowlitz Pgs 22-23'!E7+'Garfield Pgs 24-25'!E7+'Grant Pgs 26-27'!E7+'Grays Harbor Pgs 28-29'!E7+'Island Pgs 30-31'!E7+'Jefferson Pgs 32-33'!E7+'Kitsap Pgs 34-35'!E7+'Kittitas Pgs 36-37'!E7+'Klickitat Pgs 38-39'!E7+'Lewis Pgs 40-41'!E7+'Lincoln Pgs 42-43'!E7+'Mason Pgs 44-45'!E7+'Northeast Tri Pgs 46-47'!E7+'Okanogan Pgs 48-49'!E7+'Pacific Pgs 50-51'!E7+'San Juan Pgs 52-53'!E7+'Seattle-King Pgs 54-55'!E7+'Skagit Pgs 56-57'!E7+'Skamania Pgs 58-59'!E7+'Snohomish Pgs 60-61'!E7+'Spokane Pgs 62-63'!E7+'Tacoma-Pierce Pgs 64-65'!E7+'Thurston Pgs 66-67'!E7+'Wahkiakum Pgs 68-69'!E7+'Walla Walla Pgs 70-71'!E7+'Whatcom Pgs 72-73'!E7+'Whitman Pgs 74-75'!E7+'Yakima Pgs 76-77'!E7</f>
        <v>31518.6</v>
      </c>
      <c r="F7" s="8">
        <f>'Asotin Pgs 10-11'!F7+'Adams Pgs 8-9'!F7+'Benton-Franklin Pgs 12-13'!F7+'Chelan-Douglas Pgs 14-15'!F7+'Clallam Pgs 16-17'!F7+'Clark Pgs 18-19'!F7+'Columbia Pgs 20-21'!F7+'Cowlitz Pgs 22-23'!F7+'Garfield Pgs 24-25'!F7+'Grant Pgs 26-27'!F7+'Grays Harbor Pgs 28-29'!F7+'Island Pgs 30-31'!F7+'Jefferson Pgs 32-33'!F7+'Kitsap Pgs 34-35'!F7+'Kittitas Pgs 36-37'!F7+'Klickitat Pgs 38-39'!F7+'Lewis Pgs 40-41'!F7+'Lincoln Pgs 42-43'!F7+'Mason Pgs 44-45'!F7+'Northeast Tri Pgs 46-47'!F7+'Okanogan Pgs 48-49'!F7+'Pacific Pgs 50-51'!F7+'San Juan Pgs 52-53'!F7+'Seattle-King Pgs 54-55'!F7+'Skagit Pgs 56-57'!F7+'Skamania Pgs 58-59'!F7+'Snohomish Pgs 60-61'!F7+'Spokane Pgs 62-63'!F7+'Tacoma-Pierce Pgs 64-65'!F7+'Thurston Pgs 66-67'!F7+'Wahkiakum Pgs 68-69'!F7+'Walla Walla Pgs 70-71'!F7+'Whatcom Pgs 72-73'!F7+'Whitman Pgs 74-75'!F7+'Yakima Pgs 76-77'!F7</f>
        <v>4355662</v>
      </c>
      <c r="G7" s="7">
        <f>'Asotin Pgs 10-11'!G7+'Adams Pgs 8-9'!G7+'Benton-Franklin Pgs 12-13'!G7+'Chelan-Douglas Pgs 14-15'!G7+'Clallam Pgs 16-17'!G7+'Clark Pgs 18-19'!G7+'Columbia Pgs 20-21'!G7+'Cowlitz Pgs 22-23'!G7+'Garfield Pgs 24-25'!G7+'Grant Pgs 26-27'!G7+'Grays Harbor Pgs 28-29'!G7+'Island Pgs 30-31'!G7+'Jefferson Pgs 32-33'!G7+'Kitsap Pgs 34-35'!G7+'Kittitas Pgs 36-37'!G7+'Klickitat Pgs 38-39'!G7+'Lewis Pgs 40-41'!G7+'Lincoln Pgs 42-43'!G7+'Mason Pgs 44-45'!G7+'Northeast Tri Pgs 46-47'!G7+'Okanogan Pgs 48-49'!G7+'Pacific Pgs 50-51'!G7+'San Juan Pgs 52-53'!G7+'Seattle-King Pgs 54-55'!G7+'Skagit Pgs 56-57'!G7+'Skamania Pgs 58-59'!G7+'Snohomish Pgs 60-61'!G7+'Spokane Pgs 62-63'!G7+'Tacoma-Pierce Pgs 64-65'!G7+'Thurston Pgs 66-67'!G7+'Wahkiakum Pgs 68-69'!G7+'Walla Walla Pgs 70-71'!G7+'Whatcom Pgs 72-73'!G7+'Whitman Pgs 74-75'!G7+'Yakima Pgs 76-77'!G7</f>
        <v>1458556.8900000001</v>
      </c>
      <c r="H7" s="15">
        <f>'Asotin Pgs 10-11'!H7+'Adams Pgs 8-9'!H7+'Benton-Franklin Pgs 12-13'!H7+'Chelan-Douglas Pgs 14-15'!H7+'Clallam Pgs 16-17'!H7+'Clark Pgs 18-19'!H7+'Columbia Pgs 20-21'!H7+'Cowlitz Pgs 22-23'!H7+'Garfield Pgs 24-25'!H7+'Grant Pgs 26-27'!H7+'Grays Harbor Pgs 28-29'!H7+'Island Pgs 30-31'!H7+'Jefferson Pgs 32-33'!H7+'Kitsap Pgs 34-35'!H7+'Kittitas Pgs 36-37'!H7+'Klickitat Pgs 38-39'!H7+'Lewis Pgs 40-41'!H7+'Lincoln Pgs 42-43'!H7+'Mason Pgs 44-45'!H7+'Northeast Tri Pgs 46-47'!H7+'Okanogan Pgs 48-49'!H7+'Pacific Pgs 50-51'!H7+'San Juan Pgs 52-53'!H7+'Seattle-King Pgs 54-55'!H7+'Skagit Pgs 56-57'!H7+'Skamania Pgs 58-59'!H7+'Snohomish Pgs 60-61'!H7+'Spokane Pgs 62-63'!H7+'Tacoma-Pierce Pgs 64-65'!H7+'Thurston Pgs 66-67'!H7+'Wahkiakum Pgs 68-69'!H7+'Walla Walla Pgs 70-71'!H7+'Whatcom Pgs 72-73'!H7+'Whitman Pgs 74-75'!H7+'Yakima Pgs 76-77'!H7</f>
        <v>5266900.33</v>
      </c>
      <c r="I7" s="7">
        <f>'Asotin Pgs 10-11'!I7+'Adams Pgs 8-9'!I7+'Benton-Franklin Pgs 12-13'!I7+'Chelan-Douglas Pgs 14-15'!I7+'Clallam Pgs 16-17'!I7+'Clark Pgs 18-19'!I7+'Columbia Pgs 20-21'!I7+'Cowlitz Pgs 22-23'!I7+'Garfield Pgs 24-25'!I7+'Grant Pgs 26-27'!I7+'Grays Harbor Pgs 28-29'!I7+'Island Pgs 30-31'!I7+'Jefferson Pgs 32-33'!I7+'Kitsap Pgs 34-35'!I7+'Kittitas Pgs 36-37'!I7+'Klickitat Pgs 38-39'!I7+'Lewis Pgs 40-41'!I7+'Lincoln Pgs 42-43'!I7+'Mason Pgs 44-45'!I7+'Northeast Tri Pgs 46-47'!I7+'Okanogan Pgs 48-49'!I7+'Pacific Pgs 50-51'!I7+'San Juan Pgs 52-53'!I7+'Seattle-King Pgs 54-55'!I7+'Skagit Pgs 56-57'!I7+'Skamania Pgs 58-59'!I7+'Snohomish Pgs 60-61'!I7+'Spokane Pgs 62-63'!I7+'Tacoma-Pierce Pgs 64-65'!I7+'Thurston Pgs 66-67'!I7+'Wahkiakum Pgs 68-69'!I7+'Walla Walla Pgs 70-71'!I7+'Whatcom Pgs 72-73'!I7+'Whitman Pgs 74-75'!I7+'Yakima Pgs 76-77'!I7</f>
        <v>1536989.26</v>
      </c>
      <c r="J7" s="15">
        <f>'Asotin Pgs 10-11'!M7+'Adams Pgs 8-9'!M7+'Benton-Franklin Pgs 12-13'!M7+'Chelan-Douglas Pgs 14-15'!M7+'Clallam Pgs 16-17'!M7+'Clark Pgs 18-19'!M7+'Columbia Pgs 20-21'!M7+'Cowlitz Pgs 22-23'!M7+'Garfield Pgs 24-25'!M7+'Grant Pgs 26-27'!M7+'Grays Harbor Pgs 28-29'!M7+'Island Pgs 30-31'!M7+'Jefferson Pgs 32-33'!M7+'Kitsap Pgs 34-35'!M7+'Kittitas Pgs 36-37'!M7+'Klickitat Pgs 38-39'!M7+'Lewis Pgs 40-41'!M7+'Lincoln Pgs 42-43'!M7+'Mason Pgs 44-45'!M7+'Northeast Tri Pgs 46-47'!M7+'Okanogan Pgs 48-49'!M7+'Pacific Pgs 50-51'!M7+'San Juan Pgs 52-53'!M7+'Seattle-King Pgs 54-55'!M7+'Skagit Pgs 56-57'!M7+'Skamania Pgs 58-59'!M7+'Snohomish Pgs 60-61'!M7+'Spokane Pgs 62-63'!M7+'Tacoma-Pierce Pgs 64-65'!M7+'Thurston Pgs 66-67'!M7+'Wahkiakum Pgs 68-69'!M7+'Walla Walla Pgs 70-71'!M7+'Whatcom Pgs 72-73'!M7+'Whitman Pgs 74-75'!M7+'Yakima Pgs 76-77'!M7</f>
        <v>6562023</v>
      </c>
      <c r="K7" s="7">
        <f>'Asotin Pgs 10-11'!Q7+'Adams Pgs 8-9'!Q7+'Benton-Franklin Pgs 12-13'!Q7+'Chelan-Douglas Pgs 14-15'!Q7+'Clallam Pgs 16-17'!Q7+'Clark Pgs 18-19'!Q7+'Columbia Pgs 20-21'!Q7+'Cowlitz Pgs 22-23'!Q7+'Garfield Pgs 24-25'!Q7+'Grant Pgs 26-27'!Q7+'Grays Harbor Pgs 28-29'!Q7+'Island Pgs 30-31'!Q7+'Jefferson Pgs 32-33'!Q7+'Kitsap Pgs 34-35'!Q7+'Kittitas Pgs 36-37'!Q7+'Klickitat Pgs 38-39'!Q7+'Lewis Pgs 40-41'!Q7+'Lincoln Pgs 42-43'!Q7+'Mason Pgs 44-45'!Q7+'Northeast Tri Pgs 46-47'!Q7+'Okanogan Pgs 48-49'!Q7+'Pacific Pgs 50-51'!Q7+'San Juan Pgs 52-53'!Q7+'Seattle-King Pgs 54-55'!Q7+'Skagit Pgs 56-57'!Q7+'Skamania Pgs 58-59'!Q7+'Snohomish Pgs 60-61'!Q7+'Spokane Pgs 62-63'!Q7+'Tacoma-Pierce Pgs 64-65'!Q7+'Thurston Pgs 66-67'!Q7+'Wahkiakum Pgs 68-69'!Q7+'Walla Walla Pgs 70-71'!Q7+'Whatcom Pgs 72-73'!Q7+'Whitman Pgs 74-75'!Q7+'Yakima Pgs 76-77'!Q7</f>
        <v>19384021.510000002</v>
      </c>
      <c r="L7" s="15">
        <f>'Asotin Pgs 10-11'!R7+'Adams Pgs 8-9'!R7+'Benton-Franklin Pgs 12-13'!R7+'Chelan-Douglas Pgs 14-15'!R7+'Clallam Pgs 16-17'!R7+'Clark Pgs 18-19'!R7+'Columbia Pgs 20-21'!R7+'Cowlitz Pgs 22-23'!R7+'Garfield Pgs 24-25'!R7+'Grant Pgs 26-27'!R7+'Grays Harbor Pgs 28-29'!R7+'Island Pgs 30-31'!R7+'Jefferson Pgs 32-33'!R7+'Kitsap Pgs 34-35'!R7+'Kittitas Pgs 36-37'!R7+'Klickitat Pgs 38-39'!R7+'Lewis Pgs 40-41'!R7+'Lincoln Pgs 42-43'!R7+'Mason Pgs 44-45'!R7+'Northeast Tri Pgs 46-47'!R7+'Okanogan Pgs 48-49'!R7+'Pacific Pgs 50-51'!R7+'San Juan Pgs 52-53'!R7+'Seattle-King Pgs 54-55'!R7+'Skagit Pgs 56-57'!R7+'Skamania Pgs 58-59'!R7+'Snohomish Pgs 60-61'!R7+'Spokane Pgs 62-63'!R7+'Tacoma-Pierce Pgs 64-65'!R7+'Thurston Pgs 66-67'!R7+'Wahkiakum Pgs 68-69'!R7+'Walla Walla Pgs 70-71'!R7+'Whatcom Pgs 72-73'!R7+'Whitman Pgs 74-75'!R7+'Yakima Pgs 76-77'!R7</f>
        <v>1225325.95</v>
      </c>
    </row>
    <row r="8" spans="1:12" x14ac:dyDescent="0.3">
      <c r="A8" s="39">
        <v>562.24</v>
      </c>
      <c r="B8" s="40" t="s">
        <v>49</v>
      </c>
      <c r="C8" s="165">
        <f>'Asotin Pgs 10-11'!C8+'Adams Pgs 8-9'!C8+'Benton-Franklin Pgs 12-13'!C8+'Chelan-Douglas Pgs 14-15'!C8+'Clallam Pgs 16-17'!C8+'Clark Pgs 18-19'!C8+'Columbia Pgs 20-21'!C8+'Cowlitz Pgs 22-23'!C8+'Garfield Pgs 24-25'!C8+'Grant Pgs 26-27'!C8+'Grays Harbor Pgs 28-29'!C8+'Island Pgs 30-31'!C8+'Jefferson Pgs 32-33'!C8+'Kitsap Pgs 34-35'!C8+'Kittitas Pgs 36-37'!C8+'Klickitat Pgs 38-39'!C8+'Lewis Pgs 40-41'!C8+'Lincoln Pgs 42-43'!C8+'Mason Pgs 44-45'!C8+'Northeast Tri Pgs 46-47'!C8+'Okanogan Pgs 48-49'!C8+'Pacific Pgs 50-51'!C8+'San Juan Pgs 52-53'!C8+'Seattle-King Pgs 54-55'!C8+'Skagit Pgs 56-57'!C8+'Skamania Pgs 58-59'!C8+'Snohomish Pgs 60-61'!C8+'Spokane Pgs 62-63'!C8+'Tacoma-Pierce Pgs 64-65'!C8+'Thurston Pgs 66-67'!C8+'Wahkiakum Pgs 68-69'!C8+'Walla Walla Pgs 70-71'!C8+'Whatcom Pgs 72-73'!C8+'Whitman Pgs 74-75'!C8+'Yakima Pgs 76-77'!C8</f>
        <v>7243956.1900000004</v>
      </c>
      <c r="D8" s="17">
        <f>'Asotin Pgs 10-11'!D8+'Adams Pgs 8-9'!D8+'Benton-Franklin Pgs 12-13'!D8+'Chelan-Douglas Pgs 14-15'!D8+'Clallam Pgs 16-17'!D8+'Clark Pgs 18-19'!D8+'Columbia Pgs 20-21'!D8+'Cowlitz Pgs 22-23'!D8+'Garfield Pgs 24-25'!D8+'Grant Pgs 26-27'!D8+'Grays Harbor Pgs 28-29'!D8+'Island Pgs 30-31'!D8+'Jefferson Pgs 32-33'!D8+'Kitsap Pgs 34-35'!D8+'Kittitas Pgs 36-37'!D8+'Klickitat Pgs 38-39'!D8+'Lewis Pgs 40-41'!D8+'Lincoln Pgs 42-43'!D8+'Mason Pgs 44-45'!D8+'Northeast Tri Pgs 46-47'!D8+'Okanogan Pgs 48-49'!D8+'Pacific Pgs 50-51'!D8+'San Juan Pgs 52-53'!D8+'Seattle-King Pgs 54-55'!D8+'Skagit Pgs 56-57'!D8+'Skamania Pgs 58-59'!D8+'Snohomish Pgs 60-61'!D8+'Spokane Pgs 62-63'!D8+'Tacoma-Pierce Pgs 64-65'!D8+'Thurston Pgs 66-67'!D8+'Wahkiakum Pgs 68-69'!D8+'Walla Walla Pgs 70-71'!D8+'Whatcom Pgs 72-73'!D8+'Whitman Pgs 74-75'!D8+'Yakima Pgs 76-77'!D8</f>
        <v>13888857.779999999</v>
      </c>
      <c r="E8" s="165">
        <f>'Asotin Pgs 10-11'!E8+'Adams Pgs 8-9'!E8+'Benton-Franklin Pgs 12-13'!E8+'Chelan-Douglas Pgs 14-15'!E8+'Clallam Pgs 16-17'!E8+'Clark Pgs 18-19'!E8+'Columbia Pgs 20-21'!E8+'Cowlitz Pgs 22-23'!E8+'Garfield Pgs 24-25'!E8+'Grant Pgs 26-27'!E8+'Grays Harbor Pgs 28-29'!E8+'Island Pgs 30-31'!E8+'Jefferson Pgs 32-33'!E8+'Kitsap Pgs 34-35'!E8+'Kittitas Pgs 36-37'!E8+'Klickitat Pgs 38-39'!E8+'Lewis Pgs 40-41'!E8+'Lincoln Pgs 42-43'!E8+'Mason Pgs 44-45'!E8+'Northeast Tri Pgs 46-47'!E8+'Okanogan Pgs 48-49'!E8+'Pacific Pgs 50-51'!E8+'San Juan Pgs 52-53'!E8+'Seattle-King Pgs 54-55'!E8+'Skagit Pgs 56-57'!E8+'Skamania Pgs 58-59'!E8+'Snohomish Pgs 60-61'!E8+'Spokane Pgs 62-63'!E8+'Tacoma-Pierce Pgs 64-65'!E8+'Thurston Pgs 66-67'!E8+'Wahkiakum Pgs 68-69'!E8+'Walla Walla Pgs 70-71'!E8+'Whatcom Pgs 72-73'!E8+'Whitman Pgs 74-75'!E8+'Yakima Pgs 76-77'!E8</f>
        <v>31425</v>
      </c>
      <c r="F8" s="8">
        <f>'Asotin Pgs 10-11'!F8+'Adams Pgs 8-9'!F8+'Benton-Franklin Pgs 12-13'!F8+'Chelan-Douglas Pgs 14-15'!F8+'Clallam Pgs 16-17'!F8+'Clark Pgs 18-19'!F8+'Columbia Pgs 20-21'!F8+'Cowlitz Pgs 22-23'!F8+'Garfield Pgs 24-25'!F8+'Grant Pgs 26-27'!F8+'Grays Harbor Pgs 28-29'!F8+'Island Pgs 30-31'!F8+'Jefferson Pgs 32-33'!F8+'Kitsap Pgs 34-35'!F8+'Kittitas Pgs 36-37'!F8+'Klickitat Pgs 38-39'!F8+'Lewis Pgs 40-41'!F8+'Lincoln Pgs 42-43'!F8+'Mason Pgs 44-45'!F8+'Northeast Tri Pgs 46-47'!F8+'Okanogan Pgs 48-49'!F8+'Pacific Pgs 50-51'!F8+'San Juan Pgs 52-53'!F8+'Seattle-King Pgs 54-55'!F8+'Skagit Pgs 56-57'!F8+'Skamania Pgs 58-59'!F8+'Snohomish Pgs 60-61'!F8+'Spokane Pgs 62-63'!F8+'Tacoma-Pierce Pgs 64-65'!F8+'Thurston Pgs 66-67'!F8+'Wahkiakum Pgs 68-69'!F8+'Walla Walla Pgs 70-71'!F8+'Whatcom Pgs 72-73'!F8+'Whitman Pgs 74-75'!F8+'Yakima Pgs 76-77'!F8</f>
        <v>277960</v>
      </c>
      <c r="G8" s="7">
        <f>'Asotin Pgs 10-11'!G8+'Adams Pgs 8-9'!G8+'Benton-Franklin Pgs 12-13'!G8+'Chelan-Douglas Pgs 14-15'!G8+'Clallam Pgs 16-17'!G8+'Clark Pgs 18-19'!G8+'Columbia Pgs 20-21'!G8+'Cowlitz Pgs 22-23'!G8+'Garfield Pgs 24-25'!G8+'Grant Pgs 26-27'!G8+'Grays Harbor Pgs 28-29'!G8+'Island Pgs 30-31'!G8+'Jefferson Pgs 32-33'!G8+'Kitsap Pgs 34-35'!G8+'Kittitas Pgs 36-37'!G8+'Klickitat Pgs 38-39'!G8+'Lewis Pgs 40-41'!G8+'Lincoln Pgs 42-43'!G8+'Mason Pgs 44-45'!G8+'Northeast Tri Pgs 46-47'!G8+'Okanogan Pgs 48-49'!G8+'Pacific Pgs 50-51'!G8+'San Juan Pgs 52-53'!G8+'Seattle-King Pgs 54-55'!G8+'Skagit Pgs 56-57'!G8+'Skamania Pgs 58-59'!G8+'Snohomish Pgs 60-61'!G8+'Spokane Pgs 62-63'!G8+'Tacoma-Pierce Pgs 64-65'!G8+'Thurston Pgs 66-67'!G8+'Wahkiakum Pgs 68-69'!G8+'Walla Walla Pgs 70-71'!G8+'Whatcom Pgs 72-73'!G8+'Whitman Pgs 74-75'!G8+'Yakima Pgs 76-77'!G8</f>
        <v>87664.5</v>
      </c>
      <c r="H8" s="15">
        <f>'Asotin Pgs 10-11'!H8+'Adams Pgs 8-9'!H8+'Benton-Franklin Pgs 12-13'!H8+'Chelan-Douglas Pgs 14-15'!H8+'Clallam Pgs 16-17'!H8+'Clark Pgs 18-19'!H8+'Columbia Pgs 20-21'!H8+'Cowlitz Pgs 22-23'!H8+'Garfield Pgs 24-25'!H8+'Grant Pgs 26-27'!H8+'Grays Harbor Pgs 28-29'!H8+'Island Pgs 30-31'!H8+'Jefferson Pgs 32-33'!H8+'Kitsap Pgs 34-35'!H8+'Kittitas Pgs 36-37'!H8+'Klickitat Pgs 38-39'!H8+'Lewis Pgs 40-41'!H8+'Lincoln Pgs 42-43'!H8+'Mason Pgs 44-45'!H8+'Northeast Tri Pgs 46-47'!H8+'Okanogan Pgs 48-49'!H8+'Pacific Pgs 50-51'!H8+'San Juan Pgs 52-53'!H8+'Seattle-King Pgs 54-55'!H8+'Skagit Pgs 56-57'!H8+'Skamania Pgs 58-59'!H8+'Snohomish Pgs 60-61'!H8+'Spokane Pgs 62-63'!H8+'Tacoma-Pierce Pgs 64-65'!H8+'Thurston Pgs 66-67'!H8+'Wahkiakum Pgs 68-69'!H8+'Walla Walla Pgs 70-71'!H8+'Whatcom Pgs 72-73'!H8+'Whitman Pgs 74-75'!H8+'Yakima Pgs 76-77'!H8</f>
        <v>345551.37</v>
      </c>
      <c r="I8" s="7">
        <f>'Asotin Pgs 10-11'!I8+'Adams Pgs 8-9'!I8+'Benton-Franklin Pgs 12-13'!I8+'Chelan-Douglas Pgs 14-15'!I8+'Clallam Pgs 16-17'!I8+'Clark Pgs 18-19'!I8+'Columbia Pgs 20-21'!I8+'Cowlitz Pgs 22-23'!I8+'Garfield Pgs 24-25'!I8+'Grant Pgs 26-27'!I8+'Grays Harbor Pgs 28-29'!I8+'Island Pgs 30-31'!I8+'Jefferson Pgs 32-33'!I8+'Kitsap Pgs 34-35'!I8+'Kittitas Pgs 36-37'!I8+'Klickitat Pgs 38-39'!I8+'Lewis Pgs 40-41'!I8+'Lincoln Pgs 42-43'!I8+'Mason Pgs 44-45'!I8+'Northeast Tri Pgs 46-47'!I8+'Okanogan Pgs 48-49'!I8+'Pacific Pgs 50-51'!I8+'San Juan Pgs 52-53'!I8+'Seattle-King Pgs 54-55'!I8+'Skagit Pgs 56-57'!I8+'Skamania Pgs 58-59'!I8+'Snohomish Pgs 60-61'!I8+'Spokane Pgs 62-63'!I8+'Tacoma-Pierce Pgs 64-65'!I8+'Thurston Pgs 66-67'!I8+'Wahkiakum Pgs 68-69'!I8+'Walla Walla Pgs 70-71'!I8+'Whatcom Pgs 72-73'!I8+'Whitman Pgs 74-75'!I8+'Yakima Pgs 76-77'!I8</f>
        <v>732400</v>
      </c>
      <c r="J8" s="15">
        <f>'Asotin Pgs 10-11'!M8+'Adams Pgs 8-9'!M8+'Benton-Franklin Pgs 12-13'!M8+'Chelan-Douglas Pgs 14-15'!M8+'Clallam Pgs 16-17'!M8+'Clark Pgs 18-19'!M8+'Columbia Pgs 20-21'!M8+'Cowlitz Pgs 22-23'!M8+'Garfield Pgs 24-25'!M8+'Grant Pgs 26-27'!M8+'Grays Harbor Pgs 28-29'!M8+'Island Pgs 30-31'!M8+'Jefferson Pgs 32-33'!M8+'Kitsap Pgs 34-35'!M8+'Kittitas Pgs 36-37'!M8+'Klickitat Pgs 38-39'!M8+'Lewis Pgs 40-41'!M8+'Lincoln Pgs 42-43'!M8+'Mason Pgs 44-45'!M8+'Northeast Tri Pgs 46-47'!M8+'Okanogan Pgs 48-49'!M8+'Pacific Pgs 50-51'!M8+'San Juan Pgs 52-53'!M8+'Seattle-King Pgs 54-55'!M8+'Skagit Pgs 56-57'!M8+'Skamania Pgs 58-59'!M8+'Snohomish Pgs 60-61'!M8+'Spokane Pgs 62-63'!M8+'Tacoma-Pierce Pgs 64-65'!M8+'Thurston Pgs 66-67'!M8+'Wahkiakum Pgs 68-69'!M8+'Walla Walla Pgs 70-71'!M8+'Whatcom Pgs 72-73'!M8+'Whitman Pgs 74-75'!M8+'Yakima Pgs 76-77'!M8</f>
        <v>1751208.91</v>
      </c>
      <c r="K8" s="7">
        <f>'Asotin Pgs 10-11'!Q8+'Adams Pgs 8-9'!Q8+'Benton-Franklin Pgs 12-13'!Q8+'Chelan-Douglas Pgs 14-15'!Q8+'Clallam Pgs 16-17'!Q8+'Clark Pgs 18-19'!Q8+'Columbia Pgs 20-21'!Q8+'Cowlitz Pgs 22-23'!Q8+'Garfield Pgs 24-25'!Q8+'Grant Pgs 26-27'!Q8+'Grays Harbor Pgs 28-29'!Q8+'Island Pgs 30-31'!Q8+'Jefferson Pgs 32-33'!Q8+'Kitsap Pgs 34-35'!Q8+'Kittitas Pgs 36-37'!Q8+'Klickitat Pgs 38-39'!Q8+'Lewis Pgs 40-41'!Q8+'Lincoln Pgs 42-43'!Q8+'Mason Pgs 44-45'!Q8+'Northeast Tri Pgs 46-47'!Q8+'Okanogan Pgs 48-49'!Q8+'Pacific Pgs 50-51'!Q8+'San Juan Pgs 52-53'!Q8+'Seattle-King Pgs 54-55'!Q8+'Skagit Pgs 56-57'!Q8+'Skamania Pgs 58-59'!Q8+'Snohomish Pgs 60-61'!Q8+'Spokane Pgs 62-63'!Q8+'Tacoma-Pierce Pgs 64-65'!Q8+'Thurston Pgs 66-67'!Q8+'Wahkiakum Pgs 68-69'!Q8+'Walla Walla Pgs 70-71'!Q8+'Whatcom Pgs 72-73'!Q8+'Whitman Pgs 74-75'!Q8+'Yakima Pgs 76-77'!Q8</f>
        <v>10270550</v>
      </c>
      <c r="L8" s="15">
        <f>'Asotin Pgs 10-11'!R8+'Adams Pgs 8-9'!R8+'Benton-Franklin Pgs 12-13'!R8+'Chelan-Douglas Pgs 14-15'!R8+'Clallam Pgs 16-17'!R8+'Clark Pgs 18-19'!R8+'Columbia Pgs 20-21'!R8+'Cowlitz Pgs 22-23'!R8+'Garfield Pgs 24-25'!R8+'Grant Pgs 26-27'!R8+'Grays Harbor Pgs 28-29'!R8+'Island Pgs 30-31'!R8+'Jefferson Pgs 32-33'!R8+'Kitsap Pgs 34-35'!R8+'Kittitas Pgs 36-37'!R8+'Klickitat Pgs 38-39'!R8+'Lewis Pgs 40-41'!R8+'Lincoln Pgs 42-43'!R8+'Mason Pgs 44-45'!R8+'Northeast Tri Pgs 46-47'!R8+'Okanogan Pgs 48-49'!R8+'Pacific Pgs 50-51'!R8+'San Juan Pgs 52-53'!R8+'Seattle-King Pgs 54-55'!R8+'Skagit Pgs 56-57'!R8+'Skamania Pgs 58-59'!R8+'Snohomish Pgs 60-61'!R8+'Spokane Pgs 62-63'!R8+'Tacoma-Pierce Pgs 64-65'!R8+'Thurston Pgs 66-67'!R8+'Wahkiakum Pgs 68-69'!R8+'Walla Walla Pgs 70-71'!R8+'Whatcom Pgs 72-73'!R8+'Whitman Pgs 74-75'!R8+'Yakima Pgs 76-77'!R8</f>
        <v>392098</v>
      </c>
    </row>
    <row r="9" spans="1:12" x14ac:dyDescent="0.3">
      <c r="A9" s="39">
        <v>562.25</v>
      </c>
      <c r="B9" s="141" t="s">
        <v>93</v>
      </c>
      <c r="C9" s="165">
        <f>'Asotin Pgs 10-11'!C9+'Adams Pgs 8-9'!C9+'Benton-Franklin Pgs 12-13'!C9+'Chelan-Douglas Pgs 14-15'!C9+'Clallam Pgs 16-17'!C9+'Clark Pgs 18-19'!C9+'Columbia Pgs 20-21'!C9+'Cowlitz Pgs 22-23'!C9+'Garfield Pgs 24-25'!C9+'Grant Pgs 26-27'!C9+'Grays Harbor Pgs 28-29'!C9+'Island Pgs 30-31'!C9+'Jefferson Pgs 32-33'!C9+'Kitsap Pgs 34-35'!C9+'Kittitas Pgs 36-37'!C9+'Klickitat Pgs 38-39'!C9+'Lewis Pgs 40-41'!C9+'Lincoln Pgs 42-43'!C9+'Mason Pgs 44-45'!C9+'Northeast Tri Pgs 46-47'!C9+'Okanogan Pgs 48-49'!C9+'Pacific Pgs 50-51'!C9+'San Juan Pgs 52-53'!C9+'Seattle-King Pgs 54-55'!C9+'Skagit Pgs 56-57'!C9+'Skamania Pgs 58-59'!C9+'Snohomish Pgs 60-61'!C9+'Spokane Pgs 62-63'!C9+'Tacoma-Pierce Pgs 64-65'!C9+'Thurston Pgs 66-67'!C9+'Wahkiakum Pgs 68-69'!C9+'Walla Walla Pgs 70-71'!C9+'Whatcom Pgs 72-73'!C9+'Whitman Pgs 74-75'!C9+'Yakima Pgs 76-77'!C9</f>
        <v>5909173.54</v>
      </c>
      <c r="D9" s="17">
        <f>'Asotin Pgs 10-11'!D9+'Adams Pgs 8-9'!D9+'Benton-Franklin Pgs 12-13'!D9+'Chelan-Douglas Pgs 14-15'!D9+'Clallam Pgs 16-17'!D9+'Clark Pgs 18-19'!D9+'Columbia Pgs 20-21'!D9+'Cowlitz Pgs 22-23'!D9+'Garfield Pgs 24-25'!D9+'Grant Pgs 26-27'!D9+'Grays Harbor Pgs 28-29'!D9+'Island Pgs 30-31'!D9+'Jefferson Pgs 32-33'!D9+'Kitsap Pgs 34-35'!D9+'Kittitas Pgs 36-37'!D9+'Klickitat Pgs 38-39'!D9+'Lewis Pgs 40-41'!D9+'Lincoln Pgs 42-43'!D9+'Mason Pgs 44-45'!D9+'Northeast Tri Pgs 46-47'!D9+'Okanogan Pgs 48-49'!D9+'Pacific Pgs 50-51'!D9+'San Juan Pgs 52-53'!D9+'Seattle-King Pgs 54-55'!D9+'Skagit Pgs 56-57'!D9+'Skamania Pgs 58-59'!D9+'Snohomish Pgs 60-61'!D9+'Spokane Pgs 62-63'!D9+'Tacoma-Pierce Pgs 64-65'!D9+'Thurston Pgs 66-67'!D9+'Wahkiakum Pgs 68-69'!D9+'Walla Walla Pgs 70-71'!D9+'Whatcom Pgs 72-73'!D9+'Whitman Pgs 74-75'!D9+'Yakima Pgs 76-77'!D9</f>
        <v>6492189.54</v>
      </c>
      <c r="E9" s="165">
        <f>'Asotin Pgs 10-11'!E9+'Adams Pgs 8-9'!E9+'Benton-Franklin Pgs 12-13'!E9+'Chelan-Douglas Pgs 14-15'!E9+'Clallam Pgs 16-17'!E9+'Clark Pgs 18-19'!E9+'Columbia Pgs 20-21'!E9+'Cowlitz Pgs 22-23'!E9+'Garfield Pgs 24-25'!E9+'Grant Pgs 26-27'!E9+'Grays Harbor Pgs 28-29'!E9+'Island Pgs 30-31'!E9+'Jefferson Pgs 32-33'!E9+'Kitsap Pgs 34-35'!E9+'Kittitas Pgs 36-37'!E9+'Klickitat Pgs 38-39'!E9+'Lewis Pgs 40-41'!E9+'Lincoln Pgs 42-43'!E9+'Mason Pgs 44-45'!E9+'Northeast Tri Pgs 46-47'!E9+'Okanogan Pgs 48-49'!E9+'Pacific Pgs 50-51'!E9+'San Juan Pgs 52-53'!E9+'Seattle-King Pgs 54-55'!E9+'Skagit Pgs 56-57'!E9+'Skamania Pgs 58-59'!E9+'Snohomish Pgs 60-61'!E9+'Spokane Pgs 62-63'!E9+'Tacoma-Pierce Pgs 64-65'!E9+'Thurston Pgs 66-67'!E9+'Wahkiakum Pgs 68-69'!E9+'Walla Walla Pgs 70-71'!E9+'Whatcom Pgs 72-73'!E9+'Whitman Pgs 74-75'!E9+'Yakima Pgs 76-77'!E9</f>
        <v>8130</v>
      </c>
      <c r="F9" s="8">
        <f>'Asotin Pgs 10-11'!F9+'Adams Pgs 8-9'!F9+'Benton-Franklin Pgs 12-13'!F9+'Chelan-Douglas Pgs 14-15'!F9+'Clallam Pgs 16-17'!F9+'Clark Pgs 18-19'!F9+'Columbia Pgs 20-21'!F9+'Cowlitz Pgs 22-23'!F9+'Garfield Pgs 24-25'!F9+'Grant Pgs 26-27'!F9+'Grays Harbor Pgs 28-29'!F9+'Island Pgs 30-31'!F9+'Jefferson Pgs 32-33'!F9+'Kitsap Pgs 34-35'!F9+'Kittitas Pgs 36-37'!F9+'Klickitat Pgs 38-39'!F9+'Lewis Pgs 40-41'!F9+'Lincoln Pgs 42-43'!F9+'Mason Pgs 44-45'!F9+'Northeast Tri Pgs 46-47'!F9+'Okanogan Pgs 48-49'!F9+'Pacific Pgs 50-51'!F9+'San Juan Pgs 52-53'!F9+'Seattle-King Pgs 54-55'!F9+'Skagit Pgs 56-57'!F9+'Skamania Pgs 58-59'!F9+'Snohomish Pgs 60-61'!F9+'Spokane Pgs 62-63'!F9+'Tacoma-Pierce Pgs 64-65'!F9+'Thurston Pgs 66-67'!F9+'Wahkiakum Pgs 68-69'!F9+'Walla Walla Pgs 70-71'!F9+'Whatcom Pgs 72-73'!F9+'Whitman Pgs 74-75'!F9+'Yakima Pgs 76-77'!F9</f>
        <v>520855</v>
      </c>
      <c r="G9" s="7">
        <f>'Asotin Pgs 10-11'!G9+'Adams Pgs 8-9'!G9+'Benton-Franklin Pgs 12-13'!G9+'Chelan-Douglas Pgs 14-15'!G9+'Clallam Pgs 16-17'!G9+'Clark Pgs 18-19'!G9+'Columbia Pgs 20-21'!G9+'Cowlitz Pgs 22-23'!G9+'Garfield Pgs 24-25'!G9+'Grant Pgs 26-27'!G9+'Grays Harbor Pgs 28-29'!G9+'Island Pgs 30-31'!G9+'Jefferson Pgs 32-33'!G9+'Kitsap Pgs 34-35'!G9+'Kittitas Pgs 36-37'!G9+'Klickitat Pgs 38-39'!G9+'Lewis Pgs 40-41'!G9+'Lincoln Pgs 42-43'!G9+'Mason Pgs 44-45'!G9+'Northeast Tri Pgs 46-47'!G9+'Okanogan Pgs 48-49'!G9+'Pacific Pgs 50-51'!G9+'San Juan Pgs 52-53'!G9+'Seattle-King Pgs 54-55'!G9+'Skagit Pgs 56-57'!G9+'Skamania Pgs 58-59'!G9+'Snohomish Pgs 60-61'!G9+'Spokane Pgs 62-63'!G9+'Tacoma-Pierce Pgs 64-65'!G9+'Thurston Pgs 66-67'!G9+'Wahkiakum Pgs 68-69'!G9+'Walla Walla Pgs 70-71'!G9+'Whatcom Pgs 72-73'!G9+'Whitman Pgs 74-75'!G9+'Yakima Pgs 76-77'!G9</f>
        <v>2695361</v>
      </c>
      <c r="H9" s="15">
        <f>'Asotin Pgs 10-11'!H9+'Adams Pgs 8-9'!H9+'Benton-Franklin Pgs 12-13'!H9+'Chelan-Douglas Pgs 14-15'!H9+'Clallam Pgs 16-17'!H9+'Clark Pgs 18-19'!H9+'Columbia Pgs 20-21'!H9+'Cowlitz Pgs 22-23'!H9+'Garfield Pgs 24-25'!H9+'Grant Pgs 26-27'!H9+'Grays Harbor Pgs 28-29'!H9+'Island Pgs 30-31'!H9+'Jefferson Pgs 32-33'!H9+'Kitsap Pgs 34-35'!H9+'Kittitas Pgs 36-37'!H9+'Klickitat Pgs 38-39'!H9+'Lewis Pgs 40-41'!H9+'Lincoln Pgs 42-43'!H9+'Mason Pgs 44-45'!H9+'Northeast Tri Pgs 46-47'!H9+'Okanogan Pgs 48-49'!H9+'Pacific Pgs 50-51'!H9+'San Juan Pgs 52-53'!H9+'Seattle-King Pgs 54-55'!H9+'Skagit Pgs 56-57'!H9+'Skamania Pgs 58-59'!H9+'Snohomish Pgs 60-61'!H9+'Spokane Pgs 62-63'!H9+'Tacoma-Pierce Pgs 64-65'!H9+'Thurston Pgs 66-67'!H9+'Wahkiakum Pgs 68-69'!H9+'Walla Walla Pgs 70-71'!H9+'Whatcom Pgs 72-73'!H9+'Whitman Pgs 74-75'!H9+'Yakima Pgs 76-77'!H9</f>
        <v>1488737.54</v>
      </c>
      <c r="I9" s="7">
        <f>'Asotin Pgs 10-11'!I9+'Adams Pgs 8-9'!I9+'Benton-Franklin Pgs 12-13'!I9+'Chelan-Douglas Pgs 14-15'!I9+'Clallam Pgs 16-17'!I9+'Clark Pgs 18-19'!I9+'Columbia Pgs 20-21'!I9+'Cowlitz Pgs 22-23'!I9+'Garfield Pgs 24-25'!I9+'Grant Pgs 26-27'!I9+'Grays Harbor Pgs 28-29'!I9+'Island Pgs 30-31'!I9+'Jefferson Pgs 32-33'!I9+'Kitsap Pgs 34-35'!I9+'Kittitas Pgs 36-37'!I9+'Klickitat Pgs 38-39'!I9+'Lewis Pgs 40-41'!I9+'Lincoln Pgs 42-43'!I9+'Mason Pgs 44-45'!I9+'Northeast Tri Pgs 46-47'!I9+'Okanogan Pgs 48-49'!I9+'Pacific Pgs 50-51'!I9+'San Juan Pgs 52-53'!I9+'Seattle-King Pgs 54-55'!I9+'Skagit Pgs 56-57'!I9+'Skamania Pgs 58-59'!I9+'Snohomish Pgs 60-61'!I9+'Spokane Pgs 62-63'!I9+'Tacoma-Pierce Pgs 64-65'!I9+'Thurston Pgs 66-67'!I9+'Wahkiakum Pgs 68-69'!I9+'Walla Walla Pgs 70-71'!I9+'Whatcom Pgs 72-73'!I9+'Whitman Pgs 74-75'!I9+'Yakima Pgs 76-77'!I9</f>
        <v>663472</v>
      </c>
      <c r="J9" s="15">
        <f>'Asotin Pgs 10-11'!M9+'Adams Pgs 8-9'!M9+'Benton-Franklin Pgs 12-13'!M9+'Chelan-Douglas Pgs 14-15'!M9+'Clallam Pgs 16-17'!M9+'Clark Pgs 18-19'!M9+'Columbia Pgs 20-21'!M9+'Cowlitz Pgs 22-23'!M9+'Garfield Pgs 24-25'!M9+'Grant Pgs 26-27'!M9+'Grays Harbor Pgs 28-29'!M9+'Island Pgs 30-31'!M9+'Jefferson Pgs 32-33'!M9+'Kitsap Pgs 34-35'!M9+'Kittitas Pgs 36-37'!M9+'Klickitat Pgs 38-39'!M9+'Lewis Pgs 40-41'!M9+'Lincoln Pgs 42-43'!M9+'Mason Pgs 44-45'!M9+'Northeast Tri Pgs 46-47'!M9+'Okanogan Pgs 48-49'!M9+'Pacific Pgs 50-51'!M9+'San Juan Pgs 52-53'!M9+'Seattle-King Pgs 54-55'!M9+'Skagit Pgs 56-57'!M9+'Skamania Pgs 58-59'!M9+'Snohomish Pgs 60-61'!M9+'Spokane Pgs 62-63'!M9+'Tacoma-Pierce Pgs 64-65'!M9+'Thurston Pgs 66-67'!M9+'Wahkiakum Pgs 68-69'!M9+'Walla Walla Pgs 70-71'!M9+'Whatcom Pgs 72-73'!M9+'Whitman Pgs 74-75'!M9+'Yakima Pgs 76-77'!M9</f>
        <v>39816</v>
      </c>
      <c r="K9" s="7">
        <f>'Asotin Pgs 10-11'!Q9+'Adams Pgs 8-9'!Q9+'Benton-Franklin Pgs 12-13'!Q9+'Chelan-Douglas Pgs 14-15'!Q9+'Clallam Pgs 16-17'!Q9+'Clark Pgs 18-19'!Q9+'Columbia Pgs 20-21'!Q9+'Cowlitz Pgs 22-23'!Q9+'Garfield Pgs 24-25'!Q9+'Grant Pgs 26-27'!Q9+'Grays Harbor Pgs 28-29'!Q9+'Island Pgs 30-31'!Q9+'Jefferson Pgs 32-33'!Q9+'Kitsap Pgs 34-35'!Q9+'Kittitas Pgs 36-37'!Q9+'Klickitat Pgs 38-39'!Q9+'Lewis Pgs 40-41'!Q9+'Lincoln Pgs 42-43'!Q9+'Mason Pgs 44-45'!Q9+'Northeast Tri Pgs 46-47'!Q9+'Okanogan Pgs 48-49'!Q9+'Pacific Pgs 50-51'!Q9+'San Juan Pgs 52-53'!Q9+'Seattle-King Pgs 54-55'!Q9+'Skagit Pgs 56-57'!Q9+'Skamania Pgs 58-59'!Q9+'Snohomish Pgs 60-61'!Q9+'Spokane Pgs 62-63'!Q9+'Tacoma-Pierce Pgs 64-65'!Q9+'Thurston Pgs 66-67'!Q9+'Wahkiakum Pgs 68-69'!Q9+'Walla Walla Pgs 70-71'!Q9+'Whatcom Pgs 72-73'!Q9+'Whitman Pgs 74-75'!Q9+'Yakima Pgs 76-77'!Q9</f>
        <v>1063070</v>
      </c>
      <c r="L9" s="15">
        <f>'Asotin Pgs 10-11'!R9+'Adams Pgs 8-9'!R9+'Benton-Franklin Pgs 12-13'!R9+'Chelan-Douglas Pgs 14-15'!R9+'Clallam Pgs 16-17'!R9+'Clark Pgs 18-19'!R9+'Columbia Pgs 20-21'!R9+'Cowlitz Pgs 22-23'!R9+'Garfield Pgs 24-25'!R9+'Grant Pgs 26-27'!R9+'Grays Harbor Pgs 28-29'!R9+'Island Pgs 30-31'!R9+'Jefferson Pgs 32-33'!R9+'Kitsap Pgs 34-35'!R9+'Kittitas Pgs 36-37'!R9+'Klickitat Pgs 38-39'!R9+'Lewis Pgs 40-41'!R9+'Lincoln Pgs 42-43'!R9+'Mason Pgs 44-45'!R9+'Northeast Tri Pgs 46-47'!R9+'Okanogan Pgs 48-49'!R9+'Pacific Pgs 50-51'!R9+'San Juan Pgs 52-53'!R9+'Seattle-King Pgs 54-55'!R9+'Skagit Pgs 56-57'!R9+'Skamania Pgs 58-59'!R9+'Snohomish Pgs 60-61'!R9+'Spokane Pgs 62-63'!R9+'Tacoma-Pierce Pgs 64-65'!R9+'Thurston Pgs 66-67'!R9+'Wahkiakum Pgs 68-69'!R9+'Walla Walla Pgs 70-71'!R9+'Whatcom Pgs 72-73'!R9+'Whitman Pgs 74-75'!R9+'Yakima Pgs 76-77'!R9</f>
        <v>12748</v>
      </c>
    </row>
    <row r="10" spans="1:12" x14ac:dyDescent="0.3">
      <c r="A10" s="39">
        <v>562.26</v>
      </c>
      <c r="B10" s="141" t="s">
        <v>84</v>
      </c>
      <c r="C10" s="165">
        <f>'Asotin Pgs 10-11'!C10+'Adams Pgs 8-9'!C10+'Benton-Franklin Pgs 12-13'!C10+'Chelan-Douglas Pgs 14-15'!C10+'Clallam Pgs 16-17'!C10+'Clark Pgs 18-19'!C10+'Columbia Pgs 20-21'!C10+'Cowlitz Pgs 22-23'!C10+'Garfield Pgs 24-25'!C10+'Grant Pgs 26-27'!C10+'Grays Harbor Pgs 28-29'!C10+'Island Pgs 30-31'!C10+'Jefferson Pgs 32-33'!C10+'Kitsap Pgs 34-35'!C10+'Kittitas Pgs 36-37'!C10+'Klickitat Pgs 38-39'!C10+'Lewis Pgs 40-41'!C10+'Lincoln Pgs 42-43'!C10+'Mason Pgs 44-45'!C10+'Northeast Tri Pgs 46-47'!C10+'Okanogan Pgs 48-49'!C10+'Pacific Pgs 50-51'!C10+'San Juan Pgs 52-53'!C10+'Seattle-King Pgs 54-55'!C10+'Skagit Pgs 56-57'!C10+'Skamania Pgs 58-59'!C10+'Snohomish Pgs 60-61'!C10+'Spokane Pgs 62-63'!C10+'Tacoma-Pierce Pgs 64-65'!C10+'Thurston Pgs 66-67'!C10+'Wahkiakum Pgs 68-69'!C10+'Walla Walla Pgs 70-71'!C10+'Whatcom Pgs 72-73'!C10+'Whitman Pgs 74-75'!C10+'Yakima Pgs 76-77'!C10</f>
        <v>9331488.2400000002</v>
      </c>
      <c r="D10" s="17">
        <f>'Asotin Pgs 10-11'!D10+'Adams Pgs 8-9'!D10+'Benton-Franklin Pgs 12-13'!D10+'Chelan-Douglas Pgs 14-15'!D10+'Clallam Pgs 16-17'!D10+'Clark Pgs 18-19'!D10+'Columbia Pgs 20-21'!D10+'Cowlitz Pgs 22-23'!D10+'Garfield Pgs 24-25'!D10+'Grant Pgs 26-27'!D10+'Grays Harbor Pgs 28-29'!D10+'Island Pgs 30-31'!D10+'Jefferson Pgs 32-33'!D10+'Kitsap Pgs 34-35'!D10+'Kittitas Pgs 36-37'!D10+'Klickitat Pgs 38-39'!D10+'Lewis Pgs 40-41'!D10+'Lincoln Pgs 42-43'!D10+'Mason Pgs 44-45'!D10+'Northeast Tri Pgs 46-47'!D10+'Okanogan Pgs 48-49'!D10+'Pacific Pgs 50-51'!D10+'San Juan Pgs 52-53'!D10+'Seattle-King Pgs 54-55'!D10+'Skagit Pgs 56-57'!D10+'Skamania Pgs 58-59'!D10+'Snohomish Pgs 60-61'!D10+'Spokane Pgs 62-63'!D10+'Tacoma-Pierce Pgs 64-65'!D10+'Thurston Pgs 66-67'!D10+'Wahkiakum Pgs 68-69'!D10+'Walla Walla Pgs 70-71'!D10+'Whatcom Pgs 72-73'!D10+'Whitman Pgs 74-75'!D10+'Yakima Pgs 76-77'!D10</f>
        <v>14825267.380000001</v>
      </c>
      <c r="E10" s="165">
        <f>'Asotin Pgs 10-11'!E10+'Adams Pgs 8-9'!E10+'Benton-Franklin Pgs 12-13'!E10+'Chelan-Douglas Pgs 14-15'!E10+'Clallam Pgs 16-17'!E10+'Clark Pgs 18-19'!E10+'Columbia Pgs 20-21'!E10+'Cowlitz Pgs 22-23'!E10+'Garfield Pgs 24-25'!E10+'Grant Pgs 26-27'!E10+'Grays Harbor Pgs 28-29'!E10+'Island Pgs 30-31'!E10+'Jefferson Pgs 32-33'!E10+'Kitsap Pgs 34-35'!E10+'Kittitas Pgs 36-37'!E10+'Klickitat Pgs 38-39'!E10+'Lewis Pgs 40-41'!E10+'Lincoln Pgs 42-43'!E10+'Mason Pgs 44-45'!E10+'Northeast Tri Pgs 46-47'!E10+'Okanogan Pgs 48-49'!E10+'Pacific Pgs 50-51'!E10+'San Juan Pgs 52-53'!E10+'Seattle-King Pgs 54-55'!E10+'Skagit Pgs 56-57'!E10+'Skamania Pgs 58-59'!E10+'Snohomish Pgs 60-61'!E10+'Spokane Pgs 62-63'!E10+'Tacoma-Pierce Pgs 64-65'!E10+'Thurston Pgs 66-67'!E10+'Wahkiakum Pgs 68-69'!E10+'Walla Walla Pgs 70-71'!E10+'Whatcom Pgs 72-73'!E10+'Whitman Pgs 74-75'!E10+'Yakima Pgs 76-77'!E10</f>
        <v>1425241.92</v>
      </c>
      <c r="F10" s="8">
        <f>'Asotin Pgs 10-11'!F10+'Adams Pgs 8-9'!F10+'Benton-Franklin Pgs 12-13'!F10+'Chelan-Douglas Pgs 14-15'!F10+'Clallam Pgs 16-17'!F10+'Clark Pgs 18-19'!F10+'Columbia Pgs 20-21'!F10+'Cowlitz Pgs 22-23'!F10+'Garfield Pgs 24-25'!F10+'Grant Pgs 26-27'!F10+'Grays Harbor Pgs 28-29'!F10+'Island Pgs 30-31'!F10+'Jefferson Pgs 32-33'!F10+'Kitsap Pgs 34-35'!F10+'Kittitas Pgs 36-37'!F10+'Klickitat Pgs 38-39'!F10+'Lewis Pgs 40-41'!F10+'Lincoln Pgs 42-43'!F10+'Mason Pgs 44-45'!F10+'Northeast Tri Pgs 46-47'!F10+'Okanogan Pgs 48-49'!F10+'Pacific Pgs 50-51'!F10+'San Juan Pgs 52-53'!F10+'Seattle-King Pgs 54-55'!F10+'Skagit Pgs 56-57'!F10+'Skamania Pgs 58-59'!F10+'Snohomish Pgs 60-61'!F10+'Spokane Pgs 62-63'!F10+'Tacoma-Pierce Pgs 64-65'!F10+'Thurston Pgs 66-67'!F10+'Wahkiakum Pgs 68-69'!F10+'Walla Walla Pgs 70-71'!F10+'Whatcom Pgs 72-73'!F10+'Whitman Pgs 74-75'!F10+'Yakima Pgs 76-77'!F10</f>
        <v>1905555</v>
      </c>
      <c r="G10" s="7">
        <f>'Asotin Pgs 10-11'!G10+'Adams Pgs 8-9'!G10+'Benton-Franklin Pgs 12-13'!G10+'Chelan-Douglas Pgs 14-15'!G10+'Clallam Pgs 16-17'!G10+'Clark Pgs 18-19'!G10+'Columbia Pgs 20-21'!G10+'Cowlitz Pgs 22-23'!G10+'Garfield Pgs 24-25'!G10+'Grant Pgs 26-27'!G10+'Grays Harbor Pgs 28-29'!G10+'Island Pgs 30-31'!G10+'Jefferson Pgs 32-33'!G10+'Kitsap Pgs 34-35'!G10+'Kittitas Pgs 36-37'!G10+'Klickitat Pgs 38-39'!G10+'Lewis Pgs 40-41'!G10+'Lincoln Pgs 42-43'!G10+'Mason Pgs 44-45'!G10+'Northeast Tri Pgs 46-47'!G10+'Okanogan Pgs 48-49'!G10+'Pacific Pgs 50-51'!G10+'San Juan Pgs 52-53'!G10+'Seattle-King Pgs 54-55'!G10+'Skagit Pgs 56-57'!G10+'Skamania Pgs 58-59'!G10+'Snohomish Pgs 60-61'!G10+'Spokane Pgs 62-63'!G10+'Tacoma-Pierce Pgs 64-65'!G10+'Thurston Pgs 66-67'!G10+'Wahkiakum Pgs 68-69'!G10+'Walla Walla Pgs 70-71'!G10+'Whatcom Pgs 72-73'!G10+'Whitman Pgs 74-75'!G10+'Yakima Pgs 76-77'!G10</f>
        <v>4875</v>
      </c>
      <c r="H10" s="15">
        <f>'Asotin Pgs 10-11'!H10+'Adams Pgs 8-9'!H10+'Benton-Franklin Pgs 12-13'!H10+'Chelan-Douglas Pgs 14-15'!H10+'Clallam Pgs 16-17'!H10+'Clark Pgs 18-19'!H10+'Columbia Pgs 20-21'!H10+'Cowlitz Pgs 22-23'!H10+'Garfield Pgs 24-25'!H10+'Grant Pgs 26-27'!H10+'Grays Harbor Pgs 28-29'!H10+'Island Pgs 30-31'!H10+'Jefferson Pgs 32-33'!H10+'Kitsap Pgs 34-35'!H10+'Kittitas Pgs 36-37'!H10+'Klickitat Pgs 38-39'!H10+'Lewis Pgs 40-41'!H10+'Lincoln Pgs 42-43'!H10+'Mason Pgs 44-45'!H10+'Northeast Tri Pgs 46-47'!H10+'Okanogan Pgs 48-49'!H10+'Pacific Pgs 50-51'!H10+'San Juan Pgs 52-53'!H10+'Seattle-King Pgs 54-55'!H10+'Skagit Pgs 56-57'!H10+'Skamania Pgs 58-59'!H10+'Snohomish Pgs 60-61'!H10+'Spokane Pgs 62-63'!H10+'Tacoma-Pierce Pgs 64-65'!H10+'Thurston Pgs 66-67'!H10+'Wahkiakum Pgs 68-69'!H10+'Walla Walla Pgs 70-71'!H10+'Whatcom Pgs 72-73'!H10+'Whitman Pgs 74-75'!H10+'Yakima Pgs 76-77'!H10</f>
        <v>1176589.04</v>
      </c>
      <c r="I10" s="7">
        <f>'Asotin Pgs 10-11'!I10+'Adams Pgs 8-9'!I10+'Benton-Franklin Pgs 12-13'!I10+'Chelan-Douglas Pgs 14-15'!I10+'Clallam Pgs 16-17'!I10+'Clark Pgs 18-19'!I10+'Columbia Pgs 20-21'!I10+'Cowlitz Pgs 22-23'!I10+'Garfield Pgs 24-25'!I10+'Grant Pgs 26-27'!I10+'Grays Harbor Pgs 28-29'!I10+'Island Pgs 30-31'!I10+'Jefferson Pgs 32-33'!I10+'Kitsap Pgs 34-35'!I10+'Kittitas Pgs 36-37'!I10+'Klickitat Pgs 38-39'!I10+'Lewis Pgs 40-41'!I10+'Lincoln Pgs 42-43'!I10+'Mason Pgs 44-45'!I10+'Northeast Tri Pgs 46-47'!I10+'Okanogan Pgs 48-49'!I10+'Pacific Pgs 50-51'!I10+'San Juan Pgs 52-53'!I10+'Seattle-King Pgs 54-55'!I10+'Skagit Pgs 56-57'!I10+'Skamania Pgs 58-59'!I10+'Snohomish Pgs 60-61'!I10+'Spokane Pgs 62-63'!I10+'Tacoma-Pierce Pgs 64-65'!I10+'Thurston Pgs 66-67'!I10+'Wahkiakum Pgs 68-69'!I10+'Walla Walla Pgs 70-71'!I10+'Whatcom Pgs 72-73'!I10+'Whitman Pgs 74-75'!I10+'Yakima Pgs 76-77'!I10</f>
        <v>17000</v>
      </c>
      <c r="J10" s="15">
        <f>'Asotin Pgs 10-11'!M10+'Adams Pgs 8-9'!M10+'Benton-Franklin Pgs 12-13'!M10+'Chelan-Douglas Pgs 14-15'!M10+'Clallam Pgs 16-17'!M10+'Clark Pgs 18-19'!M10+'Columbia Pgs 20-21'!M10+'Cowlitz Pgs 22-23'!M10+'Garfield Pgs 24-25'!M10+'Grant Pgs 26-27'!M10+'Grays Harbor Pgs 28-29'!M10+'Island Pgs 30-31'!M10+'Jefferson Pgs 32-33'!M10+'Kitsap Pgs 34-35'!M10+'Kittitas Pgs 36-37'!M10+'Klickitat Pgs 38-39'!M10+'Lewis Pgs 40-41'!M10+'Lincoln Pgs 42-43'!M10+'Mason Pgs 44-45'!M10+'Northeast Tri Pgs 46-47'!M10+'Okanogan Pgs 48-49'!M10+'Pacific Pgs 50-51'!M10+'San Juan Pgs 52-53'!M10+'Seattle-King Pgs 54-55'!M10+'Skagit Pgs 56-57'!M10+'Skamania Pgs 58-59'!M10+'Snohomish Pgs 60-61'!M10+'Spokane Pgs 62-63'!M10+'Tacoma-Pierce Pgs 64-65'!M10+'Thurston Pgs 66-67'!M10+'Wahkiakum Pgs 68-69'!M10+'Walla Walla Pgs 70-71'!M10+'Whatcom Pgs 72-73'!M10+'Whitman Pgs 74-75'!M10+'Yakima Pgs 76-77'!M10</f>
        <v>5370382.8399999999</v>
      </c>
      <c r="K10" s="7">
        <f>'Asotin Pgs 10-11'!Q10+'Adams Pgs 8-9'!Q10+'Benton-Franklin Pgs 12-13'!Q10+'Chelan-Douglas Pgs 14-15'!Q10+'Clallam Pgs 16-17'!Q10+'Clark Pgs 18-19'!Q10+'Columbia Pgs 20-21'!Q10+'Cowlitz Pgs 22-23'!Q10+'Garfield Pgs 24-25'!Q10+'Grant Pgs 26-27'!Q10+'Grays Harbor Pgs 28-29'!Q10+'Island Pgs 30-31'!Q10+'Jefferson Pgs 32-33'!Q10+'Kitsap Pgs 34-35'!Q10+'Kittitas Pgs 36-37'!Q10+'Klickitat Pgs 38-39'!Q10+'Lewis Pgs 40-41'!Q10+'Lincoln Pgs 42-43'!Q10+'Mason Pgs 44-45'!Q10+'Northeast Tri Pgs 46-47'!Q10+'Okanogan Pgs 48-49'!Q10+'Pacific Pgs 50-51'!Q10+'San Juan Pgs 52-53'!Q10+'Seattle-King Pgs 54-55'!Q10+'Skagit Pgs 56-57'!Q10+'Skamania Pgs 58-59'!Q10+'Snohomish Pgs 60-61'!Q10+'Spokane Pgs 62-63'!Q10+'Tacoma-Pierce Pgs 64-65'!Q10+'Thurston Pgs 66-67'!Q10+'Wahkiakum Pgs 68-69'!Q10+'Walla Walla Pgs 70-71'!Q10+'Whatcom Pgs 72-73'!Q10+'Whitman Pgs 74-75'!Q10+'Yakima Pgs 76-77'!Q10</f>
        <v>4576053.76</v>
      </c>
      <c r="L10" s="15">
        <f>'Asotin Pgs 10-11'!R10+'Adams Pgs 8-9'!R10+'Benton-Franklin Pgs 12-13'!R10+'Chelan-Douglas Pgs 14-15'!R10+'Clallam Pgs 16-17'!R10+'Clark Pgs 18-19'!R10+'Columbia Pgs 20-21'!R10+'Cowlitz Pgs 22-23'!R10+'Garfield Pgs 24-25'!R10+'Grant Pgs 26-27'!R10+'Grays Harbor Pgs 28-29'!R10+'Island Pgs 30-31'!R10+'Jefferson Pgs 32-33'!R10+'Kitsap Pgs 34-35'!R10+'Kittitas Pgs 36-37'!R10+'Klickitat Pgs 38-39'!R10+'Lewis Pgs 40-41'!R10+'Lincoln Pgs 42-43'!R10+'Mason Pgs 44-45'!R10+'Northeast Tri Pgs 46-47'!R10+'Okanogan Pgs 48-49'!R10+'Pacific Pgs 50-51'!R10+'San Juan Pgs 52-53'!R10+'Seattle-King Pgs 54-55'!R10+'Skagit Pgs 56-57'!R10+'Skamania Pgs 58-59'!R10+'Snohomish Pgs 60-61'!R10+'Spokane Pgs 62-63'!R10+'Tacoma-Pierce Pgs 64-65'!R10+'Thurston Pgs 66-67'!R10+'Wahkiakum Pgs 68-69'!R10+'Walla Walla Pgs 70-71'!R10+'Whatcom Pgs 72-73'!R10+'Whitman Pgs 74-75'!R10+'Yakima Pgs 76-77'!R10</f>
        <v>349569.82</v>
      </c>
    </row>
    <row r="11" spans="1:12" x14ac:dyDescent="0.3">
      <c r="A11" s="39">
        <v>562.27</v>
      </c>
      <c r="B11" s="141" t="s">
        <v>85</v>
      </c>
      <c r="C11" s="165">
        <f>'Asotin Pgs 10-11'!C11+'Adams Pgs 8-9'!C11+'Benton-Franklin Pgs 12-13'!C11+'Chelan-Douglas Pgs 14-15'!C11+'Clallam Pgs 16-17'!C11+'Clark Pgs 18-19'!C11+'Columbia Pgs 20-21'!C11+'Cowlitz Pgs 22-23'!C11+'Garfield Pgs 24-25'!C11+'Grant Pgs 26-27'!C11+'Grays Harbor Pgs 28-29'!C11+'Island Pgs 30-31'!C11+'Jefferson Pgs 32-33'!C11+'Kitsap Pgs 34-35'!C11+'Kittitas Pgs 36-37'!C11+'Klickitat Pgs 38-39'!C11+'Lewis Pgs 40-41'!C11+'Lincoln Pgs 42-43'!C11+'Mason Pgs 44-45'!C11+'Northeast Tri Pgs 46-47'!C11+'Okanogan Pgs 48-49'!C11+'Pacific Pgs 50-51'!C11+'San Juan Pgs 52-53'!C11+'Seattle-King Pgs 54-55'!C11+'Skagit Pgs 56-57'!C11+'Skamania Pgs 58-59'!C11+'Snohomish Pgs 60-61'!C11+'Spokane Pgs 62-63'!C11+'Tacoma-Pierce Pgs 64-65'!C11+'Thurston Pgs 66-67'!C11+'Wahkiakum Pgs 68-69'!C11+'Walla Walla Pgs 70-71'!C11+'Whatcom Pgs 72-73'!C11+'Whitman Pgs 74-75'!C11+'Yakima Pgs 76-77'!C11</f>
        <v>1672465.6400000001</v>
      </c>
      <c r="D11" s="17">
        <f>'Asotin Pgs 10-11'!D11+'Adams Pgs 8-9'!D11+'Benton-Franklin Pgs 12-13'!D11+'Chelan-Douglas Pgs 14-15'!D11+'Clallam Pgs 16-17'!D11+'Clark Pgs 18-19'!D11+'Columbia Pgs 20-21'!D11+'Cowlitz Pgs 22-23'!D11+'Garfield Pgs 24-25'!D11+'Grant Pgs 26-27'!D11+'Grays Harbor Pgs 28-29'!D11+'Island Pgs 30-31'!D11+'Jefferson Pgs 32-33'!D11+'Kitsap Pgs 34-35'!D11+'Kittitas Pgs 36-37'!D11+'Klickitat Pgs 38-39'!D11+'Lewis Pgs 40-41'!D11+'Lincoln Pgs 42-43'!D11+'Mason Pgs 44-45'!D11+'Northeast Tri Pgs 46-47'!D11+'Okanogan Pgs 48-49'!D11+'Pacific Pgs 50-51'!D11+'San Juan Pgs 52-53'!D11+'Seattle-King Pgs 54-55'!D11+'Skagit Pgs 56-57'!D11+'Skamania Pgs 58-59'!D11+'Snohomish Pgs 60-61'!D11+'Spokane Pgs 62-63'!D11+'Tacoma-Pierce Pgs 64-65'!D11+'Thurston Pgs 66-67'!D11+'Wahkiakum Pgs 68-69'!D11+'Walla Walla Pgs 70-71'!D11+'Whatcom Pgs 72-73'!D11+'Whitman Pgs 74-75'!D11+'Yakima Pgs 76-77'!D11</f>
        <v>671002.05000000005</v>
      </c>
      <c r="E11" s="165">
        <f>'Asotin Pgs 10-11'!E11+'Adams Pgs 8-9'!E11+'Benton-Franklin Pgs 12-13'!E11+'Chelan-Douglas Pgs 14-15'!E11+'Clallam Pgs 16-17'!E11+'Clark Pgs 18-19'!E11+'Columbia Pgs 20-21'!E11+'Cowlitz Pgs 22-23'!E11+'Garfield Pgs 24-25'!E11+'Grant Pgs 26-27'!E11+'Grays Harbor Pgs 28-29'!E11+'Island Pgs 30-31'!E11+'Jefferson Pgs 32-33'!E11+'Kitsap Pgs 34-35'!E11+'Kittitas Pgs 36-37'!E11+'Klickitat Pgs 38-39'!E11+'Lewis Pgs 40-41'!E11+'Lincoln Pgs 42-43'!E11+'Mason Pgs 44-45'!E11+'Northeast Tri Pgs 46-47'!E11+'Okanogan Pgs 48-49'!E11+'Pacific Pgs 50-51'!E11+'San Juan Pgs 52-53'!E11+'Seattle-King Pgs 54-55'!E11+'Skagit Pgs 56-57'!E11+'Skamania Pgs 58-59'!E11+'Snohomish Pgs 60-61'!E11+'Spokane Pgs 62-63'!E11+'Tacoma-Pierce Pgs 64-65'!E11+'Thurston Pgs 66-67'!E11+'Wahkiakum Pgs 68-69'!E11+'Walla Walla Pgs 70-71'!E11+'Whatcom Pgs 72-73'!E11+'Whitman Pgs 74-75'!E11+'Yakima Pgs 76-77'!E11</f>
        <v>27721</v>
      </c>
      <c r="F11" s="8">
        <f>'Asotin Pgs 10-11'!F11+'Adams Pgs 8-9'!F11+'Benton-Franklin Pgs 12-13'!F11+'Chelan-Douglas Pgs 14-15'!F11+'Clallam Pgs 16-17'!F11+'Clark Pgs 18-19'!F11+'Columbia Pgs 20-21'!F11+'Cowlitz Pgs 22-23'!F11+'Garfield Pgs 24-25'!F11+'Grant Pgs 26-27'!F11+'Grays Harbor Pgs 28-29'!F11+'Island Pgs 30-31'!F11+'Jefferson Pgs 32-33'!F11+'Kitsap Pgs 34-35'!F11+'Kittitas Pgs 36-37'!F11+'Klickitat Pgs 38-39'!F11+'Lewis Pgs 40-41'!F11+'Lincoln Pgs 42-43'!F11+'Mason Pgs 44-45'!F11+'Northeast Tri Pgs 46-47'!F11+'Okanogan Pgs 48-49'!F11+'Pacific Pgs 50-51'!F11+'San Juan Pgs 52-53'!F11+'Seattle-King Pgs 54-55'!F11+'Skagit Pgs 56-57'!F11+'Skamania Pgs 58-59'!F11+'Snohomish Pgs 60-61'!F11+'Spokane Pgs 62-63'!F11+'Tacoma-Pierce Pgs 64-65'!F11+'Thurston Pgs 66-67'!F11+'Wahkiakum Pgs 68-69'!F11+'Walla Walla Pgs 70-71'!F11+'Whatcom Pgs 72-73'!F11+'Whitman Pgs 74-75'!F11+'Yakima Pgs 76-77'!F11</f>
        <v>18638</v>
      </c>
      <c r="G11" s="7">
        <f>'Asotin Pgs 10-11'!G11+'Adams Pgs 8-9'!G11+'Benton-Franklin Pgs 12-13'!G11+'Chelan-Douglas Pgs 14-15'!G11+'Clallam Pgs 16-17'!G11+'Clark Pgs 18-19'!G11+'Columbia Pgs 20-21'!G11+'Cowlitz Pgs 22-23'!G11+'Garfield Pgs 24-25'!G11+'Grant Pgs 26-27'!G11+'Grays Harbor Pgs 28-29'!G11+'Island Pgs 30-31'!G11+'Jefferson Pgs 32-33'!G11+'Kitsap Pgs 34-35'!G11+'Kittitas Pgs 36-37'!G11+'Klickitat Pgs 38-39'!G11+'Lewis Pgs 40-41'!G11+'Lincoln Pgs 42-43'!G11+'Mason Pgs 44-45'!G11+'Northeast Tri Pgs 46-47'!G11+'Okanogan Pgs 48-49'!G11+'Pacific Pgs 50-51'!G11+'San Juan Pgs 52-53'!G11+'Seattle-King Pgs 54-55'!G11+'Skagit Pgs 56-57'!G11+'Skamania Pgs 58-59'!G11+'Snohomish Pgs 60-61'!G11+'Spokane Pgs 62-63'!G11+'Tacoma-Pierce Pgs 64-65'!G11+'Thurston Pgs 66-67'!G11+'Wahkiakum Pgs 68-69'!G11+'Walla Walla Pgs 70-71'!G11+'Whatcom Pgs 72-73'!G11+'Whitman Pgs 74-75'!G11+'Yakima Pgs 76-77'!G11</f>
        <v>0</v>
      </c>
      <c r="H11" s="15">
        <f>'Asotin Pgs 10-11'!H11+'Adams Pgs 8-9'!H11+'Benton-Franklin Pgs 12-13'!H11+'Chelan-Douglas Pgs 14-15'!H11+'Clallam Pgs 16-17'!H11+'Clark Pgs 18-19'!H11+'Columbia Pgs 20-21'!H11+'Cowlitz Pgs 22-23'!H11+'Garfield Pgs 24-25'!H11+'Grant Pgs 26-27'!H11+'Grays Harbor Pgs 28-29'!H11+'Island Pgs 30-31'!H11+'Jefferson Pgs 32-33'!H11+'Kitsap Pgs 34-35'!H11+'Kittitas Pgs 36-37'!H11+'Klickitat Pgs 38-39'!H11+'Lewis Pgs 40-41'!H11+'Lincoln Pgs 42-43'!H11+'Mason Pgs 44-45'!H11+'Northeast Tri Pgs 46-47'!H11+'Okanogan Pgs 48-49'!H11+'Pacific Pgs 50-51'!H11+'San Juan Pgs 52-53'!H11+'Seattle-King Pgs 54-55'!H11+'Skagit Pgs 56-57'!H11+'Skamania Pgs 58-59'!H11+'Snohomish Pgs 60-61'!H11+'Spokane Pgs 62-63'!H11+'Tacoma-Pierce Pgs 64-65'!H11+'Thurston Pgs 66-67'!H11+'Wahkiakum Pgs 68-69'!H11+'Walla Walla Pgs 70-71'!H11+'Whatcom Pgs 72-73'!H11+'Whitman Pgs 74-75'!H11+'Yakima Pgs 76-77'!H11</f>
        <v>539737.05000000005</v>
      </c>
      <c r="I11" s="7">
        <f>'Asotin Pgs 10-11'!I11+'Adams Pgs 8-9'!I11+'Benton-Franklin Pgs 12-13'!I11+'Chelan-Douglas Pgs 14-15'!I11+'Clallam Pgs 16-17'!I11+'Clark Pgs 18-19'!I11+'Columbia Pgs 20-21'!I11+'Cowlitz Pgs 22-23'!I11+'Garfield Pgs 24-25'!I11+'Grant Pgs 26-27'!I11+'Grays Harbor Pgs 28-29'!I11+'Island Pgs 30-31'!I11+'Jefferson Pgs 32-33'!I11+'Kitsap Pgs 34-35'!I11+'Kittitas Pgs 36-37'!I11+'Klickitat Pgs 38-39'!I11+'Lewis Pgs 40-41'!I11+'Lincoln Pgs 42-43'!I11+'Mason Pgs 44-45'!I11+'Northeast Tri Pgs 46-47'!I11+'Okanogan Pgs 48-49'!I11+'Pacific Pgs 50-51'!I11+'San Juan Pgs 52-53'!I11+'Seattle-King Pgs 54-55'!I11+'Skagit Pgs 56-57'!I11+'Skamania Pgs 58-59'!I11+'Snohomish Pgs 60-61'!I11+'Spokane Pgs 62-63'!I11+'Tacoma-Pierce Pgs 64-65'!I11+'Thurston Pgs 66-67'!I11+'Wahkiakum Pgs 68-69'!I11+'Walla Walla Pgs 70-71'!I11+'Whatcom Pgs 72-73'!I11+'Whitman Pgs 74-75'!I11+'Yakima Pgs 76-77'!I11</f>
        <v>0</v>
      </c>
      <c r="J11" s="15">
        <f>'Asotin Pgs 10-11'!M11+'Adams Pgs 8-9'!M11+'Benton-Franklin Pgs 12-13'!M11+'Chelan-Douglas Pgs 14-15'!M11+'Clallam Pgs 16-17'!M11+'Clark Pgs 18-19'!M11+'Columbia Pgs 20-21'!M11+'Cowlitz Pgs 22-23'!M11+'Garfield Pgs 24-25'!M11+'Grant Pgs 26-27'!M11+'Grays Harbor Pgs 28-29'!M11+'Island Pgs 30-31'!M11+'Jefferson Pgs 32-33'!M11+'Kitsap Pgs 34-35'!M11+'Kittitas Pgs 36-37'!M11+'Klickitat Pgs 38-39'!M11+'Lewis Pgs 40-41'!M11+'Lincoln Pgs 42-43'!M11+'Mason Pgs 44-45'!M11+'Northeast Tri Pgs 46-47'!M11+'Okanogan Pgs 48-49'!M11+'Pacific Pgs 50-51'!M11+'San Juan Pgs 52-53'!M11+'Seattle-King Pgs 54-55'!M11+'Skagit Pgs 56-57'!M11+'Skamania Pgs 58-59'!M11+'Snohomish Pgs 60-61'!M11+'Spokane Pgs 62-63'!M11+'Tacoma-Pierce Pgs 64-65'!M11+'Thurston Pgs 66-67'!M11+'Wahkiakum Pgs 68-69'!M11+'Walla Walla Pgs 70-71'!M11+'Whatcom Pgs 72-73'!M11+'Whitman Pgs 74-75'!M11+'Yakima Pgs 76-77'!M11</f>
        <v>11378</v>
      </c>
      <c r="K11" s="7">
        <f>'Asotin Pgs 10-11'!Q11+'Adams Pgs 8-9'!Q11+'Benton-Franklin Pgs 12-13'!Q11+'Chelan-Douglas Pgs 14-15'!Q11+'Clallam Pgs 16-17'!Q11+'Clark Pgs 18-19'!Q11+'Columbia Pgs 20-21'!Q11+'Cowlitz Pgs 22-23'!Q11+'Garfield Pgs 24-25'!Q11+'Grant Pgs 26-27'!Q11+'Grays Harbor Pgs 28-29'!Q11+'Island Pgs 30-31'!Q11+'Jefferson Pgs 32-33'!Q11+'Kitsap Pgs 34-35'!Q11+'Kittitas Pgs 36-37'!Q11+'Klickitat Pgs 38-39'!Q11+'Lewis Pgs 40-41'!Q11+'Lincoln Pgs 42-43'!Q11+'Mason Pgs 44-45'!Q11+'Northeast Tri Pgs 46-47'!Q11+'Okanogan Pgs 48-49'!Q11+'Pacific Pgs 50-51'!Q11+'San Juan Pgs 52-53'!Q11+'Seattle-King Pgs 54-55'!Q11+'Skagit Pgs 56-57'!Q11+'Skamania Pgs 58-59'!Q11+'Snohomish Pgs 60-61'!Q11+'Spokane Pgs 62-63'!Q11+'Tacoma-Pierce Pgs 64-65'!Q11+'Thurston Pgs 66-67'!Q11+'Wahkiakum Pgs 68-69'!Q11+'Walla Walla Pgs 70-71'!Q11+'Whatcom Pgs 72-73'!Q11+'Whitman Pgs 74-75'!Q11+'Yakima Pgs 76-77'!Q11</f>
        <v>67247</v>
      </c>
      <c r="L11" s="15">
        <f>'Asotin Pgs 10-11'!R11+'Adams Pgs 8-9'!R11+'Benton-Franklin Pgs 12-13'!R11+'Chelan-Douglas Pgs 14-15'!R11+'Clallam Pgs 16-17'!R11+'Clark Pgs 18-19'!R11+'Columbia Pgs 20-21'!R11+'Cowlitz Pgs 22-23'!R11+'Garfield Pgs 24-25'!R11+'Grant Pgs 26-27'!R11+'Grays Harbor Pgs 28-29'!R11+'Island Pgs 30-31'!R11+'Jefferson Pgs 32-33'!R11+'Kitsap Pgs 34-35'!R11+'Kittitas Pgs 36-37'!R11+'Klickitat Pgs 38-39'!R11+'Lewis Pgs 40-41'!R11+'Lincoln Pgs 42-43'!R11+'Mason Pgs 44-45'!R11+'Northeast Tri Pgs 46-47'!R11+'Okanogan Pgs 48-49'!R11+'Pacific Pgs 50-51'!R11+'San Juan Pgs 52-53'!R11+'Seattle-King Pgs 54-55'!R11+'Skagit Pgs 56-57'!R11+'Skamania Pgs 58-59'!R11+'Snohomish Pgs 60-61'!R11+'Spokane Pgs 62-63'!R11+'Tacoma-Pierce Pgs 64-65'!R11+'Thurston Pgs 66-67'!R11+'Wahkiakum Pgs 68-69'!R11+'Walla Walla Pgs 70-71'!R11+'Whatcom Pgs 72-73'!R11+'Whitman Pgs 74-75'!R11+'Yakima Pgs 76-77'!R11</f>
        <v>6281</v>
      </c>
    </row>
    <row r="12" spans="1:12" x14ac:dyDescent="0.3">
      <c r="A12" s="39">
        <v>562.28</v>
      </c>
      <c r="B12" s="141" t="s">
        <v>94</v>
      </c>
      <c r="C12" s="165">
        <f>'Asotin Pgs 10-11'!C12+'Adams Pgs 8-9'!C12+'Benton-Franklin Pgs 12-13'!C12+'Chelan-Douglas Pgs 14-15'!C12+'Clallam Pgs 16-17'!C12+'Clark Pgs 18-19'!C12+'Columbia Pgs 20-21'!C12+'Cowlitz Pgs 22-23'!C12+'Garfield Pgs 24-25'!C12+'Grant Pgs 26-27'!C12+'Grays Harbor Pgs 28-29'!C12+'Island Pgs 30-31'!C12+'Jefferson Pgs 32-33'!C12+'Kitsap Pgs 34-35'!C12+'Kittitas Pgs 36-37'!C12+'Klickitat Pgs 38-39'!C12+'Lewis Pgs 40-41'!C12+'Lincoln Pgs 42-43'!C12+'Mason Pgs 44-45'!C12+'Northeast Tri Pgs 46-47'!C12+'Okanogan Pgs 48-49'!C12+'Pacific Pgs 50-51'!C12+'San Juan Pgs 52-53'!C12+'Seattle-King Pgs 54-55'!C12+'Skagit Pgs 56-57'!C12+'Skamania Pgs 58-59'!C12+'Snohomish Pgs 60-61'!C12+'Spokane Pgs 62-63'!C12+'Tacoma-Pierce Pgs 64-65'!C12+'Thurston Pgs 66-67'!C12+'Wahkiakum Pgs 68-69'!C12+'Walla Walla Pgs 70-71'!C12+'Whatcom Pgs 72-73'!C12+'Whitman Pgs 74-75'!C12+'Yakima Pgs 76-77'!C12</f>
        <v>17143843.25</v>
      </c>
      <c r="D12" s="17">
        <f>'Asotin Pgs 10-11'!D12+'Adams Pgs 8-9'!D12+'Benton-Franklin Pgs 12-13'!D12+'Chelan-Douglas Pgs 14-15'!D12+'Clallam Pgs 16-17'!D12+'Clark Pgs 18-19'!D12+'Columbia Pgs 20-21'!D12+'Cowlitz Pgs 22-23'!D12+'Garfield Pgs 24-25'!D12+'Grant Pgs 26-27'!D12+'Grays Harbor Pgs 28-29'!D12+'Island Pgs 30-31'!D12+'Jefferson Pgs 32-33'!D12+'Kitsap Pgs 34-35'!D12+'Kittitas Pgs 36-37'!D12+'Klickitat Pgs 38-39'!D12+'Lewis Pgs 40-41'!D12+'Lincoln Pgs 42-43'!D12+'Mason Pgs 44-45'!D12+'Northeast Tri Pgs 46-47'!D12+'Okanogan Pgs 48-49'!D12+'Pacific Pgs 50-51'!D12+'San Juan Pgs 52-53'!D12+'Seattle-King Pgs 54-55'!D12+'Skagit Pgs 56-57'!D12+'Skamania Pgs 58-59'!D12+'Snohomish Pgs 60-61'!D12+'Spokane Pgs 62-63'!D12+'Tacoma-Pierce Pgs 64-65'!D12+'Thurston Pgs 66-67'!D12+'Wahkiakum Pgs 68-69'!D12+'Walla Walla Pgs 70-71'!D12+'Whatcom Pgs 72-73'!D12+'Whitman Pgs 74-75'!D12+'Yakima Pgs 76-77'!D12</f>
        <v>20304601.869999997</v>
      </c>
      <c r="E12" s="165">
        <f>'Asotin Pgs 10-11'!E12+'Adams Pgs 8-9'!E12+'Benton-Franklin Pgs 12-13'!E12+'Chelan-Douglas Pgs 14-15'!E12+'Clallam Pgs 16-17'!E12+'Clark Pgs 18-19'!E12+'Columbia Pgs 20-21'!E12+'Cowlitz Pgs 22-23'!E12+'Garfield Pgs 24-25'!E12+'Grant Pgs 26-27'!E12+'Grays Harbor Pgs 28-29'!E12+'Island Pgs 30-31'!E12+'Jefferson Pgs 32-33'!E12+'Kitsap Pgs 34-35'!E12+'Kittitas Pgs 36-37'!E12+'Klickitat Pgs 38-39'!E12+'Lewis Pgs 40-41'!E12+'Lincoln Pgs 42-43'!E12+'Mason Pgs 44-45'!E12+'Northeast Tri Pgs 46-47'!E12+'Okanogan Pgs 48-49'!E12+'Pacific Pgs 50-51'!E12+'San Juan Pgs 52-53'!E12+'Seattle-King Pgs 54-55'!E12+'Skagit Pgs 56-57'!E12+'Skamania Pgs 58-59'!E12+'Snohomish Pgs 60-61'!E12+'Spokane Pgs 62-63'!E12+'Tacoma-Pierce Pgs 64-65'!E12+'Thurston Pgs 66-67'!E12+'Wahkiakum Pgs 68-69'!E12+'Walla Walla Pgs 70-71'!E12+'Whatcom Pgs 72-73'!E12+'Whitman Pgs 74-75'!E12+'Yakima Pgs 76-77'!E12</f>
        <v>0</v>
      </c>
      <c r="F12" s="8">
        <f>'Asotin Pgs 10-11'!F12+'Adams Pgs 8-9'!F12+'Benton-Franklin Pgs 12-13'!F12+'Chelan-Douglas Pgs 14-15'!F12+'Clallam Pgs 16-17'!F12+'Clark Pgs 18-19'!F12+'Columbia Pgs 20-21'!F12+'Cowlitz Pgs 22-23'!F12+'Garfield Pgs 24-25'!F12+'Grant Pgs 26-27'!F12+'Grays Harbor Pgs 28-29'!F12+'Island Pgs 30-31'!F12+'Jefferson Pgs 32-33'!F12+'Kitsap Pgs 34-35'!F12+'Kittitas Pgs 36-37'!F12+'Klickitat Pgs 38-39'!F12+'Lewis Pgs 40-41'!F12+'Lincoln Pgs 42-43'!F12+'Mason Pgs 44-45'!F12+'Northeast Tri Pgs 46-47'!F12+'Okanogan Pgs 48-49'!F12+'Pacific Pgs 50-51'!F12+'San Juan Pgs 52-53'!F12+'Seattle-King Pgs 54-55'!F12+'Skagit Pgs 56-57'!F12+'Skamania Pgs 58-59'!F12+'Snohomish Pgs 60-61'!F12+'Spokane Pgs 62-63'!F12+'Tacoma-Pierce Pgs 64-65'!F12+'Thurston Pgs 66-67'!F12+'Wahkiakum Pgs 68-69'!F12+'Walla Walla Pgs 70-71'!F12+'Whatcom Pgs 72-73'!F12+'Whitman Pgs 74-75'!F12+'Yakima Pgs 76-77'!F12</f>
        <v>1402976</v>
      </c>
      <c r="G12" s="7">
        <f>'Asotin Pgs 10-11'!G12+'Adams Pgs 8-9'!G12+'Benton-Franklin Pgs 12-13'!G12+'Chelan-Douglas Pgs 14-15'!G12+'Clallam Pgs 16-17'!G12+'Clark Pgs 18-19'!G12+'Columbia Pgs 20-21'!G12+'Cowlitz Pgs 22-23'!G12+'Garfield Pgs 24-25'!G12+'Grant Pgs 26-27'!G12+'Grays Harbor Pgs 28-29'!G12+'Island Pgs 30-31'!G12+'Jefferson Pgs 32-33'!G12+'Kitsap Pgs 34-35'!G12+'Kittitas Pgs 36-37'!G12+'Klickitat Pgs 38-39'!G12+'Lewis Pgs 40-41'!G12+'Lincoln Pgs 42-43'!G12+'Mason Pgs 44-45'!G12+'Northeast Tri Pgs 46-47'!G12+'Okanogan Pgs 48-49'!G12+'Pacific Pgs 50-51'!G12+'San Juan Pgs 52-53'!G12+'Seattle-King Pgs 54-55'!G12+'Skagit Pgs 56-57'!G12+'Skamania Pgs 58-59'!G12+'Snohomish Pgs 60-61'!G12+'Spokane Pgs 62-63'!G12+'Tacoma-Pierce Pgs 64-65'!G12+'Thurston Pgs 66-67'!G12+'Wahkiakum Pgs 68-69'!G12+'Walla Walla Pgs 70-71'!G12+'Whatcom Pgs 72-73'!G12+'Whitman Pgs 74-75'!G12+'Yakima Pgs 76-77'!G12</f>
        <v>0</v>
      </c>
      <c r="H12" s="15">
        <f>'Asotin Pgs 10-11'!H12+'Adams Pgs 8-9'!H12+'Benton-Franklin Pgs 12-13'!H12+'Chelan-Douglas Pgs 14-15'!H12+'Clallam Pgs 16-17'!H12+'Clark Pgs 18-19'!H12+'Columbia Pgs 20-21'!H12+'Cowlitz Pgs 22-23'!H12+'Garfield Pgs 24-25'!H12+'Grant Pgs 26-27'!H12+'Grays Harbor Pgs 28-29'!H12+'Island Pgs 30-31'!H12+'Jefferson Pgs 32-33'!H12+'Kitsap Pgs 34-35'!H12+'Kittitas Pgs 36-37'!H12+'Klickitat Pgs 38-39'!H12+'Lewis Pgs 40-41'!H12+'Lincoln Pgs 42-43'!H12+'Mason Pgs 44-45'!H12+'Northeast Tri Pgs 46-47'!H12+'Okanogan Pgs 48-49'!H12+'Pacific Pgs 50-51'!H12+'San Juan Pgs 52-53'!H12+'Seattle-King Pgs 54-55'!H12+'Skagit Pgs 56-57'!H12+'Skamania Pgs 58-59'!H12+'Snohomish Pgs 60-61'!H12+'Spokane Pgs 62-63'!H12+'Tacoma-Pierce Pgs 64-65'!H12+'Thurston Pgs 66-67'!H12+'Wahkiakum Pgs 68-69'!H12+'Walla Walla Pgs 70-71'!H12+'Whatcom Pgs 72-73'!H12+'Whitman Pgs 74-75'!H12+'Yakima Pgs 76-77'!H12</f>
        <v>8433749.129999999</v>
      </c>
      <c r="I12" s="7">
        <f>'Asotin Pgs 10-11'!I12+'Adams Pgs 8-9'!I12+'Benton-Franklin Pgs 12-13'!I12+'Chelan-Douglas Pgs 14-15'!I12+'Clallam Pgs 16-17'!I12+'Clark Pgs 18-19'!I12+'Columbia Pgs 20-21'!I12+'Cowlitz Pgs 22-23'!I12+'Garfield Pgs 24-25'!I12+'Grant Pgs 26-27'!I12+'Grays Harbor Pgs 28-29'!I12+'Island Pgs 30-31'!I12+'Jefferson Pgs 32-33'!I12+'Kitsap Pgs 34-35'!I12+'Kittitas Pgs 36-37'!I12+'Klickitat Pgs 38-39'!I12+'Lewis Pgs 40-41'!I12+'Lincoln Pgs 42-43'!I12+'Mason Pgs 44-45'!I12+'Northeast Tri Pgs 46-47'!I12+'Okanogan Pgs 48-49'!I12+'Pacific Pgs 50-51'!I12+'San Juan Pgs 52-53'!I12+'Seattle-King Pgs 54-55'!I12+'Skagit Pgs 56-57'!I12+'Skamania Pgs 58-59'!I12+'Snohomish Pgs 60-61'!I12+'Spokane Pgs 62-63'!I12+'Tacoma-Pierce Pgs 64-65'!I12+'Thurston Pgs 66-67'!I12+'Wahkiakum Pgs 68-69'!I12+'Walla Walla Pgs 70-71'!I12+'Whatcom Pgs 72-73'!I12+'Whitman Pgs 74-75'!I12+'Yakima Pgs 76-77'!I12</f>
        <v>7527139</v>
      </c>
      <c r="J12" s="15">
        <f>'Asotin Pgs 10-11'!M12+'Adams Pgs 8-9'!M12+'Benton-Franklin Pgs 12-13'!M12+'Chelan-Douglas Pgs 14-15'!M12+'Clallam Pgs 16-17'!M12+'Clark Pgs 18-19'!M12+'Columbia Pgs 20-21'!M12+'Cowlitz Pgs 22-23'!M12+'Garfield Pgs 24-25'!M12+'Grant Pgs 26-27'!M12+'Grays Harbor Pgs 28-29'!M12+'Island Pgs 30-31'!M12+'Jefferson Pgs 32-33'!M12+'Kitsap Pgs 34-35'!M12+'Kittitas Pgs 36-37'!M12+'Klickitat Pgs 38-39'!M12+'Lewis Pgs 40-41'!M12+'Lincoln Pgs 42-43'!M12+'Mason Pgs 44-45'!M12+'Northeast Tri Pgs 46-47'!M12+'Okanogan Pgs 48-49'!M12+'Pacific Pgs 50-51'!M12+'San Juan Pgs 52-53'!M12+'Seattle-King Pgs 54-55'!M12+'Skagit Pgs 56-57'!M12+'Skamania Pgs 58-59'!M12+'Snohomish Pgs 60-61'!M12+'Spokane Pgs 62-63'!M12+'Tacoma-Pierce Pgs 64-65'!M12+'Thurston Pgs 66-67'!M12+'Wahkiakum Pgs 68-69'!M12+'Walla Walla Pgs 70-71'!M12+'Whatcom Pgs 72-73'!M12+'Whitman Pgs 74-75'!M12+'Yakima Pgs 76-77'!M12</f>
        <v>2028725.74</v>
      </c>
      <c r="K12" s="7">
        <f>'Asotin Pgs 10-11'!Q12+'Adams Pgs 8-9'!Q12+'Benton-Franklin Pgs 12-13'!Q12+'Chelan-Douglas Pgs 14-15'!Q12+'Clallam Pgs 16-17'!Q12+'Clark Pgs 18-19'!Q12+'Columbia Pgs 20-21'!Q12+'Cowlitz Pgs 22-23'!Q12+'Garfield Pgs 24-25'!Q12+'Grant Pgs 26-27'!Q12+'Grays Harbor Pgs 28-29'!Q12+'Island Pgs 30-31'!Q12+'Jefferson Pgs 32-33'!Q12+'Kitsap Pgs 34-35'!Q12+'Kittitas Pgs 36-37'!Q12+'Klickitat Pgs 38-39'!Q12+'Lewis Pgs 40-41'!Q12+'Lincoln Pgs 42-43'!Q12+'Mason Pgs 44-45'!Q12+'Northeast Tri Pgs 46-47'!Q12+'Okanogan Pgs 48-49'!Q12+'Pacific Pgs 50-51'!Q12+'San Juan Pgs 52-53'!Q12+'Seattle-King Pgs 54-55'!Q12+'Skagit Pgs 56-57'!Q12+'Skamania Pgs 58-59'!Q12+'Snohomish Pgs 60-61'!Q12+'Spokane Pgs 62-63'!Q12+'Tacoma-Pierce Pgs 64-65'!Q12+'Thurston Pgs 66-67'!Q12+'Wahkiakum Pgs 68-69'!Q12+'Walla Walla Pgs 70-71'!Q12+'Whatcom Pgs 72-73'!Q12+'Whitman Pgs 74-75'!Q12+'Yakima Pgs 76-77'!Q12</f>
        <v>542844</v>
      </c>
      <c r="L12" s="15">
        <f>'Asotin Pgs 10-11'!R12+'Adams Pgs 8-9'!R12+'Benton-Franklin Pgs 12-13'!R12+'Chelan-Douglas Pgs 14-15'!R12+'Clallam Pgs 16-17'!R12+'Clark Pgs 18-19'!R12+'Columbia Pgs 20-21'!R12+'Cowlitz Pgs 22-23'!R12+'Garfield Pgs 24-25'!R12+'Grant Pgs 26-27'!R12+'Grays Harbor Pgs 28-29'!R12+'Island Pgs 30-31'!R12+'Jefferson Pgs 32-33'!R12+'Kitsap Pgs 34-35'!R12+'Kittitas Pgs 36-37'!R12+'Klickitat Pgs 38-39'!R12+'Lewis Pgs 40-41'!R12+'Lincoln Pgs 42-43'!R12+'Mason Pgs 44-45'!R12+'Northeast Tri Pgs 46-47'!R12+'Okanogan Pgs 48-49'!R12+'Pacific Pgs 50-51'!R12+'San Juan Pgs 52-53'!R12+'Seattle-King Pgs 54-55'!R12+'Skagit Pgs 56-57'!R12+'Skamania Pgs 58-59'!R12+'Snohomish Pgs 60-61'!R12+'Spokane Pgs 62-63'!R12+'Tacoma-Pierce Pgs 64-65'!R12+'Thurston Pgs 66-67'!R12+'Wahkiakum Pgs 68-69'!R12+'Walla Walla Pgs 70-71'!R12+'Whatcom Pgs 72-73'!R12+'Whitman Pgs 74-75'!R12+'Yakima Pgs 76-77'!R12</f>
        <v>369168</v>
      </c>
    </row>
    <row r="13" spans="1:12" x14ac:dyDescent="0.3">
      <c r="A13" s="39">
        <v>562.29</v>
      </c>
      <c r="B13" s="141" t="s">
        <v>86</v>
      </c>
      <c r="C13" s="165">
        <f>'Asotin Pgs 10-11'!C13+'Adams Pgs 8-9'!C13+'Benton-Franklin Pgs 12-13'!C13+'Chelan-Douglas Pgs 14-15'!C13+'Clallam Pgs 16-17'!C13+'Clark Pgs 18-19'!C13+'Columbia Pgs 20-21'!C13+'Cowlitz Pgs 22-23'!C13+'Garfield Pgs 24-25'!C13+'Grant Pgs 26-27'!C13+'Grays Harbor Pgs 28-29'!C13+'Island Pgs 30-31'!C13+'Jefferson Pgs 32-33'!C13+'Kitsap Pgs 34-35'!C13+'Kittitas Pgs 36-37'!C13+'Klickitat Pgs 38-39'!C13+'Lewis Pgs 40-41'!C13+'Lincoln Pgs 42-43'!C13+'Mason Pgs 44-45'!C13+'Northeast Tri Pgs 46-47'!C13+'Okanogan Pgs 48-49'!C13+'Pacific Pgs 50-51'!C13+'San Juan Pgs 52-53'!C13+'Seattle-King Pgs 54-55'!C13+'Skagit Pgs 56-57'!C13+'Skamania Pgs 58-59'!C13+'Snohomish Pgs 60-61'!C13+'Spokane Pgs 62-63'!C13+'Tacoma-Pierce Pgs 64-65'!C13+'Thurston Pgs 66-67'!C13+'Wahkiakum Pgs 68-69'!C13+'Walla Walla Pgs 70-71'!C13+'Whatcom Pgs 72-73'!C13+'Whitman Pgs 74-75'!C13+'Yakima Pgs 76-77'!C13</f>
        <v>26520681.800000001</v>
      </c>
      <c r="D13" s="17">
        <f>'Asotin Pgs 10-11'!D13+'Adams Pgs 8-9'!D13+'Benton-Franklin Pgs 12-13'!D13+'Chelan-Douglas Pgs 14-15'!D13+'Clallam Pgs 16-17'!D13+'Clark Pgs 18-19'!D13+'Columbia Pgs 20-21'!D13+'Cowlitz Pgs 22-23'!D13+'Garfield Pgs 24-25'!D13+'Grant Pgs 26-27'!D13+'Grays Harbor Pgs 28-29'!D13+'Island Pgs 30-31'!D13+'Jefferson Pgs 32-33'!D13+'Kitsap Pgs 34-35'!D13+'Kittitas Pgs 36-37'!D13+'Klickitat Pgs 38-39'!D13+'Lewis Pgs 40-41'!D13+'Lincoln Pgs 42-43'!D13+'Mason Pgs 44-45'!D13+'Northeast Tri Pgs 46-47'!D13+'Okanogan Pgs 48-49'!D13+'Pacific Pgs 50-51'!D13+'San Juan Pgs 52-53'!D13+'Seattle-King Pgs 54-55'!D13+'Skagit Pgs 56-57'!D13+'Skamania Pgs 58-59'!D13+'Snohomish Pgs 60-61'!D13+'Spokane Pgs 62-63'!D13+'Tacoma-Pierce Pgs 64-65'!D13+'Thurston Pgs 66-67'!D13+'Wahkiakum Pgs 68-69'!D13+'Walla Walla Pgs 70-71'!D13+'Whatcom Pgs 72-73'!D13+'Whitman Pgs 74-75'!D13+'Yakima Pgs 76-77'!D13</f>
        <v>30616897.460000001</v>
      </c>
      <c r="E13" s="165">
        <f>'Asotin Pgs 10-11'!E13+'Adams Pgs 8-9'!E13+'Benton-Franklin Pgs 12-13'!E13+'Chelan-Douglas Pgs 14-15'!E13+'Clallam Pgs 16-17'!E13+'Clark Pgs 18-19'!E13+'Columbia Pgs 20-21'!E13+'Cowlitz Pgs 22-23'!E13+'Garfield Pgs 24-25'!E13+'Grant Pgs 26-27'!E13+'Grays Harbor Pgs 28-29'!E13+'Island Pgs 30-31'!E13+'Jefferson Pgs 32-33'!E13+'Kitsap Pgs 34-35'!E13+'Kittitas Pgs 36-37'!E13+'Klickitat Pgs 38-39'!E13+'Lewis Pgs 40-41'!E13+'Lincoln Pgs 42-43'!E13+'Mason Pgs 44-45'!E13+'Northeast Tri Pgs 46-47'!E13+'Okanogan Pgs 48-49'!E13+'Pacific Pgs 50-51'!E13+'San Juan Pgs 52-53'!E13+'Seattle-King Pgs 54-55'!E13+'Skagit Pgs 56-57'!E13+'Skamania Pgs 58-59'!E13+'Snohomish Pgs 60-61'!E13+'Spokane Pgs 62-63'!E13+'Tacoma-Pierce Pgs 64-65'!E13+'Thurston Pgs 66-67'!E13+'Wahkiakum Pgs 68-69'!E13+'Walla Walla Pgs 70-71'!E13+'Whatcom Pgs 72-73'!E13+'Whitman Pgs 74-75'!E13+'Yakima Pgs 76-77'!E13</f>
        <v>93267</v>
      </c>
      <c r="F13" s="8">
        <f>'Asotin Pgs 10-11'!F13+'Adams Pgs 8-9'!F13+'Benton-Franklin Pgs 12-13'!F13+'Chelan-Douglas Pgs 14-15'!F13+'Clallam Pgs 16-17'!F13+'Clark Pgs 18-19'!F13+'Columbia Pgs 20-21'!F13+'Cowlitz Pgs 22-23'!F13+'Garfield Pgs 24-25'!F13+'Grant Pgs 26-27'!F13+'Grays Harbor Pgs 28-29'!F13+'Island Pgs 30-31'!F13+'Jefferson Pgs 32-33'!F13+'Kitsap Pgs 34-35'!F13+'Kittitas Pgs 36-37'!F13+'Klickitat Pgs 38-39'!F13+'Lewis Pgs 40-41'!F13+'Lincoln Pgs 42-43'!F13+'Mason Pgs 44-45'!F13+'Northeast Tri Pgs 46-47'!F13+'Okanogan Pgs 48-49'!F13+'Pacific Pgs 50-51'!F13+'San Juan Pgs 52-53'!F13+'Seattle-King Pgs 54-55'!F13+'Skagit Pgs 56-57'!F13+'Skamania Pgs 58-59'!F13+'Snohomish Pgs 60-61'!F13+'Spokane Pgs 62-63'!F13+'Tacoma-Pierce Pgs 64-65'!F13+'Thurston Pgs 66-67'!F13+'Wahkiakum Pgs 68-69'!F13+'Walla Walla Pgs 70-71'!F13+'Whatcom Pgs 72-73'!F13+'Whitman Pgs 74-75'!F13+'Yakima Pgs 76-77'!F13</f>
        <v>879399.91999999993</v>
      </c>
      <c r="G13" s="7">
        <f>'Asotin Pgs 10-11'!G13+'Adams Pgs 8-9'!G13+'Benton-Franklin Pgs 12-13'!G13+'Chelan-Douglas Pgs 14-15'!G13+'Clallam Pgs 16-17'!G13+'Clark Pgs 18-19'!G13+'Columbia Pgs 20-21'!G13+'Cowlitz Pgs 22-23'!G13+'Garfield Pgs 24-25'!G13+'Grant Pgs 26-27'!G13+'Grays Harbor Pgs 28-29'!G13+'Island Pgs 30-31'!G13+'Jefferson Pgs 32-33'!G13+'Kitsap Pgs 34-35'!G13+'Kittitas Pgs 36-37'!G13+'Klickitat Pgs 38-39'!G13+'Lewis Pgs 40-41'!G13+'Lincoln Pgs 42-43'!G13+'Mason Pgs 44-45'!G13+'Northeast Tri Pgs 46-47'!G13+'Okanogan Pgs 48-49'!G13+'Pacific Pgs 50-51'!G13+'San Juan Pgs 52-53'!G13+'Seattle-King Pgs 54-55'!G13+'Skagit Pgs 56-57'!G13+'Skamania Pgs 58-59'!G13+'Snohomish Pgs 60-61'!G13+'Spokane Pgs 62-63'!G13+'Tacoma-Pierce Pgs 64-65'!G13+'Thurston Pgs 66-67'!G13+'Wahkiakum Pgs 68-69'!G13+'Walla Walla Pgs 70-71'!G13+'Whatcom Pgs 72-73'!G13+'Whitman Pgs 74-75'!G13+'Yakima Pgs 76-77'!G13</f>
        <v>1218213.6499999999</v>
      </c>
      <c r="H13" s="15">
        <f>'Asotin Pgs 10-11'!H13+'Adams Pgs 8-9'!H13+'Benton-Franklin Pgs 12-13'!H13+'Chelan-Douglas Pgs 14-15'!H13+'Clallam Pgs 16-17'!H13+'Clark Pgs 18-19'!H13+'Columbia Pgs 20-21'!H13+'Cowlitz Pgs 22-23'!H13+'Garfield Pgs 24-25'!H13+'Grant Pgs 26-27'!H13+'Grays Harbor Pgs 28-29'!H13+'Island Pgs 30-31'!H13+'Jefferson Pgs 32-33'!H13+'Kitsap Pgs 34-35'!H13+'Kittitas Pgs 36-37'!H13+'Klickitat Pgs 38-39'!H13+'Lewis Pgs 40-41'!H13+'Lincoln Pgs 42-43'!H13+'Mason Pgs 44-45'!H13+'Northeast Tri Pgs 46-47'!H13+'Okanogan Pgs 48-49'!H13+'Pacific Pgs 50-51'!H13+'San Juan Pgs 52-53'!H13+'Seattle-King Pgs 54-55'!H13+'Skagit Pgs 56-57'!H13+'Skamania Pgs 58-59'!H13+'Snohomish Pgs 60-61'!H13+'Spokane Pgs 62-63'!H13+'Tacoma-Pierce Pgs 64-65'!H13+'Thurston Pgs 66-67'!H13+'Wahkiakum Pgs 68-69'!H13+'Walla Walla Pgs 70-71'!H13+'Whatcom Pgs 72-73'!H13+'Whitman Pgs 74-75'!H13+'Yakima Pgs 76-77'!H13</f>
        <v>1332712.2400000002</v>
      </c>
      <c r="I13" s="7">
        <f>'Asotin Pgs 10-11'!I13+'Adams Pgs 8-9'!I13+'Benton-Franklin Pgs 12-13'!I13+'Chelan-Douglas Pgs 14-15'!I13+'Clallam Pgs 16-17'!I13+'Clark Pgs 18-19'!I13+'Columbia Pgs 20-21'!I13+'Cowlitz Pgs 22-23'!I13+'Garfield Pgs 24-25'!I13+'Grant Pgs 26-27'!I13+'Grays Harbor Pgs 28-29'!I13+'Island Pgs 30-31'!I13+'Jefferson Pgs 32-33'!I13+'Kitsap Pgs 34-35'!I13+'Kittitas Pgs 36-37'!I13+'Klickitat Pgs 38-39'!I13+'Lewis Pgs 40-41'!I13+'Lincoln Pgs 42-43'!I13+'Mason Pgs 44-45'!I13+'Northeast Tri Pgs 46-47'!I13+'Okanogan Pgs 48-49'!I13+'Pacific Pgs 50-51'!I13+'San Juan Pgs 52-53'!I13+'Seattle-King Pgs 54-55'!I13+'Skagit Pgs 56-57'!I13+'Skamania Pgs 58-59'!I13+'Snohomish Pgs 60-61'!I13+'Spokane Pgs 62-63'!I13+'Tacoma-Pierce Pgs 64-65'!I13+'Thurston Pgs 66-67'!I13+'Wahkiakum Pgs 68-69'!I13+'Walla Walla Pgs 70-71'!I13+'Whatcom Pgs 72-73'!I13+'Whitman Pgs 74-75'!I13+'Yakima Pgs 76-77'!I13</f>
        <v>3656691</v>
      </c>
      <c r="J13" s="15">
        <f>'Asotin Pgs 10-11'!M13+'Adams Pgs 8-9'!M13+'Benton-Franklin Pgs 12-13'!M13+'Chelan-Douglas Pgs 14-15'!M13+'Clallam Pgs 16-17'!M13+'Clark Pgs 18-19'!M13+'Columbia Pgs 20-21'!M13+'Cowlitz Pgs 22-23'!M13+'Garfield Pgs 24-25'!M13+'Grant Pgs 26-27'!M13+'Grays Harbor Pgs 28-29'!M13+'Island Pgs 30-31'!M13+'Jefferson Pgs 32-33'!M13+'Kitsap Pgs 34-35'!M13+'Kittitas Pgs 36-37'!M13+'Klickitat Pgs 38-39'!M13+'Lewis Pgs 40-41'!M13+'Lincoln Pgs 42-43'!M13+'Mason Pgs 44-45'!M13+'Northeast Tri Pgs 46-47'!M13+'Okanogan Pgs 48-49'!M13+'Pacific Pgs 50-51'!M13+'San Juan Pgs 52-53'!M13+'Seattle-King Pgs 54-55'!M13+'Skagit Pgs 56-57'!M13+'Skamania Pgs 58-59'!M13+'Snohomish Pgs 60-61'!M13+'Spokane Pgs 62-63'!M13+'Tacoma-Pierce Pgs 64-65'!M13+'Thurston Pgs 66-67'!M13+'Wahkiakum Pgs 68-69'!M13+'Walla Walla Pgs 70-71'!M13+'Whatcom Pgs 72-73'!M13+'Whitman Pgs 74-75'!M13+'Yakima Pgs 76-77'!M13</f>
        <v>5155407.5199999996</v>
      </c>
      <c r="K13" s="7">
        <f>'Asotin Pgs 10-11'!Q13+'Adams Pgs 8-9'!Q13+'Benton-Franklin Pgs 12-13'!Q13+'Chelan-Douglas Pgs 14-15'!Q13+'Clallam Pgs 16-17'!Q13+'Clark Pgs 18-19'!Q13+'Columbia Pgs 20-21'!Q13+'Cowlitz Pgs 22-23'!Q13+'Garfield Pgs 24-25'!Q13+'Grant Pgs 26-27'!Q13+'Grays Harbor Pgs 28-29'!Q13+'Island Pgs 30-31'!Q13+'Jefferson Pgs 32-33'!Q13+'Kitsap Pgs 34-35'!Q13+'Kittitas Pgs 36-37'!Q13+'Klickitat Pgs 38-39'!Q13+'Lewis Pgs 40-41'!Q13+'Lincoln Pgs 42-43'!Q13+'Mason Pgs 44-45'!Q13+'Northeast Tri Pgs 46-47'!Q13+'Okanogan Pgs 48-49'!Q13+'Pacific Pgs 50-51'!Q13+'San Juan Pgs 52-53'!Q13+'Seattle-King Pgs 54-55'!Q13+'Skagit Pgs 56-57'!Q13+'Skamania Pgs 58-59'!Q13+'Snohomish Pgs 60-61'!Q13+'Spokane Pgs 62-63'!Q13+'Tacoma-Pierce Pgs 64-65'!Q13+'Thurston Pgs 66-67'!Q13+'Wahkiakum Pgs 68-69'!Q13+'Walla Walla Pgs 70-71'!Q13+'Whatcom Pgs 72-73'!Q13+'Whitman Pgs 74-75'!Q13+'Yakima Pgs 76-77'!Q13</f>
        <v>16532958.130000001</v>
      </c>
      <c r="L13" s="15">
        <f>'Asotin Pgs 10-11'!R13+'Adams Pgs 8-9'!R13+'Benton-Franklin Pgs 12-13'!R13+'Chelan-Douglas Pgs 14-15'!R13+'Clallam Pgs 16-17'!R13+'Clark Pgs 18-19'!R13+'Columbia Pgs 20-21'!R13+'Cowlitz Pgs 22-23'!R13+'Garfield Pgs 24-25'!R13+'Grant Pgs 26-27'!R13+'Grays Harbor Pgs 28-29'!R13+'Island Pgs 30-31'!R13+'Jefferson Pgs 32-33'!R13+'Kitsap Pgs 34-35'!R13+'Kittitas Pgs 36-37'!R13+'Klickitat Pgs 38-39'!R13+'Lewis Pgs 40-41'!R13+'Lincoln Pgs 42-43'!R13+'Mason Pgs 44-45'!R13+'Northeast Tri Pgs 46-47'!R13+'Okanogan Pgs 48-49'!R13+'Pacific Pgs 50-51'!R13+'San Juan Pgs 52-53'!R13+'Seattle-King Pgs 54-55'!R13+'Skagit Pgs 56-57'!R13+'Skamania Pgs 58-59'!R13+'Snohomish Pgs 60-61'!R13+'Spokane Pgs 62-63'!R13+'Tacoma-Pierce Pgs 64-65'!R13+'Thurston Pgs 66-67'!R13+'Wahkiakum Pgs 68-69'!R13+'Walla Walla Pgs 70-71'!R13+'Whatcom Pgs 72-73'!R13+'Whitman Pgs 74-75'!R13+'Yakima Pgs 76-77'!R13</f>
        <v>1748248</v>
      </c>
    </row>
    <row r="14" spans="1:12" x14ac:dyDescent="0.3">
      <c r="A14" s="39">
        <v>562.32000000000005</v>
      </c>
      <c r="B14" s="40" t="s">
        <v>50</v>
      </c>
      <c r="C14" s="165">
        <f>'Asotin Pgs 10-11'!C14+'Adams Pgs 8-9'!C14+'Benton-Franklin Pgs 12-13'!C14+'Chelan-Douglas Pgs 14-15'!C14+'Clallam Pgs 16-17'!C14+'Clark Pgs 18-19'!C14+'Columbia Pgs 20-21'!C14+'Cowlitz Pgs 22-23'!C14+'Garfield Pgs 24-25'!C14+'Grant Pgs 26-27'!C14+'Grays Harbor Pgs 28-29'!C14+'Island Pgs 30-31'!C14+'Jefferson Pgs 32-33'!C14+'Kitsap Pgs 34-35'!C14+'Kittitas Pgs 36-37'!C14+'Klickitat Pgs 38-39'!C14+'Lewis Pgs 40-41'!C14+'Lincoln Pgs 42-43'!C14+'Mason Pgs 44-45'!C14+'Northeast Tri Pgs 46-47'!C14+'Okanogan Pgs 48-49'!C14+'Pacific Pgs 50-51'!C14+'San Juan Pgs 52-53'!C14+'Seattle-King Pgs 54-55'!C14+'Skagit Pgs 56-57'!C14+'Skamania Pgs 58-59'!C14+'Snohomish Pgs 60-61'!C14+'Spokane Pgs 62-63'!C14+'Tacoma-Pierce Pgs 64-65'!C14+'Thurston Pgs 66-67'!C14+'Wahkiakum Pgs 68-69'!C14+'Walla Walla Pgs 70-71'!C14+'Whatcom Pgs 72-73'!C14+'Whitman Pgs 74-75'!C14+'Yakima Pgs 76-77'!C14</f>
        <v>8183404.1799999997</v>
      </c>
      <c r="D14" s="17">
        <f>'Asotin Pgs 10-11'!D14+'Adams Pgs 8-9'!D14+'Benton-Franklin Pgs 12-13'!D14+'Chelan-Douglas Pgs 14-15'!D14+'Clallam Pgs 16-17'!D14+'Clark Pgs 18-19'!D14+'Columbia Pgs 20-21'!D14+'Cowlitz Pgs 22-23'!D14+'Garfield Pgs 24-25'!D14+'Grant Pgs 26-27'!D14+'Grays Harbor Pgs 28-29'!D14+'Island Pgs 30-31'!D14+'Jefferson Pgs 32-33'!D14+'Kitsap Pgs 34-35'!D14+'Kittitas Pgs 36-37'!D14+'Klickitat Pgs 38-39'!D14+'Lewis Pgs 40-41'!D14+'Lincoln Pgs 42-43'!D14+'Mason Pgs 44-45'!D14+'Northeast Tri Pgs 46-47'!D14+'Okanogan Pgs 48-49'!D14+'Pacific Pgs 50-51'!D14+'San Juan Pgs 52-53'!D14+'Seattle-King Pgs 54-55'!D14+'Skagit Pgs 56-57'!D14+'Skamania Pgs 58-59'!D14+'Snohomish Pgs 60-61'!D14+'Spokane Pgs 62-63'!D14+'Tacoma-Pierce Pgs 64-65'!D14+'Thurston Pgs 66-67'!D14+'Wahkiakum Pgs 68-69'!D14+'Walla Walla Pgs 70-71'!D14+'Whatcom Pgs 72-73'!D14+'Whitman Pgs 74-75'!D14+'Yakima Pgs 76-77'!D14</f>
        <v>7815654.2300000004</v>
      </c>
      <c r="E14" s="165">
        <f>'Asotin Pgs 10-11'!E14+'Adams Pgs 8-9'!E14+'Benton-Franklin Pgs 12-13'!E14+'Chelan-Douglas Pgs 14-15'!E14+'Clallam Pgs 16-17'!E14+'Clark Pgs 18-19'!E14+'Columbia Pgs 20-21'!E14+'Cowlitz Pgs 22-23'!E14+'Garfield Pgs 24-25'!E14+'Grant Pgs 26-27'!E14+'Grays Harbor Pgs 28-29'!E14+'Island Pgs 30-31'!E14+'Jefferson Pgs 32-33'!E14+'Kitsap Pgs 34-35'!E14+'Kittitas Pgs 36-37'!E14+'Klickitat Pgs 38-39'!E14+'Lewis Pgs 40-41'!E14+'Lincoln Pgs 42-43'!E14+'Mason Pgs 44-45'!E14+'Northeast Tri Pgs 46-47'!E14+'Okanogan Pgs 48-49'!E14+'Pacific Pgs 50-51'!E14+'San Juan Pgs 52-53'!E14+'Seattle-King Pgs 54-55'!E14+'Skagit Pgs 56-57'!E14+'Skamania Pgs 58-59'!E14+'Snohomish Pgs 60-61'!E14+'Spokane Pgs 62-63'!E14+'Tacoma-Pierce Pgs 64-65'!E14+'Thurston Pgs 66-67'!E14+'Wahkiakum Pgs 68-69'!E14+'Walla Walla Pgs 70-71'!E14+'Whatcom Pgs 72-73'!E14+'Whitman Pgs 74-75'!E14+'Yakima Pgs 76-77'!E14</f>
        <v>-10371</v>
      </c>
      <c r="F14" s="8">
        <f>'Asotin Pgs 10-11'!F14+'Adams Pgs 8-9'!F14+'Benton-Franklin Pgs 12-13'!F14+'Chelan-Douglas Pgs 14-15'!F14+'Clallam Pgs 16-17'!F14+'Clark Pgs 18-19'!F14+'Columbia Pgs 20-21'!F14+'Cowlitz Pgs 22-23'!F14+'Garfield Pgs 24-25'!F14+'Grant Pgs 26-27'!F14+'Grays Harbor Pgs 28-29'!F14+'Island Pgs 30-31'!F14+'Jefferson Pgs 32-33'!F14+'Kitsap Pgs 34-35'!F14+'Kittitas Pgs 36-37'!F14+'Klickitat Pgs 38-39'!F14+'Lewis Pgs 40-41'!F14+'Lincoln Pgs 42-43'!F14+'Mason Pgs 44-45'!F14+'Northeast Tri Pgs 46-47'!F14+'Okanogan Pgs 48-49'!F14+'Pacific Pgs 50-51'!F14+'San Juan Pgs 52-53'!F14+'Seattle-King Pgs 54-55'!F14+'Skagit Pgs 56-57'!F14+'Skamania Pgs 58-59'!F14+'Snohomish Pgs 60-61'!F14+'Spokane Pgs 62-63'!F14+'Tacoma-Pierce Pgs 64-65'!F14+'Thurston Pgs 66-67'!F14+'Wahkiakum Pgs 68-69'!F14+'Walla Walla Pgs 70-71'!F14+'Whatcom Pgs 72-73'!F14+'Whitman Pgs 74-75'!F14+'Yakima Pgs 76-77'!F14</f>
        <v>1949912</v>
      </c>
      <c r="G14" s="7">
        <f>'Asotin Pgs 10-11'!G14+'Adams Pgs 8-9'!G14+'Benton-Franklin Pgs 12-13'!G14+'Chelan-Douglas Pgs 14-15'!G14+'Clallam Pgs 16-17'!G14+'Clark Pgs 18-19'!G14+'Columbia Pgs 20-21'!G14+'Cowlitz Pgs 22-23'!G14+'Garfield Pgs 24-25'!G14+'Grant Pgs 26-27'!G14+'Grays Harbor Pgs 28-29'!G14+'Island Pgs 30-31'!G14+'Jefferson Pgs 32-33'!G14+'Kitsap Pgs 34-35'!G14+'Kittitas Pgs 36-37'!G14+'Klickitat Pgs 38-39'!G14+'Lewis Pgs 40-41'!G14+'Lincoln Pgs 42-43'!G14+'Mason Pgs 44-45'!G14+'Northeast Tri Pgs 46-47'!G14+'Okanogan Pgs 48-49'!G14+'Pacific Pgs 50-51'!G14+'San Juan Pgs 52-53'!G14+'Seattle-King Pgs 54-55'!G14+'Skagit Pgs 56-57'!G14+'Skamania Pgs 58-59'!G14+'Snohomish Pgs 60-61'!G14+'Spokane Pgs 62-63'!G14+'Tacoma-Pierce Pgs 64-65'!G14+'Thurston Pgs 66-67'!G14+'Wahkiakum Pgs 68-69'!G14+'Walla Walla Pgs 70-71'!G14+'Whatcom Pgs 72-73'!G14+'Whitman Pgs 74-75'!G14+'Yakima Pgs 76-77'!G14</f>
        <v>5845</v>
      </c>
      <c r="H14" s="15">
        <f>'Asotin Pgs 10-11'!H14+'Adams Pgs 8-9'!H14+'Benton-Franklin Pgs 12-13'!H14+'Chelan-Douglas Pgs 14-15'!H14+'Clallam Pgs 16-17'!H14+'Clark Pgs 18-19'!H14+'Columbia Pgs 20-21'!H14+'Cowlitz Pgs 22-23'!H14+'Garfield Pgs 24-25'!H14+'Grant Pgs 26-27'!H14+'Grays Harbor Pgs 28-29'!H14+'Island Pgs 30-31'!H14+'Jefferson Pgs 32-33'!H14+'Kitsap Pgs 34-35'!H14+'Kittitas Pgs 36-37'!H14+'Klickitat Pgs 38-39'!H14+'Lewis Pgs 40-41'!H14+'Lincoln Pgs 42-43'!H14+'Mason Pgs 44-45'!H14+'Northeast Tri Pgs 46-47'!H14+'Okanogan Pgs 48-49'!H14+'Pacific Pgs 50-51'!H14+'San Juan Pgs 52-53'!H14+'Seattle-King Pgs 54-55'!H14+'Skagit Pgs 56-57'!H14+'Skamania Pgs 58-59'!H14+'Snohomish Pgs 60-61'!H14+'Spokane Pgs 62-63'!H14+'Tacoma-Pierce Pgs 64-65'!H14+'Thurston Pgs 66-67'!H14+'Wahkiakum Pgs 68-69'!H14+'Walla Walla Pgs 70-71'!H14+'Whatcom Pgs 72-73'!H14+'Whitman Pgs 74-75'!H14+'Yakima Pgs 76-77'!H14</f>
        <v>2399329.9699999997</v>
      </c>
      <c r="I14" s="7">
        <f>'Asotin Pgs 10-11'!I14+'Adams Pgs 8-9'!I14+'Benton-Franklin Pgs 12-13'!I14+'Chelan-Douglas Pgs 14-15'!I14+'Clallam Pgs 16-17'!I14+'Clark Pgs 18-19'!I14+'Columbia Pgs 20-21'!I14+'Cowlitz Pgs 22-23'!I14+'Garfield Pgs 24-25'!I14+'Grant Pgs 26-27'!I14+'Grays Harbor Pgs 28-29'!I14+'Island Pgs 30-31'!I14+'Jefferson Pgs 32-33'!I14+'Kitsap Pgs 34-35'!I14+'Kittitas Pgs 36-37'!I14+'Klickitat Pgs 38-39'!I14+'Lewis Pgs 40-41'!I14+'Lincoln Pgs 42-43'!I14+'Mason Pgs 44-45'!I14+'Northeast Tri Pgs 46-47'!I14+'Okanogan Pgs 48-49'!I14+'Pacific Pgs 50-51'!I14+'San Juan Pgs 52-53'!I14+'Seattle-King Pgs 54-55'!I14+'Skagit Pgs 56-57'!I14+'Skamania Pgs 58-59'!I14+'Snohomish Pgs 60-61'!I14+'Spokane Pgs 62-63'!I14+'Tacoma-Pierce Pgs 64-65'!I14+'Thurston Pgs 66-67'!I14+'Wahkiakum Pgs 68-69'!I14+'Walla Walla Pgs 70-71'!I14+'Whatcom Pgs 72-73'!I14+'Whitman Pgs 74-75'!I14+'Yakima Pgs 76-77'!I14</f>
        <v>109824.97</v>
      </c>
      <c r="J14" s="15">
        <f>'Asotin Pgs 10-11'!M14+'Adams Pgs 8-9'!M14+'Benton-Franklin Pgs 12-13'!M14+'Chelan-Douglas Pgs 14-15'!M14+'Clallam Pgs 16-17'!M14+'Clark Pgs 18-19'!M14+'Columbia Pgs 20-21'!M14+'Cowlitz Pgs 22-23'!M14+'Garfield Pgs 24-25'!M14+'Grant Pgs 26-27'!M14+'Grays Harbor Pgs 28-29'!M14+'Island Pgs 30-31'!M14+'Jefferson Pgs 32-33'!M14+'Kitsap Pgs 34-35'!M14+'Kittitas Pgs 36-37'!M14+'Klickitat Pgs 38-39'!M14+'Lewis Pgs 40-41'!M14+'Lincoln Pgs 42-43'!M14+'Mason Pgs 44-45'!M14+'Northeast Tri Pgs 46-47'!M14+'Okanogan Pgs 48-49'!M14+'Pacific Pgs 50-51'!M14+'San Juan Pgs 52-53'!M14+'Seattle-King Pgs 54-55'!M14+'Skagit Pgs 56-57'!M14+'Skamania Pgs 58-59'!M14+'Snohomish Pgs 60-61'!M14+'Spokane Pgs 62-63'!M14+'Tacoma-Pierce Pgs 64-65'!M14+'Thurston Pgs 66-67'!M14+'Wahkiakum Pgs 68-69'!M14+'Walla Walla Pgs 70-71'!M14+'Whatcom Pgs 72-73'!M14+'Whitman Pgs 74-75'!M14+'Yakima Pgs 76-77'!M14</f>
        <v>595922.25</v>
      </c>
      <c r="K14" s="7">
        <f>'Asotin Pgs 10-11'!Q14+'Adams Pgs 8-9'!Q14+'Benton-Franklin Pgs 12-13'!Q14+'Chelan-Douglas Pgs 14-15'!Q14+'Clallam Pgs 16-17'!Q14+'Clark Pgs 18-19'!Q14+'Columbia Pgs 20-21'!Q14+'Cowlitz Pgs 22-23'!Q14+'Garfield Pgs 24-25'!Q14+'Grant Pgs 26-27'!Q14+'Grays Harbor Pgs 28-29'!Q14+'Island Pgs 30-31'!Q14+'Jefferson Pgs 32-33'!Q14+'Kitsap Pgs 34-35'!Q14+'Kittitas Pgs 36-37'!Q14+'Klickitat Pgs 38-39'!Q14+'Lewis Pgs 40-41'!Q14+'Lincoln Pgs 42-43'!Q14+'Mason Pgs 44-45'!Q14+'Northeast Tri Pgs 46-47'!Q14+'Okanogan Pgs 48-49'!Q14+'Pacific Pgs 50-51'!Q14+'San Juan Pgs 52-53'!Q14+'Seattle-King Pgs 54-55'!Q14+'Skagit Pgs 56-57'!Q14+'Skamania Pgs 58-59'!Q14+'Snohomish Pgs 60-61'!Q14+'Spokane Pgs 62-63'!Q14+'Tacoma-Pierce Pgs 64-65'!Q14+'Thurston Pgs 66-67'!Q14+'Wahkiakum Pgs 68-69'!Q14+'Walla Walla Pgs 70-71'!Q14+'Whatcom Pgs 72-73'!Q14+'Whitman Pgs 74-75'!Q14+'Yakima Pgs 76-77'!Q14</f>
        <v>2511106.04</v>
      </c>
      <c r="L14" s="15">
        <f>'Asotin Pgs 10-11'!R14+'Adams Pgs 8-9'!R14+'Benton-Franklin Pgs 12-13'!R14+'Chelan-Douglas Pgs 14-15'!R14+'Clallam Pgs 16-17'!R14+'Clark Pgs 18-19'!R14+'Columbia Pgs 20-21'!R14+'Cowlitz Pgs 22-23'!R14+'Garfield Pgs 24-25'!R14+'Grant Pgs 26-27'!R14+'Grays Harbor Pgs 28-29'!R14+'Island Pgs 30-31'!R14+'Jefferson Pgs 32-33'!R14+'Kitsap Pgs 34-35'!R14+'Kittitas Pgs 36-37'!R14+'Klickitat Pgs 38-39'!R14+'Lewis Pgs 40-41'!R14+'Lincoln Pgs 42-43'!R14+'Mason Pgs 44-45'!R14+'Northeast Tri Pgs 46-47'!R14+'Okanogan Pgs 48-49'!R14+'Pacific Pgs 50-51'!R14+'San Juan Pgs 52-53'!R14+'Seattle-King Pgs 54-55'!R14+'Skagit Pgs 56-57'!R14+'Skamania Pgs 58-59'!R14+'Snohomish Pgs 60-61'!R14+'Spokane Pgs 62-63'!R14+'Tacoma-Pierce Pgs 64-65'!R14+'Thurston Pgs 66-67'!R14+'Wahkiakum Pgs 68-69'!R14+'Walla Walla Pgs 70-71'!R14+'Whatcom Pgs 72-73'!R14+'Whitman Pgs 74-75'!R14+'Yakima Pgs 76-77'!R14</f>
        <v>254085</v>
      </c>
    </row>
    <row r="15" spans="1:12" x14ac:dyDescent="0.3">
      <c r="A15" s="39">
        <v>562.33000000000004</v>
      </c>
      <c r="B15" s="141" t="s">
        <v>95</v>
      </c>
      <c r="C15" s="165">
        <f>'Asotin Pgs 10-11'!C15+'Adams Pgs 8-9'!C15+'Benton-Franklin Pgs 12-13'!C15+'Chelan-Douglas Pgs 14-15'!C15+'Clallam Pgs 16-17'!C15+'Clark Pgs 18-19'!C15+'Columbia Pgs 20-21'!C15+'Cowlitz Pgs 22-23'!C15+'Garfield Pgs 24-25'!C15+'Grant Pgs 26-27'!C15+'Grays Harbor Pgs 28-29'!C15+'Island Pgs 30-31'!C15+'Jefferson Pgs 32-33'!C15+'Kitsap Pgs 34-35'!C15+'Kittitas Pgs 36-37'!C15+'Klickitat Pgs 38-39'!C15+'Lewis Pgs 40-41'!C15+'Lincoln Pgs 42-43'!C15+'Mason Pgs 44-45'!C15+'Northeast Tri Pgs 46-47'!C15+'Okanogan Pgs 48-49'!C15+'Pacific Pgs 50-51'!C15+'San Juan Pgs 52-53'!C15+'Seattle-King Pgs 54-55'!C15+'Skagit Pgs 56-57'!C15+'Skamania Pgs 58-59'!C15+'Snohomish Pgs 60-61'!C15+'Spokane Pgs 62-63'!C15+'Tacoma-Pierce Pgs 64-65'!C15+'Thurston Pgs 66-67'!C15+'Wahkiakum Pgs 68-69'!C15+'Walla Walla Pgs 70-71'!C15+'Whatcom Pgs 72-73'!C15+'Whitman Pgs 74-75'!C15+'Yakima Pgs 76-77'!C15</f>
        <v>6843415.4800000004</v>
      </c>
      <c r="D15" s="17">
        <f>'Asotin Pgs 10-11'!D15+'Adams Pgs 8-9'!D15+'Benton-Franklin Pgs 12-13'!D15+'Chelan-Douglas Pgs 14-15'!D15+'Clallam Pgs 16-17'!D15+'Clark Pgs 18-19'!D15+'Columbia Pgs 20-21'!D15+'Cowlitz Pgs 22-23'!D15+'Garfield Pgs 24-25'!D15+'Grant Pgs 26-27'!D15+'Grays Harbor Pgs 28-29'!D15+'Island Pgs 30-31'!D15+'Jefferson Pgs 32-33'!D15+'Kitsap Pgs 34-35'!D15+'Kittitas Pgs 36-37'!D15+'Klickitat Pgs 38-39'!D15+'Lewis Pgs 40-41'!D15+'Lincoln Pgs 42-43'!D15+'Mason Pgs 44-45'!D15+'Northeast Tri Pgs 46-47'!D15+'Okanogan Pgs 48-49'!D15+'Pacific Pgs 50-51'!D15+'San Juan Pgs 52-53'!D15+'Seattle-King Pgs 54-55'!D15+'Skagit Pgs 56-57'!D15+'Skamania Pgs 58-59'!D15+'Snohomish Pgs 60-61'!D15+'Spokane Pgs 62-63'!D15+'Tacoma-Pierce Pgs 64-65'!D15+'Thurston Pgs 66-67'!D15+'Wahkiakum Pgs 68-69'!D15+'Walla Walla Pgs 70-71'!D15+'Whatcom Pgs 72-73'!D15+'Whitman Pgs 74-75'!D15+'Yakima Pgs 76-77'!D15</f>
        <v>5219371.92</v>
      </c>
      <c r="E15" s="165">
        <f>'Asotin Pgs 10-11'!E15+'Adams Pgs 8-9'!E15+'Benton-Franklin Pgs 12-13'!E15+'Chelan-Douglas Pgs 14-15'!E15+'Clallam Pgs 16-17'!E15+'Clark Pgs 18-19'!E15+'Columbia Pgs 20-21'!E15+'Cowlitz Pgs 22-23'!E15+'Garfield Pgs 24-25'!E15+'Grant Pgs 26-27'!E15+'Grays Harbor Pgs 28-29'!E15+'Island Pgs 30-31'!E15+'Jefferson Pgs 32-33'!E15+'Kitsap Pgs 34-35'!E15+'Kittitas Pgs 36-37'!E15+'Klickitat Pgs 38-39'!E15+'Lewis Pgs 40-41'!E15+'Lincoln Pgs 42-43'!E15+'Mason Pgs 44-45'!E15+'Northeast Tri Pgs 46-47'!E15+'Okanogan Pgs 48-49'!E15+'Pacific Pgs 50-51'!E15+'San Juan Pgs 52-53'!E15+'Seattle-King Pgs 54-55'!E15+'Skagit Pgs 56-57'!E15+'Skamania Pgs 58-59'!E15+'Snohomish Pgs 60-61'!E15+'Spokane Pgs 62-63'!E15+'Tacoma-Pierce Pgs 64-65'!E15+'Thurston Pgs 66-67'!E15+'Wahkiakum Pgs 68-69'!E15+'Walla Walla Pgs 70-71'!E15+'Whatcom Pgs 72-73'!E15+'Whitman Pgs 74-75'!E15+'Yakima Pgs 76-77'!E15</f>
        <v>1229662</v>
      </c>
      <c r="F15" s="8">
        <f>'Asotin Pgs 10-11'!F15+'Adams Pgs 8-9'!F15+'Benton-Franklin Pgs 12-13'!F15+'Chelan-Douglas Pgs 14-15'!F15+'Clallam Pgs 16-17'!F15+'Clark Pgs 18-19'!F15+'Columbia Pgs 20-21'!F15+'Cowlitz Pgs 22-23'!F15+'Garfield Pgs 24-25'!F15+'Grant Pgs 26-27'!F15+'Grays Harbor Pgs 28-29'!F15+'Island Pgs 30-31'!F15+'Jefferson Pgs 32-33'!F15+'Kitsap Pgs 34-35'!F15+'Kittitas Pgs 36-37'!F15+'Klickitat Pgs 38-39'!F15+'Lewis Pgs 40-41'!F15+'Lincoln Pgs 42-43'!F15+'Mason Pgs 44-45'!F15+'Northeast Tri Pgs 46-47'!F15+'Okanogan Pgs 48-49'!F15+'Pacific Pgs 50-51'!F15+'San Juan Pgs 52-53'!F15+'Seattle-King Pgs 54-55'!F15+'Skagit Pgs 56-57'!F15+'Skamania Pgs 58-59'!F15+'Snohomish Pgs 60-61'!F15+'Spokane Pgs 62-63'!F15+'Tacoma-Pierce Pgs 64-65'!F15+'Thurston Pgs 66-67'!F15+'Wahkiakum Pgs 68-69'!F15+'Walla Walla Pgs 70-71'!F15+'Whatcom Pgs 72-73'!F15+'Whitman Pgs 74-75'!F15+'Yakima Pgs 76-77'!F15</f>
        <v>1023155</v>
      </c>
      <c r="G15" s="7">
        <f>'Asotin Pgs 10-11'!G15+'Adams Pgs 8-9'!G15+'Benton-Franklin Pgs 12-13'!G15+'Chelan-Douglas Pgs 14-15'!G15+'Clallam Pgs 16-17'!G15+'Clark Pgs 18-19'!G15+'Columbia Pgs 20-21'!G15+'Cowlitz Pgs 22-23'!G15+'Garfield Pgs 24-25'!G15+'Grant Pgs 26-27'!G15+'Grays Harbor Pgs 28-29'!G15+'Island Pgs 30-31'!G15+'Jefferson Pgs 32-33'!G15+'Kitsap Pgs 34-35'!G15+'Kittitas Pgs 36-37'!G15+'Klickitat Pgs 38-39'!G15+'Lewis Pgs 40-41'!G15+'Lincoln Pgs 42-43'!G15+'Mason Pgs 44-45'!G15+'Northeast Tri Pgs 46-47'!G15+'Okanogan Pgs 48-49'!G15+'Pacific Pgs 50-51'!G15+'San Juan Pgs 52-53'!G15+'Seattle-King Pgs 54-55'!G15+'Skagit Pgs 56-57'!G15+'Skamania Pgs 58-59'!G15+'Snohomish Pgs 60-61'!G15+'Spokane Pgs 62-63'!G15+'Tacoma-Pierce Pgs 64-65'!G15+'Thurston Pgs 66-67'!G15+'Wahkiakum Pgs 68-69'!G15+'Walla Walla Pgs 70-71'!G15+'Whatcom Pgs 72-73'!G15+'Whitman Pgs 74-75'!G15+'Yakima Pgs 76-77'!G15</f>
        <v>0</v>
      </c>
      <c r="H15" s="15">
        <f>'Asotin Pgs 10-11'!H15+'Adams Pgs 8-9'!H15+'Benton-Franklin Pgs 12-13'!H15+'Chelan-Douglas Pgs 14-15'!H15+'Clallam Pgs 16-17'!H15+'Clark Pgs 18-19'!H15+'Columbia Pgs 20-21'!H15+'Cowlitz Pgs 22-23'!H15+'Garfield Pgs 24-25'!H15+'Grant Pgs 26-27'!H15+'Grays Harbor Pgs 28-29'!H15+'Island Pgs 30-31'!H15+'Jefferson Pgs 32-33'!H15+'Kitsap Pgs 34-35'!H15+'Kittitas Pgs 36-37'!H15+'Klickitat Pgs 38-39'!H15+'Lewis Pgs 40-41'!H15+'Lincoln Pgs 42-43'!H15+'Mason Pgs 44-45'!H15+'Northeast Tri Pgs 46-47'!H15+'Okanogan Pgs 48-49'!H15+'Pacific Pgs 50-51'!H15+'San Juan Pgs 52-53'!H15+'Seattle-King Pgs 54-55'!H15+'Skagit Pgs 56-57'!H15+'Skamania Pgs 58-59'!H15+'Snohomish Pgs 60-61'!H15+'Spokane Pgs 62-63'!H15+'Tacoma-Pierce Pgs 64-65'!H15+'Thurston Pgs 66-67'!H15+'Wahkiakum Pgs 68-69'!H15+'Walla Walla Pgs 70-71'!H15+'Whatcom Pgs 72-73'!H15+'Whitman Pgs 74-75'!H15+'Yakima Pgs 76-77'!H15</f>
        <v>160031</v>
      </c>
      <c r="I15" s="7">
        <f>'Asotin Pgs 10-11'!I15+'Adams Pgs 8-9'!I15+'Benton-Franklin Pgs 12-13'!I15+'Chelan-Douglas Pgs 14-15'!I15+'Clallam Pgs 16-17'!I15+'Clark Pgs 18-19'!I15+'Columbia Pgs 20-21'!I15+'Cowlitz Pgs 22-23'!I15+'Garfield Pgs 24-25'!I15+'Grant Pgs 26-27'!I15+'Grays Harbor Pgs 28-29'!I15+'Island Pgs 30-31'!I15+'Jefferson Pgs 32-33'!I15+'Kitsap Pgs 34-35'!I15+'Kittitas Pgs 36-37'!I15+'Klickitat Pgs 38-39'!I15+'Lewis Pgs 40-41'!I15+'Lincoln Pgs 42-43'!I15+'Mason Pgs 44-45'!I15+'Northeast Tri Pgs 46-47'!I15+'Okanogan Pgs 48-49'!I15+'Pacific Pgs 50-51'!I15+'San Juan Pgs 52-53'!I15+'Seattle-King Pgs 54-55'!I15+'Skagit Pgs 56-57'!I15+'Skamania Pgs 58-59'!I15+'Snohomish Pgs 60-61'!I15+'Spokane Pgs 62-63'!I15+'Tacoma-Pierce Pgs 64-65'!I15+'Thurston Pgs 66-67'!I15+'Wahkiakum Pgs 68-69'!I15+'Walla Walla Pgs 70-71'!I15+'Whatcom Pgs 72-73'!I15+'Whitman Pgs 74-75'!I15+'Yakima Pgs 76-77'!I15</f>
        <v>11092</v>
      </c>
      <c r="J15" s="15">
        <f>'Asotin Pgs 10-11'!M15+'Adams Pgs 8-9'!M15+'Benton-Franklin Pgs 12-13'!M15+'Chelan-Douglas Pgs 14-15'!M15+'Clallam Pgs 16-17'!M15+'Clark Pgs 18-19'!M15+'Columbia Pgs 20-21'!M15+'Cowlitz Pgs 22-23'!M15+'Garfield Pgs 24-25'!M15+'Grant Pgs 26-27'!M15+'Grays Harbor Pgs 28-29'!M15+'Island Pgs 30-31'!M15+'Jefferson Pgs 32-33'!M15+'Kitsap Pgs 34-35'!M15+'Kittitas Pgs 36-37'!M15+'Klickitat Pgs 38-39'!M15+'Lewis Pgs 40-41'!M15+'Lincoln Pgs 42-43'!M15+'Mason Pgs 44-45'!M15+'Northeast Tri Pgs 46-47'!M15+'Okanogan Pgs 48-49'!M15+'Pacific Pgs 50-51'!M15+'San Juan Pgs 52-53'!M15+'Seattle-King Pgs 54-55'!M15+'Skagit Pgs 56-57'!M15+'Skamania Pgs 58-59'!M15+'Snohomish Pgs 60-61'!M15+'Spokane Pgs 62-63'!M15+'Tacoma-Pierce Pgs 64-65'!M15+'Thurston Pgs 66-67'!M15+'Wahkiakum Pgs 68-69'!M15+'Walla Walla Pgs 70-71'!M15+'Whatcom Pgs 72-73'!M15+'Whitman Pgs 74-75'!M15+'Yakima Pgs 76-77'!M15</f>
        <v>1977542</v>
      </c>
      <c r="K15" s="7">
        <f>'Asotin Pgs 10-11'!Q15+'Adams Pgs 8-9'!Q15+'Benton-Franklin Pgs 12-13'!Q15+'Chelan-Douglas Pgs 14-15'!Q15+'Clallam Pgs 16-17'!Q15+'Clark Pgs 18-19'!Q15+'Columbia Pgs 20-21'!Q15+'Cowlitz Pgs 22-23'!Q15+'Garfield Pgs 24-25'!Q15+'Grant Pgs 26-27'!Q15+'Grays Harbor Pgs 28-29'!Q15+'Island Pgs 30-31'!Q15+'Jefferson Pgs 32-33'!Q15+'Kitsap Pgs 34-35'!Q15+'Kittitas Pgs 36-37'!Q15+'Klickitat Pgs 38-39'!Q15+'Lewis Pgs 40-41'!Q15+'Lincoln Pgs 42-43'!Q15+'Mason Pgs 44-45'!Q15+'Northeast Tri Pgs 46-47'!Q15+'Okanogan Pgs 48-49'!Q15+'Pacific Pgs 50-51'!Q15+'San Juan Pgs 52-53'!Q15+'Seattle-King Pgs 54-55'!Q15+'Skagit Pgs 56-57'!Q15+'Skamania Pgs 58-59'!Q15+'Snohomish Pgs 60-61'!Q15+'Spokane Pgs 62-63'!Q15+'Tacoma-Pierce Pgs 64-65'!Q15+'Thurston Pgs 66-67'!Q15+'Wahkiakum Pgs 68-69'!Q15+'Walla Walla Pgs 70-71'!Q15+'Whatcom Pgs 72-73'!Q15+'Whitman Pgs 74-75'!Q15+'Yakima Pgs 76-77'!Q15</f>
        <v>748674.92</v>
      </c>
      <c r="L15" s="15">
        <f>'Asotin Pgs 10-11'!R15+'Adams Pgs 8-9'!R15+'Benton-Franklin Pgs 12-13'!R15+'Chelan-Douglas Pgs 14-15'!R15+'Clallam Pgs 16-17'!R15+'Clark Pgs 18-19'!R15+'Columbia Pgs 20-21'!R15+'Cowlitz Pgs 22-23'!R15+'Garfield Pgs 24-25'!R15+'Grant Pgs 26-27'!R15+'Grays Harbor Pgs 28-29'!R15+'Island Pgs 30-31'!R15+'Jefferson Pgs 32-33'!R15+'Kitsap Pgs 34-35'!R15+'Kittitas Pgs 36-37'!R15+'Klickitat Pgs 38-39'!R15+'Lewis Pgs 40-41'!R15+'Lincoln Pgs 42-43'!R15+'Mason Pgs 44-45'!R15+'Northeast Tri Pgs 46-47'!R15+'Okanogan Pgs 48-49'!R15+'Pacific Pgs 50-51'!R15+'San Juan Pgs 52-53'!R15+'Seattle-King Pgs 54-55'!R15+'Skagit Pgs 56-57'!R15+'Skamania Pgs 58-59'!R15+'Snohomish Pgs 60-61'!R15+'Spokane Pgs 62-63'!R15+'Tacoma-Pierce Pgs 64-65'!R15+'Thurston Pgs 66-67'!R15+'Wahkiakum Pgs 68-69'!R15+'Walla Walla Pgs 70-71'!R15+'Whatcom Pgs 72-73'!R15+'Whitman Pgs 74-75'!R15+'Yakima Pgs 76-77'!R15</f>
        <v>69215</v>
      </c>
    </row>
    <row r="16" spans="1:12" x14ac:dyDescent="0.3">
      <c r="A16" s="39">
        <v>562.34</v>
      </c>
      <c r="B16" s="40" t="s">
        <v>51</v>
      </c>
      <c r="C16" s="165">
        <f>'Asotin Pgs 10-11'!C16+'Adams Pgs 8-9'!C16+'Benton-Franklin Pgs 12-13'!C16+'Chelan-Douglas Pgs 14-15'!C16+'Clallam Pgs 16-17'!C16+'Clark Pgs 18-19'!C16+'Columbia Pgs 20-21'!C16+'Cowlitz Pgs 22-23'!C16+'Garfield Pgs 24-25'!C16+'Grant Pgs 26-27'!C16+'Grays Harbor Pgs 28-29'!C16+'Island Pgs 30-31'!C16+'Jefferson Pgs 32-33'!C16+'Kitsap Pgs 34-35'!C16+'Kittitas Pgs 36-37'!C16+'Klickitat Pgs 38-39'!C16+'Lewis Pgs 40-41'!C16+'Lincoln Pgs 42-43'!C16+'Mason Pgs 44-45'!C16+'Northeast Tri Pgs 46-47'!C16+'Okanogan Pgs 48-49'!C16+'Pacific Pgs 50-51'!C16+'San Juan Pgs 52-53'!C16+'Seattle-King Pgs 54-55'!C16+'Skagit Pgs 56-57'!C16+'Skamania Pgs 58-59'!C16+'Snohomish Pgs 60-61'!C16+'Spokane Pgs 62-63'!C16+'Tacoma-Pierce Pgs 64-65'!C16+'Thurston Pgs 66-67'!C16+'Wahkiakum Pgs 68-69'!C16+'Walla Walla Pgs 70-71'!C16+'Whatcom Pgs 72-73'!C16+'Whitman Pgs 74-75'!C16+'Yakima Pgs 76-77'!C16</f>
        <v>8322237.8600000003</v>
      </c>
      <c r="D16" s="17">
        <f>'Asotin Pgs 10-11'!D16+'Adams Pgs 8-9'!D16+'Benton-Franklin Pgs 12-13'!D16+'Chelan-Douglas Pgs 14-15'!D16+'Clallam Pgs 16-17'!D16+'Clark Pgs 18-19'!D16+'Columbia Pgs 20-21'!D16+'Cowlitz Pgs 22-23'!D16+'Garfield Pgs 24-25'!D16+'Grant Pgs 26-27'!D16+'Grays Harbor Pgs 28-29'!D16+'Island Pgs 30-31'!D16+'Jefferson Pgs 32-33'!D16+'Kitsap Pgs 34-35'!D16+'Kittitas Pgs 36-37'!D16+'Klickitat Pgs 38-39'!D16+'Lewis Pgs 40-41'!D16+'Lincoln Pgs 42-43'!D16+'Mason Pgs 44-45'!D16+'Northeast Tri Pgs 46-47'!D16+'Okanogan Pgs 48-49'!D16+'Pacific Pgs 50-51'!D16+'San Juan Pgs 52-53'!D16+'Seattle-King Pgs 54-55'!D16+'Skagit Pgs 56-57'!D16+'Skamania Pgs 58-59'!D16+'Snohomish Pgs 60-61'!D16+'Spokane Pgs 62-63'!D16+'Tacoma-Pierce Pgs 64-65'!D16+'Thurston Pgs 66-67'!D16+'Wahkiakum Pgs 68-69'!D16+'Walla Walla Pgs 70-71'!D16+'Whatcom Pgs 72-73'!D16+'Whitman Pgs 74-75'!D16+'Yakima Pgs 76-77'!D16</f>
        <v>8307695.9000000004</v>
      </c>
      <c r="E16" s="165">
        <f>'Asotin Pgs 10-11'!E16+'Adams Pgs 8-9'!E16+'Benton-Franklin Pgs 12-13'!E16+'Chelan-Douglas Pgs 14-15'!E16+'Clallam Pgs 16-17'!E16+'Clark Pgs 18-19'!E16+'Columbia Pgs 20-21'!E16+'Cowlitz Pgs 22-23'!E16+'Garfield Pgs 24-25'!E16+'Grant Pgs 26-27'!E16+'Grays Harbor Pgs 28-29'!E16+'Island Pgs 30-31'!E16+'Jefferson Pgs 32-33'!E16+'Kitsap Pgs 34-35'!E16+'Kittitas Pgs 36-37'!E16+'Klickitat Pgs 38-39'!E16+'Lewis Pgs 40-41'!E16+'Lincoln Pgs 42-43'!E16+'Mason Pgs 44-45'!E16+'Northeast Tri Pgs 46-47'!E16+'Okanogan Pgs 48-49'!E16+'Pacific Pgs 50-51'!E16+'San Juan Pgs 52-53'!E16+'Seattle-King Pgs 54-55'!E16+'Skagit Pgs 56-57'!E16+'Skamania Pgs 58-59'!E16+'Snohomish Pgs 60-61'!E16+'Spokane Pgs 62-63'!E16+'Tacoma-Pierce Pgs 64-65'!E16+'Thurston Pgs 66-67'!E16+'Wahkiakum Pgs 68-69'!E16+'Walla Walla Pgs 70-71'!E16+'Whatcom Pgs 72-73'!E16+'Whitman Pgs 74-75'!E16+'Yakima Pgs 76-77'!E16</f>
        <v>0</v>
      </c>
      <c r="F16" s="8">
        <f>'Asotin Pgs 10-11'!F16+'Adams Pgs 8-9'!F16+'Benton-Franklin Pgs 12-13'!F16+'Chelan-Douglas Pgs 14-15'!F16+'Clallam Pgs 16-17'!F16+'Clark Pgs 18-19'!F16+'Columbia Pgs 20-21'!F16+'Cowlitz Pgs 22-23'!F16+'Garfield Pgs 24-25'!F16+'Grant Pgs 26-27'!F16+'Grays Harbor Pgs 28-29'!F16+'Island Pgs 30-31'!F16+'Jefferson Pgs 32-33'!F16+'Kitsap Pgs 34-35'!F16+'Kittitas Pgs 36-37'!F16+'Klickitat Pgs 38-39'!F16+'Lewis Pgs 40-41'!F16+'Lincoln Pgs 42-43'!F16+'Mason Pgs 44-45'!F16+'Northeast Tri Pgs 46-47'!F16+'Okanogan Pgs 48-49'!F16+'Pacific Pgs 50-51'!F16+'San Juan Pgs 52-53'!F16+'Seattle-King Pgs 54-55'!F16+'Skagit Pgs 56-57'!F16+'Skamania Pgs 58-59'!F16+'Snohomish Pgs 60-61'!F16+'Spokane Pgs 62-63'!F16+'Tacoma-Pierce Pgs 64-65'!F16+'Thurston Pgs 66-67'!F16+'Wahkiakum Pgs 68-69'!F16+'Walla Walla Pgs 70-71'!F16+'Whatcom Pgs 72-73'!F16+'Whitman Pgs 74-75'!F16+'Yakima Pgs 76-77'!F16</f>
        <v>1702556.5</v>
      </c>
      <c r="G16" s="7">
        <f>'Asotin Pgs 10-11'!G16+'Adams Pgs 8-9'!G16+'Benton-Franklin Pgs 12-13'!G16+'Chelan-Douglas Pgs 14-15'!G16+'Clallam Pgs 16-17'!G16+'Clark Pgs 18-19'!G16+'Columbia Pgs 20-21'!G16+'Cowlitz Pgs 22-23'!G16+'Garfield Pgs 24-25'!G16+'Grant Pgs 26-27'!G16+'Grays Harbor Pgs 28-29'!G16+'Island Pgs 30-31'!G16+'Jefferson Pgs 32-33'!G16+'Kitsap Pgs 34-35'!G16+'Kittitas Pgs 36-37'!G16+'Klickitat Pgs 38-39'!G16+'Lewis Pgs 40-41'!G16+'Lincoln Pgs 42-43'!G16+'Mason Pgs 44-45'!G16+'Northeast Tri Pgs 46-47'!G16+'Okanogan Pgs 48-49'!G16+'Pacific Pgs 50-51'!G16+'San Juan Pgs 52-53'!G16+'Seattle-King Pgs 54-55'!G16+'Skagit Pgs 56-57'!G16+'Skamania Pgs 58-59'!G16+'Snohomish Pgs 60-61'!G16+'Spokane Pgs 62-63'!G16+'Tacoma-Pierce Pgs 64-65'!G16+'Thurston Pgs 66-67'!G16+'Wahkiakum Pgs 68-69'!G16+'Walla Walla Pgs 70-71'!G16+'Whatcom Pgs 72-73'!G16+'Whitman Pgs 74-75'!G16+'Yakima Pgs 76-77'!G16</f>
        <v>6307</v>
      </c>
      <c r="H16" s="15">
        <f>'Asotin Pgs 10-11'!H16+'Adams Pgs 8-9'!H16+'Benton-Franklin Pgs 12-13'!H16+'Chelan-Douglas Pgs 14-15'!H16+'Clallam Pgs 16-17'!H16+'Clark Pgs 18-19'!H16+'Columbia Pgs 20-21'!H16+'Cowlitz Pgs 22-23'!H16+'Garfield Pgs 24-25'!H16+'Grant Pgs 26-27'!H16+'Grays Harbor Pgs 28-29'!H16+'Island Pgs 30-31'!H16+'Jefferson Pgs 32-33'!H16+'Kitsap Pgs 34-35'!H16+'Kittitas Pgs 36-37'!H16+'Klickitat Pgs 38-39'!H16+'Lewis Pgs 40-41'!H16+'Lincoln Pgs 42-43'!H16+'Mason Pgs 44-45'!H16+'Northeast Tri Pgs 46-47'!H16+'Okanogan Pgs 48-49'!H16+'Pacific Pgs 50-51'!H16+'San Juan Pgs 52-53'!H16+'Seattle-King Pgs 54-55'!H16+'Skagit Pgs 56-57'!H16+'Skamania Pgs 58-59'!H16+'Snohomish Pgs 60-61'!H16+'Spokane Pgs 62-63'!H16+'Tacoma-Pierce Pgs 64-65'!H16+'Thurston Pgs 66-67'!H16+'Wahkiakum Pgs 68-69'!H16+'Walla Walla Pgs 70-71'!H16+'Whatcom Pgs 72-73'!H16+'Whitman Pgs 74-75'!H16+'Yakima Pgs 76-77'!H16</f>
        <v>521753.99</v>
      </c>
      <c r="I16" s="7">
        <f>'Asotin Pgs 10-11'!I16+'Adams Pgs 8-9'!I16+'Benton-Franklin Pgs 12-13'!I16+'Chelan-Douglas Pgs 14-15'!I16+'Clallam Pgs 16-17'!I16+'Clark Pgs 18-19'!I16+'Columbia Pgs 20-21'!I16+'Cowlitz Pgs 22-23'!I16+'Garfield Pgs 24-25'!I16+'Grant Pgs 26-27'!I16+'Grays Harbor Pgs 28-29'!I16+'Island Pgs 30-31'!I16+'Jefferson Pgs 32-33'!I16+'Kitsap Pgs 34-35'!I16+'Kittitas Pgs 36-37'!I16+'Klickitat Pgs 38-39'!I16+'Lewis Pgs 40-41'!I16+'Lincoln Pgs 42-43'!I16+'Mason Pgs 44-45'!I16+'Northeast Tri Pgs 46-47'!I16+'Okanogan Pgs 48-49'!I16+'Pacific Pgs 50-51'!I16+'San Juan Pgs 52-53'!I16+'Seattle-King Pgs 54-55'!I16+'Skagit Pgs 56-57'!I16+'Skamania Pgs 58-59'!I16+'Snohomish Pgs 60-61'!I16+'Spokane Pgs 62-63'!I16+'Tacoma-Pierce Pgs 64-65'!I16+'Thurston Pgs 66-67'!I16+'Wahkiakum Pgs 68-69'!I16+'Walla Walla Pgs 70-71'!I16+'Whatcom Pgs 72-73'!I16+'Whitman Pgs 74-75'!I16+'Yakima Pgs 76-77'!I16</f>
        <v>91109</v>
      </c>
      <c r="J16" s="15">
        <f>'Asotin Pgs 10-11'!M16+'Adams Pgs 8-9'!M16+'Benton-Franklin Pgs 12-13'!M16+'Chelan-Douglas Pgs 14-15'!M16+'Clallam Pgs 16-17'!M16+'Clark Pgs 18-19'!M16+'Columbia Pgs 20-21'!M16+'Cowlitz Pgs 22-23'!M16+'Garfield Pgs 24-25'!M16+'Grant Pgs 26-27'!M16+'Grays Harbor Pgs 28-29'!M16+'Island Pgs 30-31'!M16+'Jefferson Pgs 32-33'!M16+'Kitsap Pgs 34-35'!M16+'Kittitas Pgs 36-37'!M16+'Klickitat Pgs 38-39'!M16+'Lewis Pgs 40-41'!M16+'Lincoln Pgs 42-43'!M16+'Mason Pgs 44-45'!M16+'Northeast Tri Pgs 46-47'!M16+'Okanogan Pgs 48-49'!M16+'Pacific Pgs 50-51'!M16+'San Juan Pgs 52-53'!M16+'Seattle-King Pgs 54-55'!M16+'Skagit Pgs 56-57'!M16+'Skamania Pgs 58-59'!M16+'Snohomish Pgs 60-61'!M16+'Spokane Pgs 62-63'!M16+'Tacoma-Pierce Pgs 64-65'!M16+'Thurston Pgs 66-67'!M16+'Wahkiakum Pgs 68-69'!M16+'Walla Walla Pgs 70-71'!M16+'Whatcom Pgs 72-73'!M16+'Whitman Pgs 74-75'!M16+'Yakima Pgs 76-77'!M16</f>
        <v>4908477.2300000004</v>
      </c>
      <c r="K16" s="7">
        <f>'Asotin Pgs 10-11'!Q16+'Adams Pgs 8-9'!Q16+'Benton-Franklin Pgs 12-13'!Q16+'Chelan-Douglas Pgs 14-15'!Q16+'Clallam Pgs 16-17'!Q16+'Clark Pgs 18-19'!Q16+'Columbia Pgs 20-21'!Q16+'Cowlitz Pgs 22-23'!Q16+'Garfield Pgs 24-25'!Q16+'Grant Pgs 26-27'!Q16+'Grays Harbor Pgs 28-29'!Q16+'Island Pgs 30-31'!Q16+'Jefferson Pgs 32-33'!Q16+'Kitsap Pgs 34-35'!Q16+'Kittitas Pgs 36-37'!Q16+'Klickitat Pgs 38-39'!Q16+'Lewis Pgs 40-41'!Q16+'Lincoln Pgs 42-43'!Q16+'Mason Pgs 44-45'!Q16+'Northeast Tri Pgs 46-47'!Q16+'Okanogan Pgs 48-49'!Q16+'Pacific Pgs 50-51'!Q16+'San Juan Pgs 52-53'!Q16+'Seattle-King Pgs 54-55'!Q16+'Skagit Pgs 56-57'!Q16+'Skamania Pgs 58-59'!Q16+'Snohomish Pgs 60-61'!Q16+'Spokane Pgs 62-63'!Q16+'Tacoma-Pierce Pgs 64-65'!Q16+'Thurston Pgs 66-67'!Q16+'Wahkiakum Pgs 68-69'!Q16+'Walla Walla Pgs 70-71'!Q16+'Whatcom Pgs 72-73'!Q16+'Whitman Pgs 74-75'!Q16+'Yakima Pgs 76-77'!Q16</f>
        <v>1040224.34</v>
      </c>
      <c r="L16" s="15">
        <f>'Asotin Pgs 10-11'!R16+'Adams Pgs 8-9'!R16+'Benton-Franklin Pgs 12-13'!R16+'Chelan-Douglas Pgs 14-15'!R16+'Clallam Pgs 16-17'!R16+'Clark Pgs 18-19'!R16+'Columbia Pgs 20-21'!R16+'Cowlitz Pgs 22-23'!R16+'Garfield Pgs 24-25'!R16+'Grant Pgs 26-27'!R16+'Grays Harbor Pgs 28-29'!R16+'Island Pgs 30-31'!R16+'Jefferson Pgs 32-33'!R16+'Kitsap Pgs 34-35'!R16+'Kittitas Pgs 36-37'!R16+'Klickitat Pgs 38-39'!R16+'Lewis Pgs 40-41'!R16+'Lincoln Pgs 42-43'!R16+'Mason Pgs 44-45'!R16+'Northeast Tri Pgs 46-47'!R16+'Okanogan Pgs 48-49'!R16+'Pacific Pgs 50-51'!R16+'San Juan Pgs 52-53'!R16+'Seattle-King Pgs 54-55'!R16+'Skagit Pgs 56-57'!R16+'Skamania Pgs 58-59'!R16+'Snohomish Pgs 60-61'!R16+'Spokane Pgs 62-63'!R16+'Tacoma-Pierce Pgs 64-65'!R16+'Thurston Pgs 66-67'!R16+'Wahkiakum Pgs 68-69'!R16+'Walla Walla Pgs 70-71'!R16+'Whatcom Pgs 72-73'!R16+'Whitman Pgs 74-75'!R16+'Yakima Pgs 76-77'!R16</f>
        <v>37267.839999999997</v>
      </c>
    </row>
    <row r="17" spans="1:12" x14ac:dyDescent="0.3">
      <c r="A17" s="39">
        <v>562.35</v>
      </c>
      <c r="B17" s="40" t="s">
        <v>52</v>
      </c>
      <c r="C17" s="165">
        <f>'Asotin Pgs 10-11'!C17+'Adams Pgs 8-9'!C17+'Benton-Franklin Pgs 12-13'!C17+'Chelan-Douglas Pgs 14-15'!C17+'Clallam Pgs 16-17'!C17+'Clark Pgs 18-19'!C17+'Columbia Pgs 20-21'!C17+'Cowlitz Pgs 22-23'!C17+'Garfield Pgs 24-25'!C17+'Grant Pgs 26-27'!C17+'Grays Harbor Pgs 28-29'!C17+'Island Pgs 30-31'!C17+'Jefferson Pgs 32-33'!C17+'Kitsap Pgs 34-35'!C17+'Kittitas Pgs 36-37'!C17+'Klickitat Pgs 38-39'!C17+'Lewis Pgs 40-41'!C17+'Lincoln Pgs 42-43'!C17+'Mason Pgs 44-45'!C17+'Northeast Tri Pgs 46-47'!C17+'Okanogan Pgs 48-49'!C17+'Pacific Pgs 50-51'!C17+'San Juan Pgs 52-53'!C17+'Seattle-King Pgs 54-55'!C17+'Skagit Pgs 56-57'!C17+'Skamania Pgs 58-59'!C17+'Snohomish Pgs 60-61'!C17+'Spokane Pgs 62-63'!C17+'Tacoma-Pierce Pgs 64-65'!C17+'Thurston Pgs 66-67'!C17+'Wahkiakum Pgs 68-69'!C17+'Walla Walla Pgs 70-71'!C17+'Whatcom Pgs 72-73'!C17+'Whitman Pgs 74-75'!C17+'Yakima Pgs 76-77'!C17</f>
        <v>17980941.109999999</v>
      </c>
      <c r="D17" s="17">
        <f>'Asotin Pgs 10-11'!D17+'Adams Pgs 8-9'!D17+'Benton-Franklin Pgs 12-13'!D17+'Chelan-Douglas Pgs 14-15'!D17+'Clallam Pgs 16-17'!D17+'Clark Pgs 18-19'!D17+'Columbia Pgs 20-21'!D17+'Cowlitz Pgs 22-23'!D17+'Garfield Pgs 24-25'!D17+'Grant Pgs 26-27'!D17+'Grays Harbor Pgs 28-29'!D17+'Island Pgs 30-31'!D17+'Jefferson Pgs 32-33'!D17+'Kitsap Pgs 34-35'!D17+'Kittitas Pgs 36-37'!D17+'Klickitat Pgs 38-39'!D17+'Lewis Pgs 40-41'!D17+'Lincoln Pgs 42-43'!D17+'Mason Pgs 44-45'!D17+'Northeast Tri Pgs 46-47'!D17+'Okanogan Pgs 48-49'!D17+'Pacific Pgs 50-51'!D17+'San Juan Pgs 52-53'!D17+'Seattle-King Pgs 54-55'!D17+'Skagit Pgs 56-57'!D17+'Skamania Pgs 58-59'!D17+'Snohomish Pgs 60-61'!D17+'Spokane Pgs 62-63'!D17+'Tacoma-Pierce Pgs 64-65'!D17+'Thurston Pgs 66-67'!D17+'Wahkiakum Pgs 68-69'!D17+'Walla Walla Pgs 70-71'!D17+'Whatcom Pgs 72-73'!D17+'Whitman Pgs 74-75'!D17+'Yakima Pgs 76-77'!D17</f>
        <v>18815618.439999998</v>
      </c>
      <c r="E17" s="165">
        <f>'Asotin Pgs 10-11'!E17+'Adams Pgs 8-9'!E17+'Benton-Franklin Pgs 12-13'!E17+'Chelan-Douglas Pgs 14-15'!E17+'Clallam Pgs 16-17'!E17+'Clark Pgs 18-19'!E17+'Columbia Pgs 20-21'!E17+'Cowlitz Pgs 22-23'!E17+'Garfield Pgs 24-25'!E17+'Grant Pgs 26-27'!E17+'Grays Harbor Pgs 28-29'!E17+'Island Pgs 30-31'!E17+'Jefferson Pgs 32-33'!E17+'Kitsap Pgs 34-35'!E17+'Kittitas Pgs 36-37'!E17+'Klickitat Pgs 38-39'!E17+'Lewis Pgs 40-41'!E17+'Lincoln Pgs 42-43'!E17+'Mason Pgs 44-45'!E17+'Northeast Tri Pgs 46-47'!E17+'Okanogan Pgs 48-49'!E17+'Pacific Pgs 50-51'!E17+'San Juan Pgs 52-53'!E17+'Seattle-King Pgs 54-55'!E17+'Skagit Pgs 56-57'!E17+'Skamania Pgs 58-59'!E17+'Snohomish Pgs 60-61'!E17+'Spokane Pgs 62-63'!E17+'Tacoma-Pierce Pgs 64-65'!E17+'Thurston Pgs 66-67'!E17+'Wahkiakum Pgs 68-69'!E17+'Walla Walla Pgs 70-71'!E17+'Whatcom Pgs 72-73'!E17+'Whitman Pgs 74-75'!E17+'Yakima Pgs 76-77'!E17</f>
        <v>3554697</v>
      </c>
      <c r="F17" s="8">
        <f>'Asotin Pgs 10-11'!F17+'Adams Pgs 8-9'!F17+'Benton-Franklin Pgs 12-13'!F17+'Chelan-Douglas Pgs 14-15'!F17+'Clallam Pgs 16-17'!F17+'Clark Pgs 18-19'!F17+'Columbia Pgs 20-21'!F17+'Cowlitz Pgs 22-23'!F17+'Garfield Pgs 24-25'!F17+'Grant Pgs 26-27'!F17+'Grays Harbor Pgs 28-29'!F17+'Island Pgs 30-31'!F17+'Jefferson Pgs 32-33'!F17+'Kitsap Pgs 34-35'!F17+'Kittitas Pgs 36-37'!F17+'Klickitat Pgs 38-39'!F17+'Lewis Pgs 40-41'!F17+'Lincoln Pgs 42-43'!F17+'Mason Pgs 44-45'!F17+'Northeast Tri Pgs 46-47'!F17+'Okanogan Pgs 48-49'!F17+'Pacific Pgs 50-51'!F17+'San Juan Pgs 52-53'!F17+'Seattle-King Pgs 54-55'!F17+'Skagit Pgs 56-57'!F17+'Skamania Pgs 58-59'!F17+'Snohomish Pgs 60-61'!F17+'Spokane Pgs 62-63'!F17+'Tacoma-Pierce Pgs 64-65'!F17+'Thurston Pgs 66-67'!F17+'Wahkiakum Pgs 68-69'!F17+'Walla Walla Pgs 70-71'!F17+'Whatcom Pgs 72-73'!F17+'Whitman Pgs 74-75'!F17+'Yakima Pgs 76-77'!F17</f>
        <v>668134</v>
      </c>
      <c r="G17" s="7">
        <f>'Asotin Pgs 10-11'!G17+'Adams Pgs 8-9'!G17+'Benton-Franklin Pgs 12-13'!G17+'Chelan-Douglas Pgs 14-15'!G17+'Clallam Pgs 16-17'!G17+'Clark Pgs 18-19'!G17+'Columbia Pgs 20-21'!G17+'Cowlitz Pgs 22-23'!G17+'Garfield Pgs 24-25'!G17+'Grant Pgs 26-27'!G17+'Grays Harbor Pgs 28-29'!G17+'Island Pgs 30-31'!G17+'Jefferson Pgs 32-33'!G17+'Kitsap Pgs 34-35'!G17+'Kittitas Pgs 36-37'!G17+'Klickitat Pgs 38-39'!G17+'Lewis Pgs 40-41'!G17+'Lincoln Pgs 42-43'!G17+'Mason Pgs 44-45'!G17+'Northeast Tri Pgs 46-47'!G17+'Okanogan Pgs 48-49'!G17+'Pacific Pgs 50-51'!G17+'San Juan Pgs 52-53'!G17+'Seattle-King Pgs 54-55'!G17+'Skagit Pgs 56-57'!G17+'Skamania Pgs 58-59'!G17+'Snohomish Pgs 60-61'!G17+'Spokane Pgs 62-63'!G17+'Tacoma-Pierce Pgs 64-65'!G17+'Thurston Pgs 66-67'!G17+'Wahkiakum Pgs 68-69'!G17+'Walla Walla Pgs 70-71'!G17+'Whatcom Pgs 72-73'!G17+'Whitman Pgs 74-75'!G17+'Yakima Pgs 76-77'!G17</f>
        <v>0</v>
      </c>
      <c r="H17" s="15">
        <f>'Asotin Pgs 10-11'!H17+'Adams Pgs 8-9'!H17+'Benton-Franklin Pgs 12-13'!H17+'Chelan-Douglas Pgs 14-15'!H17+'Clallam Pgs 16-17'!H17+'Clark Pgs 18-19'!H17+'Columbia Pgs 20-21'!H17+'Cowlitz Pgs 22-23'!H17+'Garfield Pgs 24-25'!H17+'Grant Pgs 26-27'!H17+'Grays Harbor Pgs 28-29'!H17+'Island Pgs 30-31'!H17+'Jefferson Pgs 32-33'!H17+'Kitsap Pgs 34-35'!H17+'Kittitas Pgs 36-37'!H17+'Klickitat Pgs 38-39'!H17+'Lewis Pgs 40-41'!H17+'Lincoln Pgs 42-43'!H17+'Mason Pgs 44-45'!H17+'Northeast Tri Pgs 46-47'!H17+'Okanogan Pgs 48-49'!H17+'Pacific Pgs 50-51'!H17+'San Juan Pgs 52-53'!H17+'Seattle-King Pgs 54-55'!H17+'Skagit Pgs 56-57'!H17+'Skamania Pgs 58-59'!H17+'Snohomish Pgs 60-61'!H17+'Spokane Pgs 62-63'!H17+'Tacoma-Pierce Pgs 64-65'!H17+'Thurston Pgs 66-67'!H17+'Wahkiakum Pgs 68-69'!H17+'Walla Walla Pgs 70-71'!H17+'Whatcom Pgs 72-73'!H17+'Whitman Pgs 74-75'!H17+'Yakima Pgs 76-77'!H17</f>
        <v>4820964.07</v>
      </c>
      <c r="I17" s="7">
        <f>'Asotin Pgs 10-11'!I17+'Adams Pgs 8-9'!I17+'Benton-Franklin Pgs 12-13'!I17+'Chelan-Douglas Pgs 14-15'!I17+'Clallam Pgs 16-17'!I17+'Clark Pgs 18-19'!I17+'Columbia Pgs 20-21'!I17+'Cowlitz Pgs 22-23'!I17+'Garfield Pgs 24-25'!I17+'Grant Pgs 26-27'!I17+'Grays Harbor Pgs 28-29'!I17+'Island Pgs 30-31'!I17+'Jefferson Pgs 32-33'!I17+'Kitsap Pgs 34-35'!I17+'Kittitas Pgs 36-37'!I17+'Klickitat Pgs 38-39'!I17+'Lewis Pgs 40-41'!I17+'Lincoln Pgs 42-43'!I17+'Mason Pgs 44-45'!I17+'Northeast Tri Pgs 46-47'!I17+'Okanogan Pgs 48-49'!I17+'Pacific Pgs 50-51'!I17+'San Juan Pgs 52-53'!I17+'Seattle-King Pgs 54-55'!I17+'Skagit Pgs 56-57'!I17+'Skamania Pgs 58-59'!I17+'Snohomish Pgs 60-61'!I17+'Spokane Pgs 62-63'!I17+'Tacoma-Pierce Pgs 64-65'!I17+'Thurston Pgs 66-67'!I17+'Wahkiakum Pgs 68-69'!I17+'Walla Walla Pgs 70-71'!I17+'Whatcom Pgs 72-73'!I17+'Whitman Pgs 74-75'!I17+'Yakima Pgs 76-77'!I17</f>
        <v>6947610.8499999996</v>
      </c>
      <c r="J17" s="15">
        <f>'Asotin Pgs 10-11'!M17+'Adams Pgs 8-9'!M17+'Benton-Franklin Pgs 12-13'!M17+'Chelan-Douglas Pgs 14-15'!M17+'Clallam Pgs 16-17'!M17+'Clark Pgs 18-19'!M17+'Columbia Pgs 20-21'!M17+'Cowlitz Pgs 22-23'!M17+'Garfield Pgs 24-25'!M17+'Grant Pgs 26-27'!M17+'Grays Harbor Pgs 28-29'!M17+'Island Pgs 30-31'!M17+'Jefferson Pgs 32-33'!M17+'Kitsap Pgs 34-35'!M17+'Kittitas Pgs 36-37'!M17+'Klickitat Pgs 38-39'!M17+'Lewis Pgs 40-41'!M17+'Lincoln Pgs 42-43'!M17+'Mason Pgs 44-45'!M17+'Northeast Tri Pgs 46-47'!M17+'Okanogan Pgs 48-49'!M17+'Pacific Pgs 50-51'!M17+'San Juan Pgs 52-53'!M17+'Seattle-King Pgs 54-55'!M17+'Skagit Pgs 56-57'!M17+'Skamania Pgs 58-59'!M17+'Snohomish Pgs 60-61'!M17+'Spokane Pgs 62-63'!M17+'Tacoma-Pierce Pgs 64-65'!M17+'Thurston Pgs 66-67'!M17+'Wahkiakum Pgs 68-69'!M17+'Walla Walla Pgs 70-71'!M17+'Whatcom Pgs 72-73'!M17+'Whitman Pgs 74-75'!M17+'Yakima Pgs 76-77'!M17</f>
        <v>2329572</v>
      </c>
      <c r="K17" s="7">
        <f>'Asotin Pgs 10-11'!Q17+'Adams Pgs 8-9'!Q17+'Benton-Franklin Pgs 12-13'!Q17+'Chelan-Douglas Pgs 14-15'!Q17+'Clallam Pgs 16-17'!Q17+'Clark Pgs 18-19'!Q17+'Columbia Pgs 20-21'!Q17+'Cowlitz Pgs 22-23'!Q17+'Garfield Pgs 24-25'!Q17+'Grant Pgs 26-27'!Q17+'Grays Harbor Pgs 28-29'!Q17+'Island Pgs 30-31'!Q17+'Jefferson Pgs 32-33'!Q17+'Kitsap Pgs 34-35'!Q17+'Kittitas Pgs 36-37'!Q17+'Klickitat Pgs 38-39'!Q17+'Lewis Pgs 40-41'!Q17+'Lincoln Pgs 42-43'!Q17+'Mason Pgs 44-45'!Q17+'Northeast Tri Pgs 46-47'!Q17+'Okanogan Pgs 48-49'!Q17+'Pacific Pgs 50-51'!Q17+'San Juan Pgs 52-53'!Q17+'Seattle-King Pgs 54-55'!Q17+'Skagit Pgs 56-57'!Q17+'Skamania Pgs 58-59'!Q17+'Snohomish Pgs 60-61'!Q17+'Spokane Pgs 62-63'!Q17+'Tacoma-Pierce Pgs 64-65'!Q17+'Thurston Pgs 66-67'!Q17+'Wahkiakum Pgs 68-69'!Q17+'Walla Walla Pgs 70-71'!Q17+'Whatcom Pgs 72-73'!Q17+'Whitman Pgs 74-75'!Q17+'Yakima Pgs 76-77'!Q17</f>
        <v>472983.32</v>
      </c>
      <c r="L17" s="15">
        <f>'Asotin Pgs 10-11'!R17+'Adams Pgs 8-9'!R17+'Benton-Franklin Pgs 12-13'!R17+'Chelan-Douglas Pgs 14-15'!R17+'Clallam Pgs 16-17'!R17+'Clark Pgs 18-19'!R17+'Columbia Pgs 20-21'!R17+'Cowlitz Pgs 22-23'!R17+'Garfield Pgs 24-25'!R17+'Grant Pgs 26-27'!R17+'Grays Harbor Pgs 28-29'!R17+'Island Pgs 30-31'!R17+'Jefferson Pgs 32-33'!R17+'Kitsap Pgs 34-35'!R17+'Kittitas Pgs 36-37'!R17+'Klickitat Pgs 38-39'!R17+'Lewis Pgs 40-41'!R17+'Lincoln Pgs 42-43'!R17+'Mason Pgs 44-45'!R17+'Northeast Tri Pgs 46-47'!R17+'Okanogan Pgs 48-49'!R17+'Pacific Pgs 50-51'!R17+'San Juan Pgs 52-53'!R17+'Seattle-King Pgs 54-55'!R17+'Skagit Pgs 56-57'!R17+'Skamania Pgs 58-59'!R17+'Snohomish Pgs 60-61'!R17+'Spokane Pgs 62-63'!R17+'Tacoma-Pierce Pgs 64-65'!R17+'Thurston Pgs 66-67'!R17+'Wahkiakum Pgs 68-69'!R17+'Walla Walla Pgs 70-71'!R17+'Whatcom Pgs 72-73'!R17+'Whitman Pgs 74-75'!R17+'Yakima Pgs 76-77'!R17</f>
        <v>21657.200000000001</v>
      </c>
    </row>
    <row r="18" spans="1:12" x14ac:dyDescent="0.3">
      <c r="A18" s="39">
        <v>562.39</v>
      </c>
      <c r="B18" s="40" t="s">
        <v>53</v>
      </c>
      <c r="C18" s="165">
        <f>'Asotin Pgs 10-11'!C18+'Adams Pgs 8-9'!C18+'Benton-Franklin Pgs 12-13'!C18+'Chelan-Douglas Pgs 14-15'!C18+'Clallam Pgs 16-17'!C18+'Clark Pgs 18-19'!C18+'Columbia Pgs 20-21'!C18+'Cowlitz Pgs 22-23'!C18+'Garfield Pgs 24-25'!C18+'Grant Pgs 26-27'!C18+'Grays Harbor Pgs 28-29'!C18+'Island Pgs 30-31'!C18+'Jefferson Pgs 32-33'!C18+'Kitsap Pgs 34-35'!C18+'Kittitas Pgs 36-37'!C18+'Klickitat Pgs 38-39'!C18+'Lewis Pgs 40-41'!C18+'Lincoln Pgs 42-43'!C18+'Mason Pgs 44-45'!C18+'Northeast Tri Pgs 46-47'!C18+'Okanogan Pgs 48-49'!C18+'Pacific Pgs 50-51'!C18+'San Juan Pgs 52-53'!C18+'Seattle-King Pgs 54-55'!C18+'Skagit Pgs 56-57'!C18+'Skamania Pgs 58-59'!C18+'Snohomish Pgs 60-61'!C18+'Spokane Pgs 62-63'!C18+'Tacoma-Pierce Pgs 64-65'!C18+'Thurston Pgs 66-67'!C18+'Wahkiakum Pgs 68-69'!C18+'Walla Walla Pgs 70-71'!C18+'Whatcom Pgs 72-73'!C18+'Whitman Pgs 74-75'!C18+'Yakima Pgs 76-77'!C18</f>
        <v>7163014.6400000006</v>
      </c>
      <c r="D18" s="17">
        <f>'Asotin Pgs 10-11'!D18+'Adams Pgs 8-9'!D18+'Benton-Franklin Pgs 12-13'!D18+'Chelan-Douglas Pgs 14-15'!D18+'Clallam Pgs 16-17'!D18+'Clark Pgs 18-19'!D18+'Columbia Pgs 20-21'!D18+'Cowlitz Pgs 22-23'!D18+'Garfield Pgs 24-25'!D18+'Grant Pgs 26-27'!D18+'Grays Harbor Pgs 28-29'!D18+'Island Pgs 30-31'!D18+'Jefferson Pgs 32-33'!D18+'Kitsap Pgs 34-35'!D18+'Kittitas Pgs 36-37'!D18+'Klickitat Pgs 38-39'!D18+'Lewis Pgs 40-41'!D18+'Lincoln Pgs 42-43'!D18+'Mason Pgs 44-45'!D18+'Northeast Tri Pgs 46-47'!D18+'Okanogan Pgs 48-49'!D18+'Pacific Pgs 50-51'!D18+'San Juan Pgs 52-53'!D18+'Seattle-King Pgs 54-55'!D18+'Skagit Pgs 56-57'!D18+'Skamania Pgs 58-59'!D18+'Snohomish Pgs 60-61'!D18+'Spokane Pgs 62-63'!D18+'Tacoma-Pierce Pgs 64-65'!D18+'Thurston Pgs 66-67'!D18+'Wahkiakum Pgs 68-69'!D18+'Walla Walla Pgs 70-71'!D18+'Whatcom Pgs 72-73'!D18+'Whitman Pgs 74-75'!D18+'Yakima Pgs 76-77'!D18</f>
        <v>5985236.7000000002</v>
      </c>
      <c r="E18" s="165">
        <f>'Asotin Pgs 10-11'!E18+'Adams Pgs 8-9'!E18+'Benton-Franklin Pgs 12-13'!E18+'Chelan-Douglas Pgs 14-15'!E18+'Clallam Pgs 16-17'!E18+'Clark Pgs 18-19'!E18+'Columbia Pgs 20-21'!E18+'Cowlitz Pgs 22-23'!E18+'Garfield Pgs 24-25'!E18+'Grant Pgs 26-27'!E18+'Grays Harbor Pgs 28-29'!E18+'Island Pgs 30-31'!E18+'Jefferson Pgs 32-33'!E18+'Kitsap Pgs 34-35'!E18+'Kittitas Pgs 36-37'!E18+'Klickitat Pgs 38-39'!E18+'Lewis Pgs 40-41'!E18+'Lincoln Pgs 42-43'!E18+'Mason Pgs 44-45'!E18+'Northeast Tri Pgs 46-47'!E18+'Okanogan Pgs 48-49'!E18+'Pacific Pgs 50-51'!E18+'San Juan Pgs 52-53'!E18+'Seattle-King Pgs 54-55'!E18+'Skagit Pgs 56-57'!E18+'Skamania Pgs 58-59'!E18+'Snohomish Pgs 60-61'!E18+'Spokane Pgs 62-63'!E18+'Tacoma-Pierce Pgs 64-65'!E18+'Thurston Pgs 66-67'!E18+'Wahkiakum Pgs 68-69'!E18+'Walla Walla Pgs 70-71'!E18+'Whatcom Pgs 72-73'!E18+'Whitman Pgs 74-75'!E18+'Yakima Pgs 76-77'!E18</f>
        <v>84101</v>
      </c>
      <c r="F18" s="8">
        <f>'Asotin Pgs 10-11'!F18+'Adams Pgs 8-9'!F18+'Benton-Franklin Pgs 12-13'!F18+'Chelan-Douglas Pgs 14-15'!F18+'Clallam Pgs 16-17'!F18+'Clark Pgs 18-19'!F18+'Columbia Pgs 20-21'!F18+'Cowlitz Pgs 22-23'!F18+'Garfield Pgs 24-25'!F18+'Grant Pgs 26-27'!F18+'Grays Harbor Pgs 28-29'!F18+'Island Pgs 30-31'!F18+'Jefferson Pgs 32-33'!F18+'Kitsap Pgs 34-35'!F18+'Kittitas Pgs 36-37'!F18+'Klickitat Pgs 38-39'!F18+'Lewis Pgs 40-41'!F18+'Lincoln Pgs 42-43'!F18+'Mason Pgs 44-45'!F18+'Northeast Tri Pgs 46-47'!F18+'Okanogan Pgs 48-49'!F18+'Pacific Pgs 50-51'!F18+'San Juan Pgs 52-53'!F18+'Seattle-King Pgs 54-55'!F18+'Skagit Pgs 56-57'!F18+'Skamania Pgs 58-59'!F18+'Snohomish Pgs 60-61'!F18+'Spokane Pgs 62-63'!F18+'Tacoma-Pierce Pgs 64-65'!F18+'Thurston Pgs 66-67'!F18+'Wahkiakum Pgs 68-69'!F18+'Walla Walla Pgs 70-71'!F18+'Whatcom Pgs 72-73'!F18+'Whitman Pgs 74-75'!F18+'Yakima Pgs 76-77'!F18</f>
        <v>2556382</v>
      </c>
      <c r="G18" s="7">
        <f>'Asotin Pgs 10-11'!G18+'Adams Pgs 8-9'!G18+'Benton-Franklin Pgs 12-13'!G18+'Chelan-Douglas Pgs 14-15'!G18+'Clallam Pgs 16-17'!G18+'Clark Pgs 18-19'!G18+'Columbia Pgs 20-21'!G18+'Cowlitz Pgs 22-23'!G18+'Garfield Pgs 24-25'!G18+'Grant Pgs 26-27'!G18+'Grays Harbor Pgs 28-29'!G18+'Island Pgs 30-31'!G18+'Jefferson Pgs 32-33'!G18+'Kitsap Pgs 34-35'!G18+'Kittitas Pgs 36-37'!G18+'Klickitat Pgs 38-39'!G18+'Lewis Pgs 40-41'!G18+'Lincoln Pgs 42-43'!G18+'Mason Pgs 44-45'!G18+'Northeast Tri Pgs 46-47'!G18+'Okanogan Pgs 48-49'!G18+'Pacific Pgs 50-51'!G18+'San Juan Pgs 52-53'!G18+'Seattle-King Pgs 54-55'!G18+'Skagit Pgs 56-57'!G18+'Skamania Pgs 58-59'!G18+'Snohomish Pgs 60-61'!G18+'Spokane Pgs 62-63'!G18+'Tacoma-Pierce Pgs 64-65'!G18+'Thurston Pgs 66-67'!G18+'Wahkiakum Pgs 68-69'!G18+'Walla Walla Pgs 70-71'!G18+'Whatcom Pgs 72-73'!G18+'Whitman Pgs 74-75'!G18+'Yakima Pgs 76-77'!G18</f>
        <v>752</v>
      </c>
      <c r="H18" s="15">
        <f>'Asotin Pgs 10-11'!H18+'Adams Pgs 8-9'!H18+'Benton-Franklin Pgs 12-13'!H18+'Chelan-Douglas Pgs 14-15'!H18+'Clallam Pgs 16-17'!H18+'Clark Pgs 18-19'!H18+'Columbia Pgs 20-21'!H18+'Cowlitz Pgs 22-23'!H18+'Garfield Pgs 24-25'!H18+'Grant Pgs 26-27'!H18+'Grays Harbor Pgs 28-29'!H18+'Island Pgs 30-31'!H18+'Jefferson Pgs 32-33'!H18+'Kitsap Pgs 34-35'!H18+'Kittitas Pgs 36-37'!H18+'Klickitat Pgs 38-39'!H18+'Lewis Pgs 40-41'!H18+'Lincoln Pgs 42-43'!H18+'Mason Pgs 44-45'!H18+'Northeast Tri Pgs 46-47'!H18+'Okanogan Pgs 48-49'!H18+'Pacific Pgs 50-51'!H18+'San Juan Pgs 52-53'!H18+'Seattle-King Pgs 54-55'!H18+'Skagit Pgs 56-57'!H18+'Skamania Pgs 58-59'!H18+'Snohomish Pgs 60-61'!H18+'Spokane Pgs 62-63'!H18+'Tacoma-Pierce Pgs 64-65'!H18+'Thurston Pgs 66-67'!H18+'Wahkiakum Pgs 68-69'!H18+'Walla Walla Pgs 70-71'!H18+'Whatcom Pgs 72-73'!H18+'Whitman Pgs 74-75'!H18+'Yakima Pgs 76-77'!H18</f>
        <v>1674633.7</v>
      </c>
      <c r="I18" s="7">
        <f>'Asotin Pgs 10-11'!I18+'Adams Pgs 8-9'!I18+'Benton-Franklin Pgs 12-13'!I18+'Chelan-Douglas Pgs 14-15'!I18+'Clallam Pgs 16-17'!I18+'Clark Pgs 18-19'!I18+'Columbia Pgs 20-21'!I18+'Cowlitz Pgs 22-23'!I18+'Garfield Pgs 24-25'!I18+'Grant Pgs 26-27'!I18+'Grays Harbor Pgs 28-29'!I18+'Island Pgs 30-31'!I18+'Jefferson Pgs 32-33'!I18+'Kitsap Pgs 34-35'!I18+'Kittitas Pgs 36-37'!I18+'Klickitat Pgs 38-39'!I18+'Lewis Pgs 40-41'!I18+'Lincoln Pgs 42-43'!I18+'Mason Pgs 44-45'!I18+'Northeast Tri Pgs 46-47'!I18+'Okanogan Pgs 48-49'!I18+'Pacific Pgs 50-51'!I18+'San Juan Pgs 52-53'!I18+'Seattle-King Pgs 54-55'!I18+'Skagit Pgs 56-57'!I18+'Skamania Pgs 58-59'!I18+'Snohomish Pgs 60-61'!I18+'Spokane Pgs 62-63'!I18+'Tacoma-Pierce Pgs 64-65'!I18+'Thurston Pgs 66-67'!I18+'Wahkiakum Pgs 68-69'!I18+'Walla Walla Pgs 70-71'!I18+'Whatcom Pgs 72-73'!I18+'Whitman Pgs 74-75'!I18+'Yakima Pgs 76-77'!I18</f>
        <v>87101</v>
      </c>
      <c r="J18" s="15">
        <f>'Asotin Pgs 10-11'!M18+'Adams Pgs 8-9'!M18+'Benton-Franklin Pgs 12-13'!M18+'Chelan-Douglas Pgs 14-15'!M18+'Clallam Pgs 16-17'!M18+'Clark Pgs 18-19'!M18+'Columbia Pgs 20-21'!M18+'Cowlitz Pgs 22-23'!M18+'Garfield Pgs 24-25'!M18+'Grant Pgs 26-27'!M18+'Grays Harbor Pgs 28-29'!M18+'Island Pgs 30-31'!M18+'Jefferson Pgs 32-33'!M18+'Kitsap Pgs 34-35'!M18+'Kittitas Pgs 36-37'!M18+'Klickitat Pgs 38-39'!M18+'Lewis Pgs 40-41'!M18+'Lincoln Pgs 42-43'!M18+'Mason Pgs 44-45'!M18+'Northeast Tri Pgs 46-47'!M18+'Okanogan Pgs 48-49'!M18+'Pacific Pgs 50-51'!M18+'San Juan Pgs 52-53'!M18+'Seattle-King Pgs 54-55'!M18+'Skagit Pgs 56-57'!M18+'Skamania Pgs 58-59'!M18+'Snohomish Pgs 60-61'!M18+'Spokane Pgs 62-63'!M18+'Tacoma-Pierce Pgs 64-65'!M18+'Thurston Pgs 66-67'!M18+'Wahkiakum Pgs 68-69'!M18+'Walla Walla Pgs 70-71'!M18+'Whatcom Pgs 72-73'!M18+'Whitman Pgs 74-75'!M18+'Yakima Pgs 76-77'!M18</f>
        <v>1128933</v>
      </c>
      <c r="K18" s="7">
        <f>'Asotin Pgs 10-11'!Q18+'Adams Pgs 8-9'!Q18+'Benton-Franklin Pgs 12-13'!Q18+'Chelan-Douglas Pgs 14-15'!Q18+'Clallam Pgs 16-17'!Q18+'Clark Pgs 18-19'!Q18+'Columbia Pgs 20-21'!Q18+'Cowlitz Pgs 22-23'!Q18+'Garfield Pgs 24-25'!Q18+'Grant Pgs 26-27'!Q18+'Grays Harbor Pgs 28-29'!Q18+'Island Pgs 30-31'!Q18+'Jefferson Pgs 32-33'!Q18+'Kitsap Pgs 34-35'!Q18+'Kittitas Pgs 36-37'!Q18+'Klickitat Pgs 38-39'!Q18+'Lewis Pgs 40-41'!Q18+'Lincoln Pgs 42-43'!Q18+'Mason Pgs 44-45'!Q18+'Northeast Tri Pgs 46-47'!Q18+'Okanogan Pgs 48-49'!Q18+'Pacific Pgs 50-51'!Q18+'San Juan Pgs 52-53'!Q18+'Seattle-King Pgs 54-55'!Q18+'Skagit Pgs 56-57'!Q18+'Skamania Pgs 58-59'!Q18+'Snohomish Pgs 60-61'!Q18+'Spokane Pgs 62-63'!Q18+'Tacoma-Pierce Pgs 64-65'!Q18+'Thurston Pgs 66-67'!Q18+'Wahkiakum Pgs 68-69'!Q18+'Walla Walla Pgs 70-71'!Q18+'Whatcom Pgs 72-73'!Q18+'Whitman Pgs 74-75'!Q18+'Yakima Pgs 76-77'!Q18</f>
        <v>337799</v>
      </c>
      <c r="L18" s="15">
        <f>'Asotin Pgs 10-11'!R18+'Adams Pgs 8-9'!R18+'Benton-Franklin Pgs 12-13'!R18+'Chelan-Douglas Pgs 14-15'!R18+'Clallam Pgs 16-17'!R18+'Clark Pgs 18-19'!R18+'Columbia Pgs 20-21'!R18+'Cowlitz Pgs 22-23'!R18+'Garfield Pgs 24-25'!R18+'Grant Pgs 26-27'!R18+'Grays Harbor Pgs 28-29'!R18+'Island Pgs 30-31'!R18+'Jefferson Pgs 32-33'!R18+'Kitsap Pgs 34-35'!R18+'Kittitas Pgs 36-37'!R18+'Klickitat Pgs 38-39'!R18+'Lewis Pgs 40-41'!R18+'Lincoln Pgs 42-43'!R18+'Mason Pgs 44-45'!R18+'Northeast Tri Pgs 46-47'!R18+'Okanogan Pgs 48-49'!R18+'Pacific Pgs 50-51'!R18+'San Juan Pgs 52-53'!R18+'Seattle-King Pgs 54-55'!R18+'Skagit Pgs 56-57'!R18+'Skamania Pgs 58-59'!R18+'Snohomish Pgs 60-61'!R18+'Spokane Pgs 62-63'!R18+'Tacoma-Pierce Pgs 64-65'!R18+'Thurston Pgs 66-67'!R18+'Wahkiakum Pgs 68-69'!R18+'Walla Walla Pgs 70-71'!R18+'Whatcom Pgs 72-73'!R18+'Whitman Pgs 74-75'!R18+'Yakima Pgs 76-77'!R18</f>
        <v>115535</v>
      </c>
    </row>
    <row r="19" spans="1:12" x14ac:dyDescent="0.3">
      <c r="A19" s="39">
        <v>562.41</v>
      </c>
      <c r="B19" s="40" t="s">
        <v>54</v>
      </c>
      <c r="C19" s="165">
        <f>'Asotin Pgs 10-11'!C19+'Adams Pgs 8-9'!C19+'Benton-Franklin Pgs 12-13'!C19+'Chelan-Douglas Pgs 14-15'!C19+'Clallam Pgs 16-17'!C19+'Clark Pgs 18-19'!C19+'Columbia Pgs 20-21'!C19+'Cowlitz Pgs 22-23'!C19+'Garfield Pgs 24-25'!C19+'Grant Pgs 26-27'!C19+'Grays Harbor Pgs 28-29'!C19+'Island Pgs 30-31'!C19+'Jefferson Pgs 32-33'!C19+'Kitsap Pgs 34-35'!C19+'Kittitas Pgs 36-37'!C19+'Klickitat Pgs 38-39'!C19+'Lewis Pgs 40-41'!C19+'Lincoln Pgs 42-43'!C19+'Mason Pgs 44-45'!C19+'Northeast Tri Pgs 46-47'!C19+'Okanogan Pgs 48-49'!C19+'Pacific Pgs 50-51'!C19+'San Juan Pgs 52-53'!C19+'Seattle-King Pgs 54-55'!C19+'Skagit Pgs 56-57'!C19+'Skamania Pgs 58-59'!C19+'Snohomish Pgs 60-61'!C19+'Spokane Pgs 62-63'!C19+'Tacoma-Pierce Pgs 64-65'!C19+'Thurston Pgs 66-67'!C19+'Wahkiakum Pgs 68-69'!C19+'Walla Walla Pgs 70-71'!C19+'Whatcom Pgs 72-73'!C19+'Whitman Pgs 74-75'!C19+'Yakima Pgs 76-77'!C19</f>
        <v>1894148</v>
      </c>
      <c r="D19" s="17">
        <f>'Asotin Pgs 10-11'!D19+'Adams Pgs 8-9'!D19+'Benton-Franklin Pgs 12-13'!D19+'Chelan-Douglas Pgs 14-15'!D19+'Clallam Pgs 16-17'!D19+'Clark Pgs 18-19'!D19+'Columbia Pgs 20-21'!D19+'Cowlitz Pgs 22-23'!D19+'Garfield Pgs 24-25'!D19+'Grant Pgs 26-27'!D19+'Grays Harbor Pgs 28-29'!D19+'Island Pgs 30-31'!D19+'Jefferson Pgs 32-33'!D19+'Kitsap Pgs 34-35'!D19+'Kittitas Pgs 36-37'!D19+'Klickitat Pgs 38-39'!D19+'Lewis Pgs 40-41'!D19+'Lincoln Pgs 42-43'!D19+'Mason Pgs 44-45'!D19+'Northeast Tri Pgs 46-47'!D19+'Okanogan Pgs 48-49'!D19+'Pacific Pgs 50-51'!D19+'San Juan Pgs 52-53'!D19+'Seattle-King Pgs 54-55'!D19+'Skagit Pgs 56-57'!D19+'Skamania Pgs 58-59'!D19+'Snohomish Pgs 60-61'!D19+'Spokane Pgs 62-63'!D19+'Tacoma-Pierce Pgs 64-65'!D19+'Thurston Pgs 66-67'!D19+'Wahkiakum Pgs 68-69'!D19+'Walla Walla Pgs 70-71'!D19+'Whatcom Pgs 72-73'!D19+'Whitman Pgs 74-75'!D19+'Yakima Pgs 76-77'!D19</f>
        <v>1846059</v>
      </c>
      <c r="E19" s="165">
        <f>'Asotin Pgs 10-11'!E19+'Adams Pgs 8-9'!E19+'Benton-Franklin Pgs 12-13'!E19+'Chelan-Douglas Pgs 14-15'!E19+'Clallam Pgs 16-17'!E19+'Clark Pgs 18-19'!E19+'Columbia Pgs 20-21'!E19+'Cowlitz Pgs 22-23'!E19+'Garfield Pgs 24-25'!E19+'Grant Pgs 26-27'!E19+'Grays Harbor Pgs 28-29'!E19+'Island Pgs 30-31'!E19+'Jefferson Pgs 32-33'!E19+'Kitsap Pgs 34-35'!E19+'Kittitas Pgs 36-37'!E19+'Klickitat Pgs 38-39'!E19+'Lewis Pgs 40-41'!E19+'Lincoln Pgs 42-43'!E19+'Mason Pgs 44-45'!E19+'Northeast Tri Pgs 46-47'!E19+'Okanogan Pgs 48-49'!E19+'Pacific Pgs 50-51'!E19+'San Juan Pgs 52-53'!E19+'Seattle-King Pgs 54-55'!E19+'Skagit Pgs 56-57'!E19+'Skamania Pgs 58-59'!E19+'Snohomish Pgs 60-61'!E19+'Spokane Pgs 62-63'!E19+'Tacoma-Pierce Pgs 64-65'!E19+'Thurston Pgs 66-67'!E19+'Wahkiakum Pgs 68-69'!E19+'Walla Walla Pgs 70-71'!E19+'Whatcom Pgs 72-73'!E19+'Whitman Pgs 74-75'!E19+'Yakima Pgs 76-77'!E19</f>
        <v>0</v>
      </c>
      <c r="F19" s="8">
        <f>'Asotin Pgs 10-11'!F19+'Adams Pgs 8-9'!F19+'Benton-Franklin Pgs 12-13'!F19+'Chelan-Douglas Pgs 14-15'!F19+'Clallam Pgs 16-17'!F19+'Clark Pgs 18-19'!F19+'Columbia Pgs 20-21'!F19+'Cowlitz Pgs 22-23'!F19+'Garfield Pgs 24-25'!F19+'Grant Pgs 26-27'!F19+'Grays Harbor Pgs 28-29'!F19+'Island Pgs 30-31'!F19+'Jefferson Pgs 32-33'!F19+'Kitsap Pgs 34-35'!F19+'Kittitas Pgs 36-37'!F19+'Klickitat Pgs 38-39'!F19+'Lewis Pgs 40-41'!F19+'Lincoln Pgs 42-43'!F19+'Mason Pgs 44-45'!F19+'Northeast Tri Pgs 46-47'!F19+'Okanogan Pgs 48-49'!F19+'Pacific Pgs 50-51'!F19+'San Juan Pgs 52-53'!F19+'Seattle-King Pgs 54-55'!F19+'Skagit Pgs 56-57'!F19+'Skamania Pgs 58-59'!F19+'Snohomish Pgs 60-61'!F19+'Spokane Pgs 62-63'!F19+'Tacoma-Pierce Pgs 64-65'!F19+'Thurston Pgs 66-67'!F19+'Wahkiakum Pgs 68-69'!F19+'Walla Walla Pgs 70-71'!F19+'Whatcom Pgs 72-73'!F19+'Whitman Pgs 74-75'!F19+'Yakima Pgs 76-77'!F19</f>
        <v>546950</v>
      </c>
      <c r="G19" s="7">
        <f>'Asotin Pgs 10-11'!G19+'Adams Pgs 8-9'!G19+'Benton-Franklin Pgs 12-13'!G19+'Chelan-Douglas Pgs 14-15'!G19+'Clallam Pgs 16-17'!G19+'Clark Pgs 18-19'!G19+'Columbia Pgs 20-21'!G19+'Cowlitz Pgs 22-23'!G19+'Garfield Pgs 24-25'!G19+'Grant Pgs 26-27'!G19+'Grays Harbor Pgs 28-29'!G19+'Island Pgs 30-31'!G19+'Jefferson Pgs 32-33'!G19+'Kitsap Pgs 34-35'!G19+'Kittitas Pgs 36-37'!G19+'Klickitat Pgs 38-39'!G19+'Lewis Pgs 40-41'!G19+'Lincoln Pgs 42-43'!G19+'Mason Pgs 44-45'!G19+'Northeast Tri Pgs 46-47'!G19+'Okanogan Pgs 48-49'!G19+'Pacific Pgs 50-51'!G19+'San Juan Pgs 52-53'!G19+'Seattle-King Pgs 54-55'!G19+'Skagit Pgs 56-57'!G19+'Skamania Pgs 58-59'!G19+'Snohomish Pgs 60-61'!G19+'Spokane Pgs 62-63'!G19+'Tacoma-Pierce Pgs 64-65'!G19+'Thurston Pgs 66-67'!G19+'Wahkiakum Pgs 68-69'!G19+'Walla Walla Pgs 70-71'!G19+'Whatcom Pgs 72-73'!G19+'Whitman Pgs 74-75'!G19+'Yakima Pgs 76-77'!G19</f>
        <v>0</v>
      </c>
      <c r="H19" s="15">
        <f>'Asotin Pgs 10-11'!H19+'Adams Pgs 8-9'!H19+'Benton-Franklin Pgs 12-13'!H19+'Chelan-Douglas Pgs 14-15'!H19+'Clallam Pgs 16-17'!H19+'Clark Pgs 18-19'!H19+'Columbia Pgs 20-21'!H19+'Cowlitz Pgs 22-23'!H19+'Garfield Pgs 24-25'!H19+'Grant Pgs 26-27'!H19+'Grays Harbor Pgs 28-29'!H19+'Island Pgs 30-31'!H19+'Jefferson Pgs 32-33'!H19+'Kitsap Pgs 34-35'!H19+'Kittitas Pgs 36-37'!H19+'Klickitat Pgs 38-39'!H19+'Lewis Pgs 40-41'!H19+'Lincoln Pgs 42-43'!H19+'Mason Pgs 44-45'!H19+'Northeast Tri Pgs 46-47'!H19+'Okanogan Pgs 48-49'!H19+'Pacific Pgs 50-51'!H19+'San Juan Pgs 52-53'!H19+'Seattle-King Pgs 54-55'!H19+'Skagit Pgs 56-57'!H19+'Skamania Pgs 58-59'!H19+'Snohomish Pgs 60-61'!H19+'Spokane Pgs 62-63'!H19+'Tacoma-Pierce Pgs 64-65'!H19+'Thurston Pgs 66-67'!H19+'Wahkiakum Pgs 68-69'!H19+'Walla Walla Pgs 70-71'!H19+'Whatcom Pgs 72-73'!H19+'Whitman Pgs 74-75'!H19+'Yakima Pgs 76-77'!H19</f>
        <v>998427</v>
      </c>
      <c r="I19" s="7">
        <f>'Asotin Pgs 10-11'!I19+'Adams Pgs 8-9'!I19+'Benton-Franklin Pgs 12-13'!I19+'Chelan-Douglas Pgs 14-15'!I19+'Clallam Pgs 16-17'!I19+'Clark Pgs 18-19'!I19+'Columbia Pgs 20-21'!I19+'Cowlitz Pgs 22-23'!I19+'Garfield Pgs 24-25'!I19+'Grant Pgs 26-27'!I19+'Grays Harbor Pgs 28-29'!I19+'Island Pgs 30-31'!I19+'Jefferson Pgs 32-33'!I19+'Kitsap Pgs 34-35'!I19+'Kittitas Pgs 36-37'!I19+'Klickitat Pgs 38-39'!I19+'Lewis Pgs 40-41'!I19+'Lincoln Pgs 42-43'!I19+'Mason Pgs 44-45'!I19+'Northeast Tri Pgs 46-47'!I19+'Okanogan Pgs 48-49'!I19+'Pacific Pgs 50-51'!I19+'San Juan Pgs 52-53'!I19+'Seattle-King Pgs 54-55'!I19+'Skagit Pgs 56-57'!I19+'Skamania Pgs 58-59'!I19+'Snohomish Pgs 60-61'!I19+'Spokane Pgs 62-63'!I19+'Tacoma-Pierce Pgs 64-65'!I19+'Thurston Pgs 66-67'!I19+'Wahkiakum Pgs 68-69'!I19+'Walla Walla Pgs 70-71'!I19+'Whatcom Pgs 72-73'!I19+'Whitman Pgs 74-75'!I19+'Yakima Pgs 76-77'!I19</f>
        <v>214163</v>
      </c>
      <c r="J19" s="15">
        <f>'Asotin Pgs 10-11'!M19+'Adams Pgs 8-9'!M19+'Benton-Franklin Pgs 12-13'!M19+'Chelan-Douglas Pgs 14-15'!M19+'Clallam Pgs 16-17'!M19+'Clark Pgs 18-19'!M19+'Columbia Pgs 20-21'!M19+'Cowlitz Pgs 22-23'!M19+'Garfield Pgs 24-25'!M19+'Grant Pgs 26-27'!M19+'Grays Harbor Pgs 28-29'!M19+'Island Pgs 30-31'!M19+'Jefferson Pgs 32-33'!M19+'Kitsap Pgs 34-35'!M19+'Kittitas Pgs 36-37'!M19+'Klickitat Pgs 38-39'!M19+'Lewis Pgs 40-41'!M19+'Lincoln Pgs 42-43'!M19+'Mason Pgs 44-45'!M19+'Northeast Tri Pgs 46-47'!M19+'Okanogan Pgs 48-49'!M19+'Pacific Pgs 50-51'!M19+'San Juan Pgs 52-53'!M19+'Seattle-King Pgs 54-55'!M19+'Skagit Pgs 56-57'!M19+'Skamania Pgs 58-59'!M19+'Snohomish Pgs 60-61'!M19+'Spokane Pgs 62-63'!M19+'Tacoma-Pierce Pgs 64-65'!M19+'Thurston Pgs 66-67'!M19+'Wahkiakum Pgs 68-69'!M19+'Walla Walla Pgs 70-71'!M19+'Whatcom Pgs 72-73'!M19+'Whitman Pgs 74-75'!M19+'Yakima Pgs 76-77'!M19</f>
        <v>65906</v>
      </c>
      <c r="K19" s="7">
        <f>'Asotin Pgs 10-11'!Q19+'Adams Pgs 8-9'!Q19+'Benton-Franklin Pgs 12-13'!Q19+'Chelan-Douglas Pgs 14-15'!Q19+'Clallam Pgs 16-17'!Q19+'Clark Pgs 18-19'!Q19+'Columbia Pgs 20-21'!Q19+'Cowlitz Pgs 22-23'!Q19+'Garfield Pgs 24-25'!Q19+'Grant Pgs 26-27'!Q19+'Grays Harbor Pgs 28-29'!Q19+'Island Pgs 30-31'!Q19+'Jefferson Pgs 32-33'!Q19+'Kitsap Pgs 34-35'!Q19+'Kittitas Pgs 36-37'!Q19+'Klickitat Pgs 38-39'!Q19+'Lewis Pgs 40-41'!Q19+'Lincoln Pgs 42-43'!Q19+'Mason Pgs 44-45'!Q19+'Northeast Tri Pgs 46-47'!Q19+'Okanogan Pgs 48-49'!Q19+'Pacific Pgs 50-51'!Q19+'San Juan Pgs 52-53'!Q19+'Seattle-King Pgs 54-55'!Q19+'Skagit Pgs 56-57'!Q19+'Skamania Pgs 58-59'!Q19+'Snohomish Pgs 60-61'!Q19+'Spokane Pgs 62-63'!Q19+'Tacoma-Pierce Pgs 64-65'!Q19+'Thurston Pgs 66-67'!Q19+'Wahkiakum Pgs 68-69'!Q19+'Walla Walla Pgs 70-71'!Q19+'Whatcom Pgs 72-73'!Q19+'Whitman Pgs 74-75'!Q19+'Yakima Pgs 76-77'!Q19</f>
        <v>6627</v>
      </c>
      <c r="L19" s="15">
        <f>'Asotin Pgs 10-11'!R19+'Adams Pgs 8-9'!R19+'Benton-Franklin Pgs 12-13'!R19+'Chelan-Douglas Pgs 14-15'!R19+'Clallam Pgs 16-17'!R19+'Clark Pgs 18-19'!R19+'Columbia Pgs 20-21'!R19+'Cowlitz Pgs 22-23'!R19+'Garfield Pgs 24-25'!R19+'Grant Pgs 26-27'!R19+'Grays Harbor Pgs 28-29'!R19+'Island Pgs 30-31'!R19+'Jefferson Pgs 32-33'!R19+'Kitsap Pgs 34-35'!R19+'Kittitas Pgs 36-37'!R19+'Klickitat Pgs 38-39'!R19+'Lewis Pgs 40-41'!R19+'Lincoln Pgs 42-43'!R19+'Mason Pgs 44-45'!R19+'Northeast Tri Pgs 46-47'!R19+'Okanogan Pgs 48-49'!R19+'Pacific Pgs 50-51'!R19+'San Juan Pgs 52-53'!R19+'Seattle-King Pgs 54-55'!R19+'Skagit Pgs 56-57'!R19+'Skamania Pgs 58-59'!R19+'Snohomish Pgs 60-61'!R19+'Spokane Pgs 62-63'!R19+'Tacoma-Pierce Pgs 64-65'!R19+'Thurston Pgs 66-67'!R19+'Wahkiakum Pgs 68-69'!R19+'Walla Walla Pgs 70-71'!R19+'Whatcom Pgs 72-73'!R19+'Whitman Pgs 74-75'!R19+'Yakima Pgs 76-77'!R19</f>
        <v>13986</v>
      </c>
    </row>
    <row r="20" spans="1:12" x14ac:dyDescent="0.3">
      <c r="A20" s="39">
        <v>562.41999999999996</v>
      </c>
      <c r="B20" s="40" t="s">
        <v>55</v>
      </c>
      <c r="C20" s="165">
        <f>'Asotin Pgs 10-11'!C20+'Adams Pgs 8-9'!C20+'Benton-Franklin Pgs 12-13'!C20+'Chelan-Douglas Pgs 14-15'!C20+'Clallam Pgs 16-17'!C20+'Clark Pgs 18-19'!C20+'Columbia Pgs 20-21'!C20+'Cowlitz Pgs 22-23'!C20+'Garfield Pgs 24-25'!C20+'Grant Pgs 26-27'!C20+'Grays Harbor Pgs 28-29'!C20+'Island Pgs 30-31'!C20+'Jefferson Pgs 32-33'!C20+'Kitsap Pgs 34-35'!C20+'Kittitas Pgs 36-37'!C20+'Klickitat Pgs 38-39'!C20+'Lewis Pgs 40-41'!C20+'Lincoln Pgs 42-43'!C20+'Mason Pgs 44-45'!C20+'Northeast Tri Pgs 46-47'!C20+'Okanogan Pgs 48-49'!C20+'Pacific Pgs 50-51'!C20+'San Juan Pgs 52-53'!C20+'Seattle-King Pgs 54-55'!C20+'Skagit Pgs 56-57'!C20+'Skamania Pgs 58-59'!C20+'Snohomish Pgs 60-61'!C20+'Spokane Pgs 62-63'!C20+'Tacoma-Pierce Pgs 64-65'!C20+'Thurston Pgs 66-67'!C20+'Wahkiakum Pgs 68-69'!C20+'Walla Walla Pgs 70-71'!C20+'Whatcom Pgs 72-73'!C20+'Whitman Pgs 74-75'!C20+'Yakima Pgs 76-77'!C20</f>
        <v>2305931</v>
      </c>
      <c r="D20" s="17">
        <f>'Asotin Pgs 10-11'!D20+'Adams Pgs 8-9'!D20+'Benton-Franklin Pgs 12-13'!D20+'Chelan-Douglas Pgs 14-15'!D20+'Clallam Pgs 16-17'!D20+'Clark Pgs 18-19'!D20+'Columbia Pgs 20-21'!D20+'Cowlitz Pgs 22-23'!D20+'Garfield Pgs 24-25'!D20+'Grant Pgs 26-27'!D20+'Grays Harbor Pgs 28-29'!D20+'Island Pgs 30-31'!D20+'Jefferson Pgs 32-33'!D20+'Kitsap Pgs 34-35'!D20+'Kittitas Pgs 36-37'!D20+'Klickitat Pgs 38-39'!D20+'Lewis Pgs 40-41'!D20+'Lincoln Pgs 42-43'!D20+'Mason Pgs 44-45'!D20+'Northeast Tri Pgs 46-47'!D20+'Okanogan Pgs 48-49'!D20+'Pacific Pgs 50-51'!D20+'San Juan Pgs 52-53'!D20+'Seattle-King Pgs 54-55'!D20+'Skagit Pgs 56-57'!D20+'Skamania Pgs 58-59'!D20+'Snohomish Pgs 60-61'!D20+'Spokane Pgs 62-63'!D20+'Tacoma-Pierce Pgs 64-65'!D20+'Thurston Pgs 66-67'!D20+'Wahkiakum Pgs 68-69'!D20+'Walla Walla Pgs 70-71'!D20+'Whatcom Pgs 72-73'!D20+'Whitman Pgs 74-75'!D20+'Yakima Pgs 76-77'!D20</f>
        <v>2606642</v>
      </c>
      <c r="E20" s="165">
        <f>'Asotin Pgs 10-11'!E20+'Adams Pgs 8-9'!E20+'Benton-Franklin Pgs 12-13'!E20+'Chelan-Douglas Pgs 14-15'!E20+'Clallam Pgs 16-17'!E20+'Clark Pgs 18-19'!E20+'Columbia Pgs 20-21'!E20+'Cowlitz Pgs 22-23'!E20+'Garfield Pgs 24-25'!E20+'Grant Pgs 26-27'!E20+'Grays Harbor Pgs 28-29'!E20+'Island Pgs 30-31'!E20+'Jefferson Pgs 32-33'!E20+'Kitsap Pgs 34-35'!E20+'Kittitas Pgs 36-37'!E20+'Klickitat Pgs 38-39'!E20+'Lewis Pgs 40-41'!E20+'Lincoln Pgs 42-43'!E20+'Mason Pgs 44-45'!E20+'Northeast Tri Pgs 46-47'!E20+'Okanogan Pgs 48-49'!E20+'Pacific Pgs 50-51'!E20+'San Juan Pgs 52-53'!E20+'Seattle-King Pgs 54-55'!E20+'Skagit Pgs 56-57'!E20+'Skamania Pgs 58-59'!E20+'Snohomish Pgs 60-61'!E20+'Spokane Pgs 62-63'!E20+'Tacoma-Pierce Pgs 64-65'!E20+'Thurston Pgs 66-67'!E20+'Wahkiakum Pgs 68-69'!E20+'Walla Walla Pgs 70-71'!E20+'Whatcom Pgs 72-73'!E20+'Whitman Pgs 74-75'!E20+'Yakima Pgs 76-77'!E20</f>
        <v>202008</v>
      </c>
      <c r="F20" s="8">
        <f>'Asotin Pgs 10-11'!F20+'Adams Pgs 8-9'!F20+'Benton-Franklin Pgs 12-13'!F20+'Chelan-Douglas Pgs 14-15'!F20+'Clallam Pgs 16-17'!F20+'Clark Pgs 18-19'!F20+'Columbia Pgs 20-21'!F20+'Cowlitz Pgs 22-23'!F20+'Garfield Pgs 24-25'!F20+'Grant Pgs 26-27'!F20+'Grays Harbor Pgs 28-29'!F20+'Island Pgs 30-31'!F20+'Jefferson Pgs 32-33'!F20+'Kitsap Pgs 34-35'!F20+'Kittitas Pgs 36-37'!F20+'Klickitat Pgs 38-39'!F20+'Lewis Pgs 40-41'!F20+'Lincoln Pgs 42-43'!F20+'Mason Pgs 44-45'!F20+'Northeast Tri Pgs 46-47'!F20+'Okanogan Pgs 48-49'!F20+'Pacific Pgs 50-51'!F20+'San Juan Pgs 52-53'!F20+'Seattle-King Pgs 54-55'!F20+'Skagit Pgs 56-57'!F20+'Skamania Pgs 58-59'!F20+'Snohomish Pgs 60-61'!F20+'Spokane Pgs 62-63'!F20+'Tacoma-Pierce Pgs 64-65'!F20+'Thurston Pgs 66-67'!F20+'Wahkiakum Pgs 68-69'!F20+'Walla Walla Pgs 70-71'!F20+'Whatcom Pgs 72-73'!F20+'Whitman Pgs 74-75'!F20+'Yakima Pgs 76-77'!F20</f>
        <v>1372269</v>
      </c>
      <c r="G20" s="7">
        <f>'Asotin Pgs 10-11'!G20+'Adams Pgs 8-9'!G20+'Benton-Franklin Pgs 12-13'!G20+'Chelan-Douglas Pgs 14-15'!G20+'Clallam Pgs 16-17'!G20+'Clark Pgs 18-19'!G20+'Columbia Pgs 20-21'!G20+'Cowlitz Pgs 22-23'!G20+'Garfield Pgs 24-25'!G20+'Grant Pgs 26-27'!G20+'Grays Harbor Pgs 28-29'!G20+'Island Pgs 30-31'!G20+'Jefferson Pgs 32-33'!G20+'Kitsap Pgs 34-35'!G20+'Kittitas Pgs 36-37'!G20+'Klickitat Pgs 38-39'!G20+'Lewis Pgs 40-41'!G20+'Lincoln Pgs 42-43'!G20+'Mason Pgs 44-45'!G20+'Northeast Tri Pgs 46-47'!G20+'Okanogan Pgs 48-49'!G20+'Pacific Pgs 50-51'!G20+'San Juan Pgs 52-53'!G20+'Seattle-King Pgs 54-55'!G20+'Skagit Pgs 56-57'!G20+'Skamania Pgs 58-59'!G20+'Snohomish Pgs 60-61'!G20+'Spokane Pgs 62-63'!G20+'Tacoma-Pierce Pgs 64-65'!G20+'Thurston Pgs 66-67'!G20+'Wahkiakum Pgs 68-69'!G20+'Walla Walla Pgs 70-71'!G20+'Whatcom Pgs 72-73'!G20+'Whitman Pgs 74-75'!G20+'Yakima Pgs 76-77'!G20</f>
        <v>0</v>
      </c>
      <c r="H20" s="15">
        <f>'Asotin Pgs 10-11'!H20+'Adams Pgs 8-9'!H20+'Benton-Franklin Pgs 12-13'!H20+'Chelan-Douglas Pgs 14-15'!H20+'Clallam Pgs 16-17'!H20+'Clark Pgs 18-19'!H20+'Columbia Pgs 20-21'!H20+'Cowlitz Pgs 22-23'!H20+'Garfield Pgs 24-25'!H20+'Grant Pgs 26-27'!H20+'Grays Harbor Pgs 28-29'!H20+'Island Pgs 30-31'!H20+'Jefferson Pgs 32-33'!H20+'Kitsap Pgs 34-35'!H20+'Kittitas Pgs 36-37'!H20+'Klickitat Pgs 38-39'!H20+'Lewis Pgs 40-41'!H20+'Lincoln Pgs 42-43'!H20+'Mason Pgs 44-45'!H20+'Northeast Tri Pgs 46-47'!H20+'Okanogan Pgs 48-49'!H20+'Pacific Pgs 50-51'!H20+'San Juan Pgs 52-53'!H20+'Seattle-King Pgs 54-55'!H20+'Skagit Pgs 56-57'!H20+'Skamania Pgs 58-59'!H20+'Snohomish Pgs 60-61'!H20+'Spokane Pgs 62-63'!H20+'Tacoma-Pierce Pgs 64-65'!H20+'Thurston Pgs 66-67'!H20+'Wahkiakum Pgs 68-69'!H20+'Walla Walla Pgs 70-71'!H20+'Whatcom Pgs 72-73'!H20+'Whitman Pgs 74-75'!H20+'Yakima Pgs 76-77'!H20</f>
        <v>688355</v>
      </c>
      <c r="I20" s="7">
        <f>'Asotin Pgs 10-11'!I20+'Adams Pgs 8-9'!I20+'Benton-Franklin Pgs 12-13'!I20+'Chelan-Douglas Pgs 14-15'!I20+'Clallam Pgs 16-17'!I20+'Clark Pgs 18-19'!I20+'Columbia Pgs 20-21'!I20+'Cowlitz Pgs 22-23'!I20+'Garfield Pgs 24-25'!I20+'Grant Pgs 26-27'!I20+'Grays Harbor Pgs 28-29'!I20+'Island Pgs 30-31'!I20+'Jefferson Pgs 32-33'!I20+'Kitsap Pgs 34-35'!I20+'Kittitas Pgs 36-37'!I20+'Klickitat Pgs 38-39'!I20+'Lewis Pgs 40-41'!I20+'Lincoln Pgs 42-43'!I20+'Mason Pgs 44-45'!I20+'Northeast Tri Pgs 46-47'!I20+'Okanogan Pgs 48-49'!I20+'Pacific Pgs 50-51'!I20+'San Juan Pgs 52-53'!I20+'Seattle-King Pgs 54-55'!I20+'Skagit Pgs 56-57'!I20+'Skamania Pgs 58-59'!I20+'Snohomish Pgs 60-61'!I20+'Spokane Pgs 62-63'!I20+'Tacoma-Pierce Pgs 64-65'!I20+'Thurston Pgs 66-67'!I20+'Wahkiakum Pgs 68-69'!I20+'Walla Walla Pgs 70-71'!I20+'Whatcom Pgs 72-73'!I20+'Whitman Pgs 74-75'!I20+'Yakima Pgs 76-77'!I20</f>
        <v>87884</v>
      </c>
      <c r="J20" s="15">
        <f>'Asotin Pgs 10-11'!M20+'Adams Pgs 8-9'!M20+'Benton-Franklin Pgs 12-13'!M20+'Chelan-Douglas Pgs 14-15'!M20+'Clallam Pgs 16-17'!M20+'Clark Pgs 18-19'!M20+'Columbia Pgs 20-21'!M20+'Cowlitz Pgs 22-23'!M20+'Garfield Pgs 24-25'!M20+'Grant Pgs 26-27'!M20+'Grays Harbor Pgs 28-29'!M20+'Island Pgs 30-31'!M20+'Jefferson Pgs 32-33'!M20+'Kitsap Pgs 34-35'!M20+'Kittitas Pgs 36-37'!M20+'Klickitat Pgs 38-39'!M20+'Lewis Pgs 40-41'!M20+'Lincoln Pgs 42-43'!M20+'Mason Pgs 44-45'!M20+'Northeast Tri Pgs 46-47'!M20+'Okanogan Pgs 48-49'!M20+'Pacific Pgs 50-51'!M20+'San Juan Pgs 52-53'!M20+'Seattle-King Pgs 54-55'!M20+'Skagit Pgs 56-57'!M20+'Skamania Pgs 58-59'!M20+'Snohomish Pgs 60-61'!M20+'Spokane Pgs 62-63'!M20+'Tacoma-Pierce Pgs 64-65'!M20+'Thurston Pgs 66-67'!M20+'Wahkiakum Pgs 68-69'!M20+'Walla Walla Pgs 70-71'!M20+'Whatcom Pgs 72-73'!M20+'Whitman Pgs 74-75'!M20+'Yakima Pgs 76-77'!M20</f>
        <v>256126</v>
      </c>
      <c r="K20" s="7">
        <f>'Asotin Pgs 10-11'!Q20+'Adams Pgs 8-9'!Q20+'Benton-Franklin Pgs 12-13'!Q20+'Chelan-Douglas Pgs 14-15'!Q20+'Clallam Pgs 16-17'!Q20+'Clark Pgs 18-19'!Q20+'Columbia Pgs 20-21'!Q20+'Cowlitz Pgs 22-23'!Q20+'Garfield Pgs 24-25'!Q20+'Grant Pgs 26-27'!Q20+'Grays Harbor Pgs 28-29'!Q20+'Island Pgs 30-31'!Q20+'Jefferson Pgs 32-33'!Q20+'Kitsap Pgs 34-35'!Q20+'Kittitas Pgs 36-37'!Q20+'Klickitat Pgs 38-39'!Q20+'Lewis Pgs 40-41'!Q20+'Lincoln Pgs 42-43'!Q20+'Mason Pgs 44-45'!Q20+'Northeast Tri Pgs 46-47'!Q20+'Okanogan Pgs 48-49'!Q20+'Pacific Pgs 50-51'!Q20+'San Juan Pgs 52-53'!Q20+'Seattle-King Pgs 54-55'!Q20+'Skagit Pgs 56-57'!Q20+'Skamania Pgs 58-59'!Q20+'Snohomish Pgs 60-61'!Q20+'Spokane Pgs 62-63'!Q20+'Tacoma-Pierce Pgs 64-65'!Q20+'Thurston Pgs 66-67'!Q20+'Wahkiakum Pgs 68-69'!Q20+'Walla Walla Pgs 70-71'!Q20+'Whatcom Pgs 72-73'!Q20+'Whitman Pgs 74-75'!Q20+'Yakima Pgs 76-77'!Q20</f>
        <v>0</v>
      </c>
      <c r="L20" s="15">
        <f>'Asotin Pgs 10-11'!R20+'Adams Pgs 8-9'!R20+'Benton-Franklin Pgs 12-13'!R20+'Chelan-Douglas Pgs 14-15'!R20+'Clallam Pgs 16-17'!R20+'Clark Pgs 18-19'!R20+'Columbia Pgs 20-21'!R20+'Cowlitz Pgs 22-23'!R20+'Garfield Pgs 24-25'!R20+'Grant Pgs 26-27'!R20+'Grays Harbor Pgs 28-29'!R20+'Island Pgs 30-31'!R20+'Jefferson Pgs 32-33'!R20+'Kitsap Pgs 34-35'!R20+'Kittitas Pgs 36-37'!R20+'Klickitat Pgs 38-39'!R20+'Lewis Pgs 40-41'!R20+'Lincoln Pgs 42-43'!R20+'Mason Pgs 44-45'!R20+'Northeast Tri Pgs 46-47'!R20+'Okanogan Pgs 48-49'!R20+'Pacific Pgs 50-51'!R20+'San Juan Pgs 52-53'!R20+'Seattle-King Pgs 54-55'!R20+'Skagit Pgs 56-57'!R20+'Skamania Pgs 58-59'!R20+'Snohomish Pgs 60-61'!R20+'Spokane Pgs 62-63'!R20+'Tacoma-Pierce Pgs 64-65'!R20+'Thurston Pgs 66-67'!R20+'Wahkiakum Pgs 68-69'!R20+'Walla Walla Pgs 70-71'!R20+'Whatcom Pgs 72-73'!R20+'Whitman Pgs 74-75'!R20+'Yakima Pgs 76-77'!R20</f>
        <v>0</v>
      </c>
    </row>
    <row r="21" spans="1:12" x14ac:dyDescent="0.3">
      <c r="A21" s="39">
        <v>562.42999999999995</v>
      </c>
      <c r="B21" s="141" t="s">
        <v>96</v>
      </c>
      <c r="C21" s="165">
        <f>'Asotin Pgs 10-11'!C21+'Adams Pgs 8-9'!C21+'Benton-Franklin Pgs 12-13'!C21+'Chelan-Douglas Pgs 14-15'!C21+'Clallam Pgs 16-17'!C21+'Clark Pgs 18-19'!C21+'Columbia Pgs 20-21'!C21+'Cowlitz Pgs 22-23'!C21+'Garfield Pgs 24-25'!C21+'Grant Pgs 26-27'!C21+'Grays Harbor Pgs 28-29'!C21+'Island Pgs 30-31'!C21+'Jefferson Pgs 32-33'!C21+'Kitsap Pgs 34-35'!C21+'Kittitas Pgs 36-37'!C21+'Klickitat Pgs 38-39'!C21+'Lewis Pgs 40-41'!C21+'Lincoln Pgs 42-43'!C21+'Mason Pgs 44-45'!C21+'Northeast Tri Pgs 46-47'!C21+'Okanogan Pgs 48-49'!C21+'Pacific Pgs 50-51'!C21+'San Juan Pgs 52-53'!C21+'Seattle-King Pgs 54-55'!C21+'Skagit Pgs 56-57'!C21+'Skamania Pgs 58-59'!C21+'Snohomish Pgs 60-61'!C21+'Spokane Pgs 62-63'!C21+'Tacoma-Pierce Pgs 64-65'!C21+'Thurston Pgs 66-67'!C21+'Wahkiakum Pgs 68-69'!C21+'Walla Walla Pgs 70-71'!C21+'Whatcom Pgs 72-73'!C21+'Whitman Pgs 74-75'!C21+'Yakima Pgs 76-77'!C21</f>
        <v>2024029.9100000001</v>
      </c>
      <c r="D21" s="17">
        <f>'Asotin Pgs 10-11'!D21+'Adams Pgs 8-9'!D21+'Benton-Franklin Pgs 12-13'!D21+'Chelan-Douglas Pgs 14-15'!D21+'Clallam Pgs 16-17'!D21+'Clark Pgs 18-19'!D21+'Columbia Pgs 20-21'!D21+'Cowlitz Pgs 22-23'!D21+'Garfield Pgs 24-25'!D21+'Grant Pgs 26-27'!D21+'Grays Harbor Pgs 28-29'!D21+'Island Pgs 30-31'!D21+'Jefferson Pgs 32-33'!D21+'Kitsap Pgs 34-35'!D21+'Kittitas Pgs 36-37'!D21+'Klickitat Pgs 38-39'!D21+'Lewis Pgs 40-41'!D21+'Lincoln Pgs 42-43'!D21+'Mason Pgs 44-45'!D21+'Northeast Tri Pgs 46-47'!D21+'Okanogan Pgs 48-49'!D21+'Pacific Pgs 50-51'!D21+'San Juan Pgs 52-53'!D21+'Seattle-King Pgs 54-55'!D21+'Skagit Pgs 56-57'!D21+'Skamania Pgs 58-59'!D21+'Snohomish Pgs 60-61'!D21+'Spokane Pgs 62-63'!D21+'Tacoma-Pierce Pgs 64-65'!D21+'Thurston Pgs 66-67'!D21+'Wahkiakum Pgs 68-69'!D21+'Walla Walla Pgs 70-71'!D21+'Whatcom Pgs 72-73'!D21+'Whitman Pgs 74-75'!D21+'Yakima Pgs 76-77'!D21</f>
        <v>1712056.91</v>
      </c>
      <c r="E21" s="165">
        <f>'Asotin Pgs 10-11'!E21+'Adams Pgs 8-9'!E21+'Benton-Franklin Pgs 12-13'!E21+'Chelan-Douglas Pgs 14-15'!E21+'Clallam Pgs 16-17'!E21+'Clark Pgs 18-19'!E21+'Columbia Pgs 20-21'!E21+'Cowlitz Pgs 22-23'!E21+'Garfield Pgs 24-25'!E21+'Grant Pgs 26-27'!E21+'Grays Harbor Pgs 28-29'!E21+'Island Pgs 30-31'!E21+'Jefferson Pgs 32-33'!E21+'Kitsap Pgs 34-35'!E21+'Kittitas Pgs 36-37'!E21+'Klickitat Pgs 38-39'!E21+'Lewis Pgs 40-41'!E21+'Lincoln Pgs 42-43'!E21+'Mason Pgs 44-45'!E21+'Northeast Tri Pgs 46-47'!E21+'Okanogan Pgs 48-49'!E21+'Pacific Pgs 50-51'!E21+'San Juan Pgs 52-53'!E21+'Seattle-King Pgs 54-55'!E21+'Skagit Pgs 56-57'!E21+'Skamania Pgs 58-59'!E21+'Snohomish Pgs 60-61'!E21+'Spokane Pgs 62-63'!E21+'Tacoma-Pierce Pgs 64-65'!E21+'Thurston Pgs 66-67'!E21+'Wahkiakum Pgs 68-69'!E21+'Walla Walla Pgs 70-71'!E21+'Whatcom Pgs 72-73'!E21+'Whitman Pgs 74-75'!E21+'Yakima Pgs 76-77'!E21</f>
        <v>613574</v>
      </c>
      <c r="F21" s="8">
        <f>'Asotin Pgs 10-11'!F21+'Adams Pgs 8-9'!F21+'Benton-Franklin Pgs 12-13'!F21+'Chelan-Douglas Pgs 14-15'!F21+'Clallam Pgs 16-17'!F21+'Clark Pgs 18-19'!F21+'Columbia Pgs 20-21'!F21+'Cowlitz Pgs 22-23'!F21+'Garfield Pgs 24-25'!F21+'Grant Pgs 26-27'!F21+'Grays Harbor Pgs 28-29'!F21+'Island Pgs 30-31'!F21+'Jefferson Pgs 32-33'!F21+'Kitsap Pgs 34-35'!F21+'Kittitas Pgs 36-37'!F21+'Klickitat Pgs 38-39'!F21+'Lewis Pgs 40-41'!F21+'Lincoln Pgs 42-43'!F21+'Mason Pgs 44-45'!F21+'Northeast Tri Pgs 46-47'!F21+'Okanogan Pgs 48-49'!F21+'Pacific Pgs 50-51'!F21+'San Juan Pgs 52-53'!F21+'Seattle-King Pgs 54-55'!F21+'Skagit Pgs 56-57'!F21+'Skamania Pgs 58-59'!F21+'Snohomish Pgs 60-61'!F21+'Spokane Pgs 62-63'!F21+'Tacoma-Pierce Pgs 64-65'!F21+'Thurston Pgs 66-67'!F21+'Wahkiakum Pgs 68-69'!F21+'Walla Walla Pgs 70-71'!F21+'Whatcom Pgs 72-73'!F21+'Whitman Pgs 74-75'!F21+'Yakima Pgs 76-77'!F21</f>
        <v>26473</v>
      </c>
      <c r="G21" s="7">
        <f>'Asotin Pgs 10-11'!G21+'Adams Pgs 8-9'!G21+'Benton-Franklin Pgs 12-13'!G21+'Chelan-Douglas Pgs 14-15'!G21+'Clallam Pgs 16-17'!G21+'Clark Pgs 18-19'!G21+'Columbia Pgs 20-21'!G21+'Cowlitz Pgs 22-23'!G21+'Garfield Pgs 24-25'!G21+'Grant Pgs 26-27'!G21+'Grays Harbor Pgs 28-29'!G21+'Island Pgs 30-31'!G21+'Jefferson Pgs 32-33'!G21+'Kitsap Pgs 34-35'!G21+'Kittitas Pgs 36-37'!G21+'Klickitat Pgs 38-39'!G21+'Lewis Pgs 40-41'!G21+'Lincoln Pgs 42-43'!G21+'Mason Pgs 44-45'!G21+'Northeast Tri Pgs 46-47'!G21+'Okanogan Pgs 48-49'!G21+'Pacific Pgs 50-51'!G21+'San Juan Pgs 52-53'!G21+'Seattle-King Pgs 54-55'!G21+'Skagit Pgs 56-57'!G21+'Skamania Pgs 58-59'!G21+'Snohomish Pgs 60-61'!G21+'Spokane Pgs 62-63'!G21+'Tacoma-Pierce Pgs 64-65'!G21+'Thurston Pgs 66-67'!G21+'Wahkiakum Pgs 68-69'!G21+'Walla Walla Pgs 70-71'!G21+'Whatcom Pgs 72-73'!G21+'Whitman Pgs 74-75'!G21+'Yakima Pgs 76-77'!G21</f>
        <v>0</v>
      </c>
      <c r="H21" s="15">
        <f>'Asotin Pgs 10-11'!H21+'Adams Pgs 8-9'!H21+'Benton-Franklin Pgs 12-13'!H21+'Chelan-Douglas Pgs 14-15'!H21+'Clallam Pgs 16-17'!H21+'Clark Pgs 18-19'!H21+'Columbia Pgs 20-21'!H21+'Cowlitz Pgs 22-23'!H21+'Garfield Pgs 24-25'!H21+'Grant Pgs 26-27'!H21+'Grays Harbor Pgs 28-29'!H21+'Island Pgs 30-31'!H21+'Jefferson Pgs 32-33'!H21+'Kitsap Pgs 34-35'!H21+'Kittitas Pgs 36-37'!H21+'Klickitat Pgs 38-39'!H21+'Lewis Pgs 40-41'!H21+'Lincoln Pgs 42-43'!H21+'Mason Pgs 44-45'!H21+'Northeast Tri Pgs 46-47'!H21+'Okanogan Pgs 48-49'!H21+'Pacific Pgs 50-51'!H21+'San Juan Pgs 52-53'!H21+'Seattle-King Pgs 54-55'!H21+'Skagit Pgs 56-57'!H21+'Skamania Pgs 58-59'!H21+'Snohomish Pgs 60-61'!H21+'Spokane Pgs 62-63'!H21+'Tacoma-Pierce Pgs 64-65'!H21+'Thurston Pgs 66-67'!H21+'Wahkiakum Pgs 68-69'!H21+'Walla Walla Pgs 70-71'!H21+'Whatcom Pgs 72-73'!H21+'Whitman Pgs 74-75'!H21+'Yakima Pgs 76-77'!H21</f>
        <v>1024679.41</v>
      </c>
      <c r="I21" s="7">
        <f>'Asotin Pgs 10-11'!I21+'Adams Pgs 8-9'!I21+'Benton-Franklin Pgs 12-13'!I21+'Chelan-Douglas Pgs 14-15'!I21+'Clallam Pgs 16-17'!I21+'Clark Pgs 18-19'!I21+'Columbia Pgs 20-21'!I21+'Cowlitz Pgs 22-23'!I21+'Garfield Pgs 24-25'!I21+'Grant Pgs 26-27'!I21+'Grays Harbor Pgs 28-29'!I21+'Island Pgs 30-31'!I21+'Jefferson Pgs 32-33'!I21+'Kitsap Pgs 34-35'!I21+'Kittitas Pgs 36-37'!I21+'Klickitat Pgs 38-39'!I21+'Lewis Pgs 40-41'!I21+'Lincoln Pgs 42-43'!I21+'Mason Pgs 44-45'!I21+'Northeast Tri Pgs 46-47'!I21+'Okanogan Pgs 48-49'!I21+'Pacific Pgs 50-51'!I21+'San Juan Pgs 52-53'!I21+'Seattle-King Pgs 54-55'!I21+'Skagit Pgs 56-57'!I21+'Skamania Pgs 58-59'!I21+'Snohomish Pgs 60-61'!I21+'Spokane Pgs 62-63'!I21+'Tacoma-Pierce Pgs 64-65'!I21+'Thurston Pgs 66-67'!I21+'Wahkiakum Pgs 68-69'!I21+'Walla Walla Pgs 70-71'!I21+'Whatcom Pgs 72-73'!I21+'Whitman Pgs 74-75'!I21+'Yakima Pgs 76-77'!I21</f>
        <v>0</v>
      </c>
      <c r="J21" s="15">
        <f>'Asotin Pgs 10-11'!M21+'Adams Pgs 8-9'!M21+'Benton-Franklin Pgs 12-13'!M21+'Chelan-Douglas Pgs 14-15'!M21+'Clallam Pgs 16-17'!M21+'Clark Pgs 18-19'!M21+'Columbia Pgs 20-21'!M21+'Cowlitz Pgs 22-23'!M21+'Garfield Pgs 24-25'!M21+'Grant Pgs 26-27'!M21+'Grays Harbor Pgs 28-29'!M21+'Island Pgs 30-31'!M21+'Jefferson Pgs 32-33'!M21+'Kitsap Pgs 34-35'!M21+'Kittitas Pgs 36-37'!M21+'Klickitat Pgs 38-39'!M21+'Lewis Pgs 40-41'!M21+'Lincoln Pgs 42-43'!M21+'Mason Pgs 44-45'!M21+'Northeast Tri Pgs 46-47'!M21+'Okanogan Pgs 48-49'!M21+'Pacific Pgs 50-51'!M21+'San Juan Pgs 52-53'!M21+'Seattle-King Pgs 54-55'!M21+'Skagit Pgs 56-57'!M21+'Skamania Pgs 58-59'!M21+'Snohomish Pgs 60-61'!M21+'Spokane Pgs 62-63'!M21+'Tacoma-Pierce Pgs 64-65'!M21+'Thurston Pgs 66-67'!M21+'Wahkiakum Pgs 68-69'!M21+'Walla Walla Pgs 70-71'!M21+'Whatcom Pgs 72-73'!M21+'Whitman Pgs 74-75'!M21+'Yakima Pgs 76-77'!M21</f>
        <v>8552</v>
      </c>
      <c r="K21" s="7">
        <f>'Asotin Pgs 10-11'!Q21+'Adams Pgs 8-9'!Q21+'Benton-Franklin Pgs 12-13'!Q21+'Chelan-Douglas Pgs 14-15'!Q21+'Clallam Pgs 16-17'!Q21+'Clark Pgs 18-19'!Q21+'Columbia Pgs 20-21'!Q21+'Cowlitz Pgs 22-23'!Q21+'Garfield Pgs 24-25'!Q21+'Grant Pgs 26-27'!Q21+'Grays Harbor Pgs 28-29'!Q21+'Island Pgs 30-31'!Q21+'Jefferson Pgs 32-33'!Q21+'Kitsap Pgs 34-35'!Q21+'Kittitas Pgs 36-37'!Q21+'Klickitat Pgs 38-39'!Q21+'Lewis Pgs 40-41'!Q21+'Lincoln Pgs 42-43'!Q21+'Mason Pgs 44-45'!Q21+'Northeast Tri Pgs 46-47'!Q21+'Okanogan Pgs 48-49'!Q21+'Pacific Pgs 50-51'!Q21+'San Juan Pgs 52-53'!Q21+'Seattle-King Pgs 54-55'!Q21+'Skagit Pgs 56-57'!Q21+'Skamania Pgs 58-59'!Q21+'Snohomish Pgs 60-61'!Q21+'Spokane Pgs 62-63'!Q21+'Tacoma-Pierce Pgs 64-65'!Q21+'Thurston Pgs 66-67'!Q21+'Wahkiakum Pgs 68-69'!Q21+'Walla Walla Pgs 70-71'!Q21+'Whatcom Pgs 72-73'!Q21+'Whitman Pgs 74-75'!Q21+'Yakima Pgs 76-77'!Q21</f>
        <v>310</v>
      </c>
      <c r="L21" s="15">
        <f>'Asotin Pgs 10-11'!R21+'Adams Pgs 8-9'!R21+'Benton-Franklin Pgs 12-13'!R21+'Chelan-Douglas Pgs 14-15'!R21+'Clallam Pgs 16-17'!R21+'Clark Pgs 18-19'!R21+'Columbia Pgs 20-21'!R21+'Cowlitz Pgs 22-23'!R21+'Garfield Pgs 24-25'!R21+'Grant Pgs 26-27'!R21+'Grays Harbor Pgs 28-29'!R21+'Island Pgs 30-31'!R21+'Jefferson Pgs 32-33'!R21+'Kitsap Pgs 34-35'!R21+'Kittitas Pgs 36-37'!R21+'Klickitat Pgs 38-39'!R21+'Lewis Pgs 40-41'!R21+'Lincoln Pgs 42-43'!R21+'Mason Pgs 44-45'!R21+'Northeast Tri Pgs 46-47'!R21+'Okanogan Pgs 48-49'!R21+'Pacific Pgs 50-51'!R21+'San Juan Pgs 52-53'!R21+'Seattle-King Pgs 54-55'!R21+'Skagit Pgs 56-57'!R21+'Skamania Pgs 58-59'!R21+'Snohomish Pgs 60-61'!R21+'Spokane Pgs 62-63'!R21+'Tacoma-Pierce Pgs 64-65'!R21+'Thurston Pgs 66-67'!R21+'Wahkiakum Pgs 68-69'!R21+'Walla Walla Pgs 70-71'!R21+'Whatcom Pgs 72-73'!R21+'Whitman Pgs 74-75'!R21+'Yakima Pgs 76-77'!R21</f>
        <v>38468.5</v>
      </c>
    </row>
    <row r="22" spans="1:12" x14ac:dyDescent="0.3">
      <c r="A22" s="39">
        <v>562.44000000000005</v>
      </c>
      <c r="B22" s="141" t="s">
        <v>97</v>
      </c>
      <c r="C22" s="165">
        <f>'Asotin Pgs 10-11'!C22+'Adams Pgs 8-9'!C22+'Benton-Franklin Pgs 12-13'!C22+'Chelan-Douglas Pgs 14-15'!C22+'Clallam Pgs 16-17'!C22+'Clark Pgs 18-19'!C22+'Columbia Pgs 20-21'!C22+'Cowlitz Pgs 22-23'!C22+'Garfield Pgs 24-25'!C22+'Grant Pgs 26-27'!C22+'Grays Harbor Pgs 28-29'!C22+'Island Pgs 30-31'!C22+'Jefferson Pgs 32-33'!C22+'Kitsap Pgs 34-35'!C22+'Kittitas Pgs 36-37'!C22+'Klickitat Pgs 38-39'!C22+'Lewis Pgs 40-41'!C22+'Lincoln Pgs 42-43'!C22+'Mason Pgs 44-45'!C22+'Northeast Tri Pgs 46-47'!C22+'Okanogan Pgs 48-49'!C22+'Pacific Pgs 50-51'!C22+'San Juan Pgs 52-53'!C22+'Seattle-King Pgs 54-55'!C22+'Skagit Pgs 56-57'!C22+'Skamania Pgs 58-59'!C22+'Snohomish Pgs 60-61'!C22+'Spokane Pgs 62-63'!C22+'Tacoma-Pierce Pgs 64-65'!C22+'Thurston Pgs 66-67'!C22+'Wahkiakum Pgs 68-69'!C22+'Walla Walla Pgs 70-71'!C22+'Whatcom Pgs 72-73'!C22+'Whitman Pgs 74-75'!C22+'Yakima Pgs 76-77'!C22</f>
        <v>1648655</v>
      </c>
      <c r="D22" s="17">
        <f>'Asotin Pgs 10-11'!D22+'Adams Pgs 8-9'!D22+'Benton-Franklin Pgs 12-13'!D22+'Chelan-Douglas Pgs 14-15'!D22+'Clallam Pgs 16-17'!D22+'Clark Pgs 18-19'!D22+'Columbia Pgs 20-21'!D22+'Cowlitz Pgs 22-23'!D22+'Garfield Pgs 24-25'!D22+'Grant Pgs 26-27'!D22+'Grays Harbor Pgs 28-29'!D22+'Island Pgs 30-31'!D22+'Jefferson Pgs 32-33'!D22+'Kitsap Pgs 34-35'!D22+'Kittitas Pgs 36-37'!D22+'Klickitat Pgs 38-39'!D22+'Lewis Pgs 40-41'!D22+'Lincoln Pgs 42-43'!D22+'Mason Pgs 44-45'!D22+'Northeast Tri Pgs 46-47'!D22+'Okanogan Pgs 48-49'!D22+'Pacific Pgs 50-51'!D22+'San Juan Pgs 52-53'!D22+'Seattle-King Pgs 54-55'!D22+'Skagit Pgs 56-57'!D22+'Skamania Pgs 58-59'!D22+'Snohomish Pgs 60-61'!D22+'Spokane Pgs 62-63'!D22+'Tacoma-Pierce Pgs 64-65'!D22+'Thurston Pgs 66-67'!D22+'Wahkiakum Pgs 68-69'!D22+'Walla Walla Pgs 70-71'!D22+'Whatcom Pgs 72-73'!D22+'Whitman Pgs 74-75'!D22+'Yakima Pgs 76-77'!D22</f>
        <v>1377141</v>
      </c>
      <c r="E22" s="165">
        <f>'Asotin Pgs 10-11'!E22+'Adams Pgs 8-9'!E22+'Benton-Franklin Pgs 12-13'!E22+'Chelan-Douglas Pgs 14-15'!E22+'Clallam Pgs 16-17'!E22+'Clark Pgs 18-19'!E22+'Columbia Pgs 20-21'!E22+'Cowlitz Pgs 22-23'!E22+'Garfield Pgs 24-25'!E22+'Grant Pgs 26-27'!E22+'Grays Harbor Pgs 28-29'!E22+'Island Pgs 30-31'!E22+'Jefferson Pgs 32-33'!E22+'Kitsap Pgs 34-35'!E22+'Kittitas Pgs 36-37'!E22+'Klickitat Pgs 38-39'!E22+'Lewis Pgs 40-41'!E22+'Lincoln Pgs 42-43'!E22+'Mason Pgs 44-45'!E22+'Northeast Tri Pgs 46-47'!E22+'Okanogan Pgs 48-49'!E22+'Pacific Pgs 50-51'!E22+'San Juan Pgs 52-53'!E22+'Seattle-King Pgs 54-55'!E22+'Skagit Pgs 56-57'!E22+'Skamania Pgs 58-59'!E22+'Snohomish Pgs 60-61'!E22+'Spokane Pgs 62-63'!E22+'Tacoma-Pierce Pgs 64-65'!E22+'Thurston Pgs 66-67'!E22+'Wahkiakum Pgs 68-69'!E22+'Walla Walla Pgs 70-71'!E22+'Whatcom Pgs 72-73'!E22+'Whitman Pgs 74-75'!E22+'Yakima Pgs 76-77'!E22</f>
        <v>42603</v>
      </c>
      <c r="F22" s="8">
        <f>'Asotin Pgs 10-11'!F22+'Adams Pgs 8-9'!F22+'Benton-Franklin Pgs 12-13'!F22+'Chelan-Douglas Pgs 14-15'!F22+'Clallam Pgs 16-17'!F22+'Clark Pgs 18-19'!F22+'Columbia Pgs 20-21'!F22+'Cowlitz Pgs 22-23'!F22+'Garfield Pgs 24-25'!F22+'Grant Pgs 26-27'!F22+'Grays Harbor Pgs 28-29'!F22+'Island Pgs 30-31'!F22+'Jefferson Pgs 32-33'!F22+'Kitsap Pgs 34-35'!F22+'Kittitas Pgs 36-37'!F22+'Klickitat Pgs 38-39'!F22+'Lewis Pgs 40-41'!F22+'Lincoln Pgs 42-43'!F22+'Mason Pgs 44-45'!F22+'Northeast Tri Pgs 46-47'!F22+'Okanogan Pgs 48-49'!F22+'Pacific Pgs 50-51'!F22+'San Juan Pgs 52-53'!F22+'Seattle-King Pgs 54-55'!F22+'Skagit Pgs 56-57'!F22+'Skamania Pgs 58-59'!F22+'Snohomish Pgs 60-61'!F22+'Spokane Pgs 62-63'!F22+'Tacoma-Pierce Pgs 64-65'!F22+'Thurston Pgs 66-67'!F22+'Wahkiakum Pgs 68-69'!F22+'Walla Walla Pgs 70-71'!F22+'Whatcom Pgs 72-73'!F22+'Whitman Pgs 74-75'!F22+'Yakima Pgs 76-77'!F22</f>
        <v>982128</v>
      </c>
      <c r="G22" s="7">
        <f>'Asotin Pgs 10-11'!G22+'Adams Pgs 8-9'!G22+'Benton-Franklin Pgs 12-13'!G22+'Chelan-Douglas Pgs 14-15'!G22+'Clallam Pgs 16-17'!G22+'Clark Pgs 18-19'!G22+'Columbia Pgs 20-21'!G22+'Cowlitz Pgs 22-23'!G22+'Garfield Pgs 24-25'!G22+'Grant Pgs 26-27'!G22+'Grays Harbor Pgs 28-29'!G22+'Island Pgs 30-31'!G22+'Jefferson Pgs 32-33'!G22+'Kitsap Pgs 34-35'!G22+'Kittitas Pgs 36-37'!G22+'Klickitat Pgs 38-39'!G22+'Lewis Pgs 40-41'!G22+'Lincoln Pgs 42-43'!G22+'Mason Pgs 44-45'!G22+'Northeast Tri Pgs 46-47'!G22+'Okanogan Pgs 48-49'!G22+'Pacific Pgs 50-51'!G22+'San Juan Pgs 52-53'!G22+'Seattle-King Pgs 54-55'!G22+'Skagit Pgs 56-57'!G22+'Skamania Pgs 58-59'!G22+'Snohomish Pgs 60-61'!G22+'Spokane Pgs 62-63'!G22+'Tacoma-Pierce Pgs 64-65'!G22+'Thurston Pgs 66-67'!G22+'Wahkiakum Pgs 68-69'!G22+'Walla Walla Pgs 70-71'!G22+'Whatcom Pgs 72-73'!G22+'Whitman Pgs 74-75'!G22+'Yakima Pgs 76-77'!G22</f>
        <v>0</v>
      </c>
      <c r="H22" s="15">
        <f>'Asotin Pgs 10-11'!H22+'Adams Pgs 8-9'!H22+'Benton-Franklin Pgs 12-13'!H22+'Chelan-Douglas Pgs 14-15'!H22+'Clallam Pgs 16-17'!H22+'Clark Pgs 18-19'!H22+'Columbia Pgs 20-21'!H22+'Cowlitz Pgs 22-23'!H22+'Garfield Pgs 24-25'!H22+'Grant Pgs 26-27'!H22+'Grays Harbor Pgs 28-29'!H22+'Island Pgs 30-31'!H22+'Jefferson Pgs 32-33'!H22+'Kitsap Pgs 34-35'!H22+'Kittitas Pgs 36-37'!H22+'Klickitat Pgs 38-39'!H22+'Lewis Pgs 40-41'!H22+'Lincoln Pgs 42-43'!H22+'Mason Pgs 44-45'!H22+'Northeast Tri Pgs 46-47'!H22+'Okanogan Pgs 48-49'!H22+'Pacific Pgs 50-51'!H22+'San Juan Pgs 52-53'!H22+'Seattle-King Pgs 54-55'!H22+'Skagit Pgs 56-57'!H22+'Skamania Pgs 58-59'!H22+'Snohomish Pgs 60-61'!H22+'Spokane Pgs 62-63'!H22+'Tacoma-Pierce Pgs 64-65'!H22+'Thurston Pgs 66-67'!H22+'Wahkiakum Pgs 68-69'!H22+'Walla Walla Pgs 70-71'!H22+'Whatcom Pgs 72-73'!H22+'Whitman Pgs 74-75'!H22+'Yakima Pgs 76-77'!H22</f>
        <v>176467</v>
      </c>
      <c r="I22" s="7">
        <f>'Asotin Pgs 10-11'!I22+'Adams Pgs 8-9'!I22+'Benton-Franklin Pgs 12-13'!I22+'Chelan-Douglas Pgs 14-15'!I22+'Clallam Pgs 16-17'!I22+'Clark Pgs 18-19'!I22+'Columbia Pgs 20-21'!I22+'Cowlitz Pgs 22-23'!I22+'Garfield Pgs 24-25'!I22+'Grant Pgs 26-27'!I22+'Grays Harbor Pgs 28-29'!I22+'Island Pgs 30-31'!I22+'Jefferson Pgs 32-33'!I22+'Kitsap Pgs 34-35'!I22+'Kittitas Pgs 36-37'!I22+'Klickitat Pgs 38-39'!I22+'Lewis Pgs 40-41'!I22+'Lincoln Pgs 42-43'!I22+'Mason Pgs 44-45'!I22+'Northeast Tri Pgs 46-47'!I22+'Okanogan Pgs 48-49'!I22+'Pacific Pgs 50-51'!I22+'San Juan Pgs 52-53'!I22+'Seattle-King Pgs 54-55'!I22+'Skagit Pgs 56-57'!I22+'Skamania Pgs 58-59'!I22+'Snohomish Pgs 60-61'!I22+'Spokane Pgs 62-63'!I22+'Tacoma-Pierce Pgs 64-65'!I22+'Thurston Pgs 66-67'!I22+'Wahkiakum Pgs 68-69'!I22+'Walla Walla Pgs 70-71'!I22+'Whatcom Pgs 72-73'!I22+'Whitman Pgs 74-75'!I22+'Yakima Pgs 76-77'!I22</f>
        <v>0</v>
      </c>
      <c r="J22" s="15">
        <f>'Asotin Pgs 10-11'!M22+'Adams Pgs 8-9'!M22+'Benton-Franklin Pgs 12-13'!M22+'Chelan-Douglas Pgs 14-15'!M22+'Clallam Pgs 16-17'!M22+'Clark Pgs 18-19'!M22+'Columbia Pgs 20-21'!M22+'Cowlitz Pgs 22-23'!M22+'Garfield Pgs 24-25'!M22+'Grant Pgs 26-27'!M22+'Grays Harbor Pgs 28-29'!M22+'Island Pgs 30-31'!M22+'Jefferson Pgs 32-33'!M22+'Kitsap Pgs 34-35'!M22+'Kittitas Pgs 36-37'!M22+'Klickitat Pgs 38-39'!M22+'Lewis Pgs 40-41'!M22+'Lincoln Pgs 42-43'!M22+'Mason Pgs 44-45'!M22+'Northeast Tri Pgs 46-47'!M22+'Okanogan Pgs 48-49'!M22+'Pacific Pgs 50-51'!M22+'San Juan Pgs 52-53'!M22+'Seattle-King Pgs 54-55'!M22+'Skagit Pgs 56-57'!M22+'Skamania Pgs 58-59'!M22+'Snohomish Pgs 60-61'!M22+'Spokane Pgs 62-63'!M22+'Tacoma-Pierce Pgs 64-65'!M22+'Thurston Pgs 66-67'!M22+'Wahkiakum Pgs 68-69'!M22+'Walla Walla Pgs 70-71'!M22+'Whatcom Pgs 72-73'!M22+'Whitman Pgs 74-75'!M22+'Yakima Pgs 76-77'!M22</f>
        <v>105649</v>
      </c>
      <c r="K22" s="7">
        <f>'Asotin Pgs 10-11'!Q22+'Adams Pgs 8-9'!Q22+'Benton-Franklin Pgs 12-13'!Q22+'Chelan-Douglas Pgs 14-15'!Q22+'Clallam Pgs 16-17'!Q22+'Clark Pgs 18-19'!Q22+'Columbia Pgs 20-21'!Q22+'Cowlitz Pgs 22-23'!Q22+'Garfield Pgs 24-25'!Q22+'Grant Pgs 26-27'!Q22+'Grays Harbor Pgs 28-29'!Q22+'Island Pgs 30-31'!Q22+'Jefferson Pgs 32-33'!Q22+'Kitsap Pgs 34-35'!Q22+'Kittitas Pgs 36-37'!Q22+'Klickitat Pgs 38-39'!Q22+'Lewis Pgs 40-41'!Q22+'Lincoln Pgs 42-43'!Q22+'Mason Pgs 44-45'!Q22+'Northeast Tri Pgs 46-47'!Q22+'Okanogan Pgs 48-49'!Q22+'Pacific Pgs 50-51'!Q22+'San Juan Pgs 52-53'!Q22+'Seattle-King Pgs 54-55'!Q22+'Skagit Pgs 56-57'!Q22+'Skamania Pgs 58-59'!Q22+'Snohomish Pgs 60-61'!Q22+'Spokane Pgs 62-63'!Q22+'Tacoma-Pierce Pgs 64-65'!Q22+'Thurston Pgs 66-67'!Q22+'Wahkiakum Pgs 68-69'!Q22+'Walla Walla Pgs 70-71'!Q22+'Whatcom Pgs 72-73'!Q22+'Whitman Pgs 74-75'!Q22+'Yakima Pgs 76-77'!Q22</f>
        <v>2422</v>
      </c>
      <c r="L22" s="15">
        <f>'Asotin Pgs 10-11'!R22+'Adams Pgs 8-9'!R22+'Benton-Franklin Pgs 12-13'!R22+'Chelan-Douglas Pgs 14-15'!R22+'Clallam Pgs 16-17'!R22+'Clark Pgs 18-19'!R22+'Columbia Pgs 20-21'!R22+'Cowlitz Pgs 22-23'!R22+'Garfield Pgs 24-25'!R22+'Grant Pgs 26-27'!R22+'Grays Harbor Pgs 28-29'!R22+'Island Pgs 30-31'!R22+'Jefferson Pgs 32-33'!R22+'Kitsap Pgs 34-35'!R22+'Kittitas Pgs 36-37'!R22+'Klickitat Pgs 38-39'!R22+'Lewis Pgs 40-41'!R22+'Lincoln Pgs 42-43'!R22+'Mason Pgs 44-45'!R22+'Northeast Tri Pgs 46-47'!R22+'Okanogan Pgs 48-49'!R22+'Pacific Pgs 50-51'!R22+'San Juan Pgs 52-53'!R22+'Seattle-King Pgs 54-55'!R22+'Skagit Pgs 56-57'!R22+'Skamania Pgs 58-59'!R22+'Snohomish Pgs 60-61'!R22+'Spokane Pgs 62-63'!R22+'Tacoma-Pierce Pgs 64-65'!R22+'Thurston Pgs 66-67'!R22+'Wahkiakum Pgs 68-69'!R22+'Walla Walla Pgs 70-71'!R22+'Whatcom Pgs 72-73'!R22+'Whitman Pgs 74-75'!R22+'Yakima Pgs 76-77'!R22</f>
        <v>67872</v>
      </c>
    </row>
    <row r="23" spans="1:12" x14ac:dyDescent="0.3">
      <c r="A23" s="39">
        <v>562.45000000000005</v>
      </c>
      <c r="B23" s="141" t="s">
        <v>98</v>
      </c>
      <c r="C23" s="165">
        <f>'Asotin Pgs 10-11'!C23+'Adams Pgs 8-9'!C23+'Benton-Franklin Pgs 12-13'!C23+'Chelan-Douglas Pgs 14-15'!C23+'Clallam Pgs 16-17'!C23+'Clark Pgs 18-19'!C23+'Columbia Pgs 20-21'!C23+'Cowlitz Pgs 22-23'!C23+'Garfield Pgs 24-25'!C23+'Grant Pgs 26-27'!C23+'Grays Harbor Pgs 28-29'!C23+'Island Pgs 30-31'!C23+'Jefferson Pgs 32-33'!C23+'Kitsap Pgs 34-35'!C23+'Kittitas Pgs 36-37'!C23+'Klickitat Pgs 38-39'!C23+'Lewis Pgs 40-41'!C23+'Lincoln Pgs 42-43'!C23+'Mason Pgs 44-45'!C23+'Northeast Tri Pgs 46-47'!C23+'Okanogan Pgs 48-49'!C23+'Pacific Pgs 50-51'!C23+'San Juan Pgs 52-53'!C23+'Seattle-King Pgs 54-55'!C23+'Skagit Pgs 56-57'!C23+'Skamania Pgs 58-59'!C23+'Snohomish Pgs 60-61'!C23+'Spokane Pgs 62-63'!C23+'Tacoma-Pierce Pgs 64-65'!C23+'Thurston Pgs 66-67'!C23+'Wahkiakum Pgs 68-69'!C23+'Walla Walla Pgs 70-71'!C23+'Whatcom Pgs 72-73'!C23+'Whitman Pgs 74-75'!C23+'Yakima Pgs 76-77'!C23</f>
        <v>1081696</v>
      </c>
      <c r="D23" s="17">
        <f>'Asotin Pgs 10-11'!D23+'Adams Pgs 8-9'!D23+'Benton-Franklin Pgs 12-13'!D23+'Chelan-Douglas Pgs 14-15'!D23+'Clallam Pgs 16-17'!D23+'Clark Pgs 18-19'!D23+'Columbia Pgs 20-21'!D23+'Cowlitz Pgs 22-23'!D23+'Garfield Pgs 24-25'!D23+'Grant Pgs 26-27'!D23+'Grays Harbor Pgs 28-29'!D23+'Island Pgs 30-31'!D23+'Jefferson Pgs 32-33'!D23+'Kitsap Pgs 34-35'!D23+'Kittitas Pgs 36-37'!D23+'Klickitat Pgs 38-39'!D23+'Lewis Pgs 40-41'!D23+'Lincoln Pgs 42-43'!D23+'Mason Pgs 44-45'!D23+'Northeast Tri Pgs 46-47'!D23+'Okanogan Pgs 48-49'!D23+'Pacific Pgs 50-51'!D23+'San Juan Pgs 52-53'!D23+'Seattle-King Pgs 54-55'!D23+'Skagit Pgs 56-57'!D23+'Skamania Pgs 58-59'!D23+'Snohomish Pgs 60-61'!D23+'Spokane Pgs 62-63'!D23+'Tacoma-Pierce Pgs 64-65'!D23+'Thurston Pgs 66-67'!D23+'Wahkiakum Pgs 68-69'!D23+'Walla Walla Pgs 70-71'!D23+'Whatcom Pgs 72-73'!D23+'Whitman Pgs 74-75'!D23+'Yakima Pgs 76-77'!D23</f>
        <v>1158780</v>
      </c>
      <c r="E23" s="165">
        <f>'Asotin Pgs 10-11'!E23+'Adams Pgs 8-9'!E23+'Benton-Franklin Pgs 12-13'!E23+'Chelan-Douglas Pgs 14-15'!E23+'Clallam Pgs 16-17'!E23+'Clark Pgs 18-19'!E23+'Columbia Pgs 20-21'!E23+'Cowlitz Pgs 22-23'!E23+'Garfield Pgs 24-25'!E23+'Grant Pgs 26-27'!E23+'Grays Harbor Pgs 28-29'!E23+'Island Pgs 30-31'!E23+'Jefferson Pgs 32-33'!E23+'Kitsap Pgs 34-35'!E23+'Kittitas Pgs 36-37'!E23+'Klickitat Pgs 38-39'!E23+'Lewis Pgs 40-41'!E23+'Lincoln Pgs 42-43'!E23+'Mason Pgs 44-45'!E23+'Northeast Tri Pgs 46-47'!E23+'Okanogan Pgs 48-49'!E23+'Pacific Pgs 50-51'!E23+'San Juan Pgs 52-53'!E23+'Seattle-King Pgs 54-55'!E23+'Skagit Pgs 56-57'!E23+'Skamania Pgs 58-59'!E23+'Snohomish Pgs 60-61'!E23+'Spokane Pgs 62-63'!E23+'Tacoma-Pierce Pgs 64-65'!E23+'Thurston Pgs 66-67'!E23+'Wahkiakum Pgs 68-69'!E23+'Walla Walla Pgs 70-71'!E23+'Whatcom Pgs 72-73'!E23+'Whitman Pgs 74-75'!E23+'Yakima Pgs 76-77'!E23</f>
        <v>149442</v>
      </c>
      <c r="F23" s="8">
        <f>'Asotin Pgs 10-11'!F23+'Adams Pgs 8-9'!F23+'Benton-Franklin Pgs 12-13'!F23+'Chelan-Douglas Pgs 14-15'!F23+'Clallam Pgs 16-17'!F23+'Clark Pgs 18-19'!F23+'Columbia Pgs 20-21'!F23+'Cowlitz Pgs 22-23'!F23+'Garfield Pgs 24-25'!F23+'Grant Pgs 26-27'!F23+'Grays Harbor Pgs 28-29'!F23+'Island Pgs 30-31'!F23+'Jefferson Pgs 32-33'!F23+'Kitsap Pgs 34-35'!F23+'Kittitas Pgs 36-37'!F23+'Klickitat Pgs 38-39'!F23+'Lewis Pgs 40-41'!F23+'Lincoln Pgs 42-43'!F23+'Mason Pgs 44-45'!F23+'Northeast Tri Pgs 46-47'!F23+'Okanogan Pgs 48-49'!F23+'Pacific Pgs 50-51'!F23+'San Juan Pgs 52-53'!F23+'Seattle-King Pgs 54-55'!F23+'Skagit Pgs 56-57'!F23+'Skamania Pgs 58-59'!F23+'Snohomish Pgs 60-61'!F23+'Spokane Pgs 62-63'!F23+'Tacoma-Pierce Pgs 64-65'!F23+'Thurston Pgs 66-67'!F23+'Wahkiakum Pgs 68-69'!F23+'Walla Walla Pgs 70-71'!F23+'Whatcom Pgs 72-73'!F23+'Whitman Pgs 74-75'!F23+'Yakima Pgs 76-77'!F23</f>
        <v>673321</v>
      </c>
      <c r="G23" s="7">
        <f>'Asotin Pgs 10-11'!G23+'Adams Pgs 8-9'!G23+'Benton-Franklin Pgs 12-13'!G23+'Chelan-Douglas Pgs 14-15'!G23+'Clallam Pgs 16-17'!G23+'Clark Pgs 18-19'!G23+'Columbia Pgs 20-21'!G23+'Cowlitz Pgs 22-23'!G23+'Garfield Pgs 24-25'!G23+'Grant Pgs 26-27'!G23+'Grays Harbor Pgs 28-29'!G23+'Island Pgs 30-31'!G23+'Jefferson Pgs 32-33'!G23+'Kitsap Pgs 34-35'!G23+'Kittitas Pgs 36-37'!G23+'Klickitat Pgs 38-39'!G23+'Lewis Pgs 40-41'!G23+'Lincoln Pgs 42-43'!G23+'Mason Pgs 44-45'!G23+'Northeast Tri Pgs 46-47'!G23+'Okanogan Pgs 48-49'!G23+'Pacific Pgs 50-51'!G23+'San Juan Pgs 52-53'!G23+'Seattle-King Pgs 54-55'!G23+'Skagit Pgs 56-57'!G23+'Skamania Pgs 58-59'!G23+'Snohomish Pgs 60-61'!G23+'Spokane Pgs 62-63'!G23+'Tacoma-Pierce Pgs 64-65'!G23+'Thurston Pgs 66-67'!G23+'Wahkiakum Pgs 68-69'!G23+'Walla Walla Pgs 70-71'!G23+'Whatcom Pgs 72-73'!G23+'Whitman Pgs 74-75'!G23+'Yakima Pgs 76-77'!G23</f>
        <v>0</v>
      </c>
      <c r="H23" s="15">
        <f>'Asotin Pgs 10-11'!H23+'Adams Pgs 8-9'!H23+'Benton-Franklin Pgs 12-13'!H23+'Chelan-Douglas Pgs 14-15'!H23+'Clallam Pgs 16-17'!H23+'Clark Pgs 18-19'!H23+'Columbia Pgs 20-21'!H23+'Cowlitz Pgs 22-23'!H23+'Garfield Pgs 24-25'!H23+'Grant Pgs 26-27'!H23+'Grays Harbor Pgs 28-29'!H23+'Island Pgs 30-31'!H23+'Jefferson Pgs 32-33'!H23+'Kitsap Pgs 34-35'!H23+'Kittitas Pgs 36-37'!H23+'Klickitat Pgs 38-39'!H23+'Lewis Pgs 40-41'!H23+'Lincoln Pgs 42-43'!H23+'Mason Pgs 44-45'!H23+'Northeast Tri Pgs 46-47'!H23+'Okanogan Pgs 48-49'!H23+'Pacific Pgs 50-51'!H23+'San Juan Pgs 52-53'!H23+'Seattle-King Pgs 54-55'!H23+'Skagit Pgs 56-57'!H23+'Skamania Pgs 58-59'!H23+'Snohomish Pgs 60-61'!H23+'Spokane Pgs 62-63'!H23+'Tacoma-Pierce Pgs 64-65'!H23+'Thurston Pgs 66-67'!H23+'Wahkiakum Pgs 68-69'!H23+'Walla Walla Pgs 70-71'!H23+'Whatcom Pgs 72-73'!H23+'Whitman Pgs 74-75'!H23+'Yakima Pgs 76-77'!H23</f>
        <v>0</v>
      </c>
      <c r="I23" s="7">
        <f>'Asotin Pgs 10-11'!I23+'Adams Pgs 8-9'!I23+'Benton-Franklin Pgs 12-13'!I23+'Chelan-Douglas Pgs 14-15'!I23+'Clallam Pgs 16-17'!I23+'Clark Pgs 18-19'!I23+'Columbia Pgs 20-21'!I23+'Cowlitz Pgs 22-23'!I23+'Garfield Pgs 24-25'!I23+'Grant Pgs 26-27'!I23+'Grays Harbor Pgs 28-29'!I23+'Island Pgs 30-31'!I23+'Jefferson Pgs 32-33'!I23+'Kitsap Pgs 34-35'!I23+'Kittitas Pgs 36-37'!I23+'Klickitat Pgs 38-39'!I23+'Lewis Pgs 40-41'!I23+'Lincoln Pgs 42-43'!I23+'Mason Pgs 44-45'!I23+'Northeast Tri Pgs 46-47'!I23+'Okanogan Pgs 48-49'!I23+'Pacific Pgs 50-51'!I23+'San Juan Pgs 52-53'!I23+'Seattle-King Pgs 54-55'!I23+'Skagit Pgs 56-57'!I23+'Skamania Pgs 58-59'!I23+'Snohomish Pgs 60-61'!I23+'Spokane Pgs 62-63'!I23+'Tacoma-Pierce Pgs 64-65'!I23+'Thurston Pgs 66-67'!I23+'Wahkiakum Pgs 68-69'!I23+'Walla Walla Pgs 70-71'!I23+'Whatcom Pgs 72-73'!I23+'Whitman Pgs 74-75'!I23+'Yakima Pgs 76-77'!I23</f>
        <v>74788</v>
      </c>
      <c r="J23" s="15">
        <f>'Asotin Pgs 10-11'!M23+'Adams Pgs 8-9'!M23+'Benton-Franklin Pgs 12-13'!M23+'Chelan-Douglas Pgs 14-15'!M23+'Clallam Pgs 16-17'!M23+'Clark Pgs 18-19'!M23+'Columbia Pgs 20-21'!M23+'Cowlitz Pgs 22-23'!M23+'Garfield Pgs 24-25'!M23+'Grant Pgs 26-27'!M23+'Grays Harbor Pgs 28-29'!M23+'Island Pgs 30-31'!M23+'Jefferson Pgs 32-33'!M23+'Kitsap Pgs 34-35'!M23+'Kittitas Pgs 36-37'!M23+'Klickitat Pgs 38-39'!M23+'Lewis Pgs 40-41'!M23+'Lincoln Pgs 42-43'!M23+'Mason Pgs 44-45'!M23+'Northeast Tri Pgs 46-47'!M23+'Okanogan Pgs 48-49'!M23+'Pacific Pgs 50-51'!M23+'San Juan Pgs 52-53'!M23+'Seattle-King Pgs 54-55'!M23+'Skagit Pgs 56-57'!M23+'Skamania Pgs 58-59'!M23+'Snohomish Pgs 60-61'!M23+'Spokane Pgs 62-63'!M23+'Tacoma-Pierce Pgs 64-65'!M23+'Thurston Pgs 66-67'!M23+'Wahkiakum Pgs 68-69'!M23+'Walla Walla Pgs 70-71'!M23+'Whatcom Pgs 72-73'!M23+'Whitman Pgs 74-75'!M23+'Yakima Pgs 76-77'!M23</f>
        <v>231935</v>
      </c>
      <c r="K23" s="7">
        <f>'Asotin Pgs 10-11'!Q23+'Adams Pgs 8-9'!Q23+'Benton-Franklin Pgs 12-13'!Q23+'Chelan-Douglas Pgs 14-15'!Q23+'Clallam Pgs 16-17'!Q23+'Clark Pgs 18-19'!Q23+'Columbia Pgs 20-21'!Q23+'Cowlitz Pgs 22-23'!Q23+'Garfield Pgs 24-25'!Q23+'Grant Pgs 26-27'!Q23+'Grays Harbor Pgs 28-29'!Q23+'Island Pgs 30-31'!Q23+'Jefferson Pgs 32-33'!Q23+'Kitsap Pgs 34-35'!Q23+'Kittitas Pgs 36-37'!Q23+'Klickitat Pgs 38-39'!Q23+'Lewis Pgs 40-41'!Q23+'Lincoln Pgs 42-43'!Q23+'Mason Pgs 44-45'!Q23+'Northeast Tri Pgs 46-47'!Q23+'Okanogan Pgs 48-49'!Q23+'Pacific Pgs 50-51'!Q23+'San Juan Pgs 52-53'!Q23+'Seattle-King Pgs 54-55'!Q23+'Skagit Pgs 56-57'!Q23+'Skamania Pgs 58-59'!Q23+'Snohomish Pgs 60-61'!Q23+'Spokane Pgs 62-63'!Q23+'Tacoma-Pierce Pgs 64-65'!Q23+'Thurston Pgs 66-67'!Q23+'Wahkiakum Pgs 68-69'!Q23+'Walla Walla Pgs 70-71'!Q23+'Whatcom Pgs 72-73'!Q23+'Whitman Pgs 74-75'!Q23+'Yakima Pgs 76-77'!Q23</f>
        <v>29294</v>
      </c>
      <c r="L23" s="15">
        <f>'Asotin Pgs 10-11'!R23+'Adams Pgs 8-9'!R23+'Benton-Franklin Pgs 12-13'!R23+'Chelan-Douglas Pgs 14-15'!R23+'Clallam Pgs 16-17'!R23+'Clark Pgs 18-19'!R23+'Columbia Pgs 20-21'!R23+'Cowlitz Pgs 22-23'!R23+'Garfield Pgs 24-25'!R23+'Grant Pgs 26-27'!R23+'Grays Harbor Pgs 28-29'!R23+'Island Pgs 30-31'!R23+'Jefferson Pgs 32-33'!R23+'Kitsap Pgs 34-35'!R23+'Kittitas Pgs 36-37'!R23+'Klickitat Pgs 38-39'!R23+'Lewis Pgs 40-41'!R23+'Lincoln Pgs 42-43'!R23+'Mason Pgs 44-45'!R23+'Northeast Tri Pgs 46-47'!R23+'Okanogan Pgs 48-49'!R23+'Pacific Pgs 50-51'!R23+'San Juan Pgs 52-53'!R23+'Seattle-King Pgs 54-55'!R23+'Skagit Pgs 56-57'!R23+'Skamania Pgs 58-59'!R23+'Snohomish Pgs 60-61'!R23+'Spokane Pgs 62-63'!R23+'Tacoma-Pierce Pgs 64-65'!R23+'Thurston Pgs 66-67'!R23+'Wahkiakum Pgs 68-69'!R23+'Walla Walla Pgs 70-71'!R23+'Whatcom Pgs 72-73'!R23+'Whitman Pgs 74-75'!R23+'Yakima Pgs 76-77'!R23</f>
        <v>0</v>
      </c>
    </row>
    <row r="24" spans="1:12" x14ac:dyDescent="0.3">
      <c r="A24" s="39">
        <v>562.49</v>
      </c>
      <c r="B24" s="141" t="s">
        <v>87</v>
      </c>
      <c r="C24" s="165">
        <f>'Asotin Pgs 10-11'!C24+'Adams Pgs 8-9'!C24+'Benton-Franklin Pgs 12-13'!C24+'Chelan-Douglas Pgs 14-15'!C24+'Clallam Pgs 16-17'!C24+'Clark Pgs 18-19'!C24+'Columbia Pgs 20-21'!C24+'Cowlitz Pgs 22-23'!C24+'Garfield Pgs 24-25'!C24+'Grant Pgs 26-27'!C24+'Grays Harbor Pgs 28-29'!C24+'Island Pgs 30-31'!C24+'Jefferson Pgs 32-33'!C24+'Kitsap Pgs 34-35'!C24+'Kittitas Pgs 36-37'!C24+'Klickitat Pgs 38-39'!C24+'Lewis Pgs 40-41'!C24+'Lincoln Pgs 42-43'!C24+'Mason Pgs 44-45'!C24+'Northeast Tri Pgs 46-47'!C24+'Okanogan Pgs 48-49'!C24+'Pacific Pgs 50-51'!C24+'San Juan Pgs 52-53'!C24+'Seattle-King Pgs 54-55'!C24+'Skagit Pgs 56-57'!C24+'Skamania Pgs 58-59'!C24+'Snohomish Pgs 60-61'!C24+'Spokane Pgs 62-63'!C24+'Tacoma-Pierce Pgs 64-65'!C24+'Thurston Pgs 66-67'!C24+'Wahkiakum Pgs 68-69'!C24+'Walla Walla Pgs 70-71'!C24+'Whatcom Pgs 72-73'!C24+'Whitman Pgs 74-75'!C24+'Yakima Pgs 76-77'!C24</f>
        <v>5681311.5499999998</v>
      </c>
      <c r="D24" s="17">
        <f>'Asotin Pgs 10-11'!D24+'Adams Pgs 8-9'!D24+'Benton-Franklin Pgs 12-13'!D24+'Chelan-Douglas Pgs 14-15'!D24+'Clallam Pgs 16-17'!D24+'Clark Pgs 18-19'!D24+'Columbia Pgs 20-21'!D24+'Cowlitz Pgs 22-23'!D24+'Garfield Pgs 24-25'!D24+'Grant Pgs 26-27'!D24+'Grays Harbor Pgs 28-29'!D24+'Island Pgs 30-31'!D24+'Jefferson Pgs 32-33'!D24+'Kitsap Pgs 34-35'!D24+'Kittitas Pgs 36-37'!D24+'Klickitat Pgs 38-39'!D24+'Lewis Pgs 40-41'!D24+'Lincoln Pgs 42-43'!D24+'Mason Pgs 44-45'!D24+'Northeast Tri Pgs 46-47'!D24+'Okanogan Pgs 48-49'!D24+'Pacific Pgs 50-51'!D24+'San Juan Pgs 52-53'!D24+'Seattle-King Pgs 54-55'!D24+'Skagit Pgs 56-57'!D24+'Skamania Pgs 58-59'!D24+'Snohomish Pgs 60-61'!D24+'Spokane Pgs 62-63'!D24+'Tacoma-Pierce Pgs 64-65'!D24+'Thurston Pgs 66-67'!D24+'Wahkiakum Pgs 68-69'!D24+'Walla Walla Pgs 70-71'!D24+'Whatcom Pgs 72-73'!D24+'Whitman Pgs 74-75'!D24+'Yakima Pgs 76-77'!D24</f>
        <v>7173651.0999999996</v>
      </c>
      <c r="E24" s="165">
        <f>'Asotin Pgs 10-11'!E24+'Adams Pgs 8-9'!E24+'Benton-Franklin Pgs 12-13'!E24+'Chelan-Douglas Pgs 14-15'!E24+'Clallam Pgs 16-17'!E24+'Clark Pgs 18-19'!E24+'Columbia Pgs 20-21'!E24+'Cowlitz Pgs 22-23'!E24+'Garfield Pgs 24-25'!E24+'Grant Pgs 26-27'!E24+'Grays Harbor Pgs 28-29'!E24+'Island Pgs 30-31'!E24+'Jefferson Pgs 32-33'!E24+'Kitsap Pgs 34-35'!E24+'Kittitas Pgs 36-37'!E24+'Klickitat Pgs 38-39'!E24+'Lewis Pgs 40-41'!E24+'Lincoln Pgs 42-43'!E24+'Mason Pgs 44-45'!E24+'Northeast Tri Pgs 46-47'!E24+'Okanogan Pgs 48-49'!E24+'Pacific Pgs 50-51'!E24+'San Juan Pgs 52-53'!E24+'Seattle-King Pgs 54-55'!E24+'Skagit Pgs 56-57'!E24+'Skamania Pgs 58-59'!E24+'Snohomish Pgs 60-61'!E24+'Spokane Pgs 62-63'!E24+'Tacoma-Pierce Pgs 64-65'!E24+'Thurston Pgs 66-67'!E24+'Wahkiakum Pgs 68-69'!E24+'Walla Walla Pgs 70-71'!E24+'Whatcom Pgs 72-73'!E24+'Whitman Pgs 74-75'!E24+'Yakima Pgs 76-77'!E24</f>
        <v>360643</v>
      </c>
      <c r="F24" s="8">
        <f>'Asotin Pgs 10-11'!F24+'Adams Pgs 8-9'!F24+'Benton-Franklin Pgs 12-13'!F24+'Chelan-Douglas Pgs 14-15'!F24+'Clallam Pgs 16-17'!F24+'Clark Pgs 18-19'!F24+'Columbia Pgs 20-21'!F24+'Cowlitz Pgs 22-23'!F24+'Garfield Pgs 24-25'!F24+'Grant Pgs 26-27'!F24+'Grays Harbor Pgs 28-29'!F24+'Island Pgs 30-31'!F24+'Jefferson Pgs 32-33'!F24+'Kitsap Pgs 34-35'!F24+'Kittitas Pgs 36-37'!F24+'Klickitat Pgs 38-39'!F24+'Lewis Pgs 40-41'!F24+'Lincoln Pgs 42-43'!F24+'Mason Pgs 44-45'!F24+'Northeast Tri Pgs 46-47'!F24+'Okanogan Pgs 48-49'!F24+'Pacific Pgs 50-51'!F24+'San Juan Pgs 52-53'!F24+'Seattle-King Pgs 54-55'!F24+'Skagit Pgs 56-57'!F24+'Skamania Pgs 58-59'!F24+'Snohomish Pgs 60-61'!F24+'Spokane Pgs 62-63'!F24+'Tacoma-Pierce Pgs 64-65'!F24+'Thurston Pgs 66-67'!F24+'Wahkiakum Pgs 68-69'!F24+'Walla Walla Pgs 70-71'!F24+'Whatcom Pgs 72-73'!F24+'Whitman Pgs 74-75'!F24+'Yakima Pgs 76-77'!F24</f>
        <v>747008</v>
      </c>
      <c r="G24" s="7">
        <f>'Asotin Pgs 10-11'!G24+'Adams Pgs 8-9'!G24+'Benton-Franklin Pgs 12-13'!G24+'Chelan-Douglas Pgs 14-15'!G24+'Clallam Pgs 16-17'!G24+'Clark Pgs 18-19'!G24+'Columbia Pgs 20-21'!G24+'Cowlitz Pgs 22-23'!G24+'Garfield Pgs 24-25'!G24+'Grant Pgs 26-27'!G24+'Grays Harbor Pgs 28-29'!G24+'Island Pgs 30-31'!G24+'Jefferson Pgs 32-33'!G24+'Kitsap Pgs 34-35'!G24+'Kittitas Pgs 36-37'!G24+'Klickitat Pgs 38-39'!G24+'Lewis Pgs 40-41'!G24+'Lincoln Pgs 42-43'!G24+'Mason Pgs 44-45'!G24+'Northeast Tri Pgs 46-47'!G24+'Okanogan Pgs 48-49'!G24+'Pacific Pgs 50-51'!G24+'San Juan Pgs 52-53'!G24+'Seattle-King Pgs 54-55'!G24+'Skagit Pgs 56-57'!G24+'Skamania Pgs 58-59'!G24+'Snohomish Pgs 60-61'!G24+'Spokane Pgs 62-63'!G24+'Tacoma-Pierce Pgs 64-65'!G24+'Thurston Pgs 66-67'!G24+'Wahkiakum Pgs 68-69'!G24+'Walla Walla Pgs 70-71'!G24+'Whatcom Pgs 72-73'!G24+'Whitman Pgs 74-75'!G24+'Yakima Pgs 76-77'!G24</f>
        <v>0</v>
      </c>
      <c r="H24" s="15">
        <f>'Asotin Pgs 10-11'!H24+'Adams Pgs 8-9'!H24+'Benton-Franklin Pgs 12-13'!H24+'Chelan-Douglas Pgs 14-15'!H24+'Clallam Pgs 16-17'!H24+'Clark Pgs 18-19'!H24+'Columbia Pgs 20-21'!H24+'Cowlitz Pgs 22-23'!H24+'Garfield Pgs 24-25'!H24+'Grant Pgs 26-27'!H24+'Grays Harbor Pgs 28-29'!H24+'Island Pgs 30-31'!H24+'Jefferson Pgs 32-33'!H24+'Kitsap Pgs 34-35'!H24+'Kittitas Pgs 36-37'!H24+'Klickitat Pgs 38-39'!H24+'Lewis Pgs 40-41'!H24+'Lincoln Pgs 42-43'!H24+'Mason Pgs 44-45'!H24+'Northeast Tri Pgs 46-47'!H24+'Okanogan Pgs 48-49'!H24+'Pacific Pgs 50-51'!H24+'San Juan Pgs 52-53'!H24+'Seattle-King Pgs 54-55'!H24+'Skagit Pgs 56-57'!H24+'Skamania Pgs 58-59'!H24+'Snohomish Pgs 60-61'!H24+'Spokane Pgs 62-63'!H24+'Tacoma-Pierce Pgs 64-65'!H24+'Thurston Pgs 66-67'!H24+'Wahkiakum Pgs 68-69'!H24+'Walla Walla Pgs 70-71'!H24+'Whatcom Pgs 72-73'!H24+'Whitman Pgs 74-75'!H24+'Yakima Pgs 76-77'!H24</f>
        <v>1600970.1</v>
      </c>
      <c r="I24" s="7">
        <f>'Asotin Pgs 10-11'!I24+'Adams Pgs 8-9'!I24+'Benton-Franklin Pgs 12-13'!I24+'Chelan-Douglas Pgs 14-15'!I24+'Clallam Pgs 16-17'!I24+'Clark Pgs 18-19'!I24+'Columbia Pgs 20-21'!I24+'Cowlitz Pgs 22-23'!I24+'Garfield Pgs 24-25'!I24+'Grant Pgs 26-27'!I24+'Grays Harbor Pgs 28-29'!I24+'Island Pgs 30-31'!I24+'Jefferson Pgs 32-33'!I24+'Kitsap Pgs 34-35'!I24+'Kittitas Pgs 36-37'!I24+'Klickitat Pgs 38-39'!I24+'Lewis Pgs 40-41'!I24+'Lincoln Pgs 42-43'!I24+'Mason Pgs 44-45'!I24+'Northeast Tri Pgs 46-47'!I24+'Okanogan Pgs 48-49'!I24+'Pacific Pgs 50-51'!I24+'San Juan Pgs 52-53'!I24+'Seattle-King Pgs 54-55'!I24+'Skagit Pgs 56-57'!I24+'Skamania Pgs 58-59'!I24+'Snohomish Pgs 60-61'!I24+'Spokane Pgs 62-63'!I24+'Tacoma-Pierce Pgs 64-65'!I24+'Thurston Pgs 66-67'!I24+'Wahkiakum Pgs 68-69'!I24+'Walla Walla Pgs 70-71'!I24+'Whatcom Pgs 72-73'!I24+'Whitman Pgs 74-75'!I24+'Yakima Pgs 76-77'!I24</f>
        <v>1490636</v>
      </c>
      <c r="J24" s="15">
        <f>'Asotin Pgs 10-11'!M24+'Adams Pgs 8-9'!M24+'Benton-Franklin Pgs 12-13'!M24+'Chelan-Douglas Pgs 14-15'!M24+'Clallam Pgs 16-17'!M24+'Clark Pgs 18-19'!M24+'Columbia Pgs 20-21'!M24+'Cowlitz Pgs 22-23'!M24+'Garfield Pgs 24-25'!M24+'Grant Pgs 26-27'!M24+'Grays Harbor Pgs 28-29'!M24+'Island Pgs 30-31'!M24+'Jefferson Pgs 32-33'!M24+'Kitsap Pgs 34-35'!M24+'Kittitas Pgs 36-37'!M24+'Klickitat Pgs 38-39'!M24+'Lewis Pgs 40-41'!M24+'Lincoln Pgs 42-43'!M24+'Mason Pgs 44-45'!M24+'Northeast Tri Pgs 46-47'!M24+'Okanogan Pgs 48-49'!M24+'Pacific Pgs 50-51'!M24+'San Juan Pgs 52-53'!M24+'Seattle-King Pgs 54-55'!M24+'Skagit Pgs 56-57'!M24+'Skamania Pgs 58-59'!M24+'Snohomish Pgs 60-61'!M24+'Spokane Pgs 62-63'!M24+'Tacoma-Pierce Pgs 64-65'!M24+'Thurston Pgs 66-67'!M24+'Wahkiakum Pgs 68-69'!M24+'Walla Walla Pgs 70-71'!M24+'Whatcom Pgs 72-73'!M24+'Whitman Pgs 74-75'!M24+'Yakima Pgs 76-77'!M24</f>
        <v>563572</v>
      </c>
      <c r="K24" s="7">
        <f>'Asotin Pgs 10-11'!Q24+'Adams Pgs 8-9'!Q24+'Benton-Franklin Pgs 12-13'!Q24+'Chelan-Douglas Pgs 14-15'!Q24+'Clallam Pgs 16-17'!Q24+'Clark Pgs 18-19'!Q24+'Columbia Pgs 20-21'!Q24+'Cowlitz Pgs 22-23'!Q24+'Garfield Pgs 24-25'!Q24+'Grant Pgs 26-27'!Q24+'Grays Harbor Pgs 28-29'!Q24+'Island Pgs 30-31'!Q24+'Jefferson Pgs 32-33'!Q24+'Kitsap Pgs 34-35'!Q24+'Kittitas Pgs 36-37'!Q24+'Klickitat Pgs 38-39'!Q24+'Lewis Pgs 40-41'!Q24+'Lincoln Pgs 42-43'!Q24+'Mason Pgs 44-45'!Q24+'Northeast Tri Pgs 46-47'!Q24+'Okanogan Pgs 48-49'!Q24+'Pacific Pgs 50-51'!Q24+'San Juan Pgs 52-53'!Q24+'Seattle-King Pgs 54-55'!Q24+'Skagit Pgs 56-57'!Q24+'Skamania Pgs 58-59'!Q24+'Snohomish Pgs 60-61'!Q24+'Spokane Pgs 62-63'!Q24+'Tacoma-Pierce Pgs 64-65'!Q24+'Thurston Pgs 66-67'!Q24+'Wahkiakum Pgs 68-69'!Q24+'Walla Walla Pgs 70-71'!Q24+'Whatcom Pgs 72-73'!Q24+'Whitman Pgs 74-75'!Q24+'Yakima Pgs 76-77'!Q24</f>
        <v>221471</v>
      </c>
      <c r="L24" s="15">
        <f>'Asotin Pgs 10-11'!R24+'Adams Pgs 8-9'!R24+'Benton-Franklin Pgs 12-13'!R24+'Chelan-Douglas Pgs 14-15'!R24+'Clallam Pgs 16-17'!R24+'Clark Pgs 18-19'!R24+'Columbia Pgs 20-21'!R24+'Cowlitz Pgs 22-23'!R24+'Garfield Pgs 24-25'!R24+'Grant Pgs 26-27'!R24+'Grays Harbor Pgs 28-29'!R24+'Island Pgs 30-31'!R24+'Jefferson Pgs 32-33'!R24+'Kitsap Pgs 34-35'!R24+'Kittitas Pgs 36-37'!R24+'Klickitat Pgs 38-39'!R24+'Lewis Pgs 40-41'!R24+'Lincoln Pgs 42-43'!R24+'Mason Pgs 44-45'!R24+'Northeast Tri Pgs 46-47'!R24+'Okanogan Pgs 48-49'!R24+'Pacific Pgs 50-51'!R24+'San Juan Pgs 52-53'!R24+'Seattle-King Pgs 54-55'!R24+'Skagit Pgs 56-57'!R24+'Skamania Pgs 58-59'!R24+'Snohomish Pgs 60-61'!R24+'Spokane Pgs 62-63'!R24+'Tacoma-Pierce Pgs 64-65'!R24+'Thurston Pgs 66-67'!R24+'Wahkiakum Pgs 68-69'!R24+'Walla Walla Pgs 70-71'!R24+'Whatcom Pgs 72-73'!R24+'Whitman Pgs 74-75'!R24+'Yakima Pgs 76-77'!R24</f>
        <v>2189351</v>
      </c>
    </row>
    <row r="25" spans="1:12" x14ac:dyDescent="0.3">
      <c r="A25" s="39">
        <v>562.52</v>
      </c>
      <c r="B25" s="40" t="s">
        <v>56</v>
      </c>
      <c r="C25" s="165">
        <f>'Asotin Pgs 10-11'!C25+'Adams Pgs 8-9'!C25+'Benton-Franklin Pgs 12-13'!C25+'Chelan-Douglas Pgs 14-15'!C25+'Clallam Pgs 16-17'!C25+'Clark Pgs 18-19'!C25+'Columbia Pgs 20-21'!C25+'Cowlitz Pgs 22-23'!C25+'Garfield Pgs 24-25'!C25+'Grant Pgs 26-27'!C25+'Grays Harbor Pgs 28-29'!C25+'Island Pgs 30-31'!C25+'Jefferson Pgs 32-33'!C25+'Kitsap Pgs 34-35'!C25+'Kittitas Pgs 36-37'!C25+'Klickitat Pgs 38-39'!C25+'Lewis Pgs 40-41'!C25+'Lincoln Pgs 42-43'!C25+'Mason Pgs 44-45'!C25+'Northeast Tri Pgs 46-47'!C25+'Okanogan Pgs 48-49'!C25+'Pacific Pgs 50-51'!C25+'San Juan Pgs 52-53'!C25+'Seattle-King Pgs 54-55'!C25+'Skagit Pgs 56-57'!C25+'Skamania Pgs 58-59'!C25+'Snohomish Pgs 60-61'!C25+'Spokane Pgs 62-63'!C25+'Tacoma-Pierce Pgs 64-65'!C25+'Thurston Pgs 66-67'!C25+'Wahkiakum Pgs 68-69'!C25+'Walla Walla Pgs 70-71'!C25+'Whatcom Pgs 72-73'!C25+'Whitman Pgs 74-75'!C25+'Yakima Pgs 76-77'!C25</f>
        <v>4032084.1799999997</v>
      </c>
      <c r="D25" s="17">
        <f>'Asotin Pgs 10-11'!D25+'Adams Pgs 8-9'!D25+'Benton-Franklin Pgs 12-13'!D25+'Chelan-Douglas Pgs 14-15'!D25+'Clallam Pgs 16-17'!D25+'Clark Pgs 18-19'!D25+'Columbia Pgs 20-21'!D25+'Cowlitz Pgs 22-23'!D25+'Garfield Pgs 24-25'!D25+'Grant Pgs 26-27'!D25+'Grays Harbor Pgs 28-29'!D25+'Island Pgs 30-31'!D25+'Jefferson Pgs 32-33'!D25+'Kitsap Pgs 34-35'!D25+'Kittitas Pgs 36-37'!D25+'Klickitat Pgs 38-39'!D25+'Lewis Pgs 40-41'!D25+'Lincoln Pgs 42-43'!D25+'Mason Pgs 44-45'!D25+'Northeast Tri Pgs 46-47'!D25+'Okanogan Pgs 48-49'!D25+'Pacific Pgs 50-51'!D25+'San Juan Pgs 52-53'!D25+'Seattle-King Pgs 54-55'!D25+'Skagit Pgs 56-57'!D25+'Skamania Pgs 58-59'!D25+'Snohomish Pgs 60-61'!D25+'Spokane Pgs 62-63'!D25+'Tacoma-Pierce Pgs 64-65'!D25+'Thurston Pgs 66-67'!D25+'Wahkiakum Pgs 68-69'!D25+'Walla Walla Pgs 70-71'!D25+'Whatcom Pgs 72-73'!D25+'Whitman Pgs 74-75'!D25+'Yakima Pgs 76-77'!D25</f>
        <v>4839470.55</v>
      </c>
      <c r="E25" s="165">
        <f>'Asotin Pgs 10-11'!E25+'Adams Pgs 8-9'!E25+'Benton-Franklin Pgs 12-13'!E25+'Chelan-Douglas Pgs 14-15'!E25+'Clallam Pgs 16-17'!E25+'Clark Pgs 18-19'!E25+'Columbia Pgs 20-21'!E25+'Cowlitz Pgs 22-23'!E25+'Garfield Pgs 24-25'!E25+'Grant Pgs 26-27'!E25+'Grays Harbor Pgs 28-29'!E25+'Island Pgs 30-31'!E25+'Jefferson Pgs 32-33'!E25+'Kitsap Pgs 34-35'!E25+'Kittitas Pgs 36-37'!E25+'Klickitat Pgs 38-39'!E25+'Lewis Pgs 40-41'!E25+'Lincoln Pgs 42-43'!E25+'Mason Pgs 44-45'!E25+'Northeast Tri Pgs 46-47'!E25+'Okanogan Pgs 48-49'!E25+'Pacific Pgs 50-51'!E25+'San Juan Pgs 52-53'!E25+'Seattle-King Pgs 54-55'!E25+'Skagit Pgs 56-57'!E25+'Skamania Pgs 58-59'!E25+'Snohomish Pgs 60-61'!E25+'Spokane Pgs 62-63'!E25+'Tacoma-Pierce Pgs 64-65'!E25+'Thurston Pgs 66-67'!E25+'Wahkiakum Pgs 68-69'!E25+'Walla Walla Pgs 70-71'!E25+'Whatcom Pgs 72-73'!E25+'Whitman Pgs 74-75'!E25+'Yakima Pgs 76-77'!E25</f>
        <v>47555</v>
      </c>
      <c r="F25" s="8">
        <f>'Asotin Pgs 10-11'!F25+'Adams Pgs 8-9'!F25+'Benton-Franklin Pgs 12-13'!F25+'Chelan-Douglas Pgs 14-15'!F25+'Clallam Pgs 16-17'!F25+'Clark Pgs 18-19'!F25+'Columbia Pgs 20-21'!F25+'Cowlitz Pgs 22-23'!F25+'Garfield Pgs 24-25'!F25+'Grant Pgs 26-27'!F25+'Grays Harbor Pgs 28-29'!F25+'Island Pgs 30-31'!F25+'Jefferson Pgs 32-33'!F25+'Kitsap Pgs 34-35'!F25+'Kittitas Pgs 36-37'!F25+'Klickitat Pgs 38-39'!F25+'Lewis Pgs 40-41'!F25+'Lincoln Pgs 42-43'!F25+'Mason Pgs 44-45'!F25+'Northeast Tri Pgs 46-47'!F25+'Okanogan Pgs 48-49'!F25+'Pacific Pgs 50-51'!F25+'San Juan Pgs 52-53'!F25+'Seattle-King Pgs 54-55'!F25+'Skagit Pgs 56-57'!F25+'Skamania Pgs 58-59'!F25+'Snohomish Pgs 60-61'!F25+'Spokane Pgs 62-63'!F25+'Tacoma-Pierce Pgs 64-65'!F25+'Thurston Pgs 66-67'!F25+'Wahkiakum Pgs 68-69'!F25+'Walla Walla Pgs 70-71'!F25+'Whatcom Pgs 72-73'!F25+'Whitman Pgs 74-75'!F25+'Yakima Pgs 76-77'!F25</f>
        <v>280621</v>
      </c>
      <c r="G25" s="7">
        <f>'Asotin Pgs 10-11'!G25+'Adams Pgs 8-9'!G25+'Benton-Franklin Pgs 12-13'!G25+'Chelan-Douglas Pgs 14-15'!G25+'Clallam Pgs 16-17'!G25+'Clark Pgs 18-19'!G25+'Columbia Pgs 20-21'!G25+'Cowlitz Pgs 22-23'!G25+'Garfield Pgs 24-25'!G25+'Grant Pgs 26-27'!G25+'Grays Harbor Pgs 28-29'!G25+'Island Pgs 30-31'!G25+'Jefferson Pgs 32-33'!G25+'Kitsap Pgs 34-35'!G25+'Kittitas Pgs 36-37'!G25+'Klickitat Pgs 38-39'!G25+'Lewis Pgs 40-41'!G25+'Lincoln Pgs 42-43'!G25+'Mason Pgs 44-45'!G25+'Northeast Tri Pgs 46-47'!G25+'Okanogan Pgs 48-49'!G25+'Pacific Pgs 50-51'!G25+'San Juan Pgs 52-53'!G25+'Seattle-King Pgs 54-55'!G25+'Skagit Pgs 56-57'!G25+'Skamania Pgs 58-59'!G25+'Snohomish Pgs 60-61'!G25+'Spokane Pgs 62-63'!G25+'Tacoma-Pierce Pgs 64-65'!G25+'Thurston Pgs 66-67'!G25+'Wahkiakum Pgs 68-69'!G25+'Walla Walla Pgs 70-71'!G25+'Whatcom Pgs 72-73'!G25+'Whitman Pgs 74-75'!G25+'Yakima Pgs 76-77'!G25</f>
        <v>118869</v>
      </c>
      <c r="H25" s="15">
        <f>'Asotin Pgs 10-11'!H25+'Adams Pgs 8-9'!H25+'Benton-Franklin Pgs 12-13'!H25+'Chelan-Douglas Pgs 14-15'!H25+'Clallam Pgs 16-17'!H25+'Clark Pgs 18-19'!H25+'Columbia Pgs 20-21'!H25+'Cowlitz Pgs 22-23'!H25+'Garfield Pgs 24-25'!H25+'Grant Pgs 26-27'!H25+'Grays Harbor Pgs 28-29'!H25+'Island Pgs 30-31'!H25+'Jefferson Pgs 32-33'!H25+'Kitsap Pgs 34-35'!H25+'Kittitas Pgs 36-37'!H25+'Klickitat Pgs 38-39'!H25+'Lewis Pgs 40-41'!H25+'Lincoln Pgs 42-43'!H25+'Mason Pgs 44-45'!H25+'Northeast Tri Pgs 46-47'!H25+'Okanogan Pgs 48-49'!H25+'Pacific Pgs 50-51'!H25+'San Juan Pgs 52-53'!H25+'Seattle-King Pgs 54-55'!H25+'Skagit Pgs 56-57'!H25+'Skamania Pgs 58-59'!H25+'Snohomish Pgs 60-61'!H25+'Spokane Pgs 62-63'!H25+'Tacoma-Pierce Pgs 64-65'!H25+'Thurston Pgs 66-67'!H25+'Wahkiakum Pgs 68-69'!H25+'Walla Walla Pgs 70-71'!H25+'Whatcom Pgs 72-73'!H25+'Whitman Pgs 74-75'!H25+'Yakima Pgs 76-77'!H25</f>
        <v>29955</v>
      </c>
      <c r="I25" s="7">
        <f>'Asotin Pgs 10-11'!I25+'Adams Pgs 8-9'!I25+'Benton-Franklin Pgs 12-13'!I25+'Chelan-Douglas Pgs 14-15'!I25+'Clallam Pgs 16-17'!I25+'Clark Pgs 18-19'!I25+'Columbia Pgs 20-21'!I25+'Cowlitz Pgs 22-23'!I25+'Garfield Pgs 24-25'!I25+'Grant Pgs 26-27'!I25+'Grays Harbor Pgs 28-29'!I25+'Island Pgs 30-31'!I25+'Jefferson Pgs 32-33'!I25+'Kitsap Pgs 34-35'!I25+'Kittitas Pgs 36-37'!I25+'Klickitat Pgs 38-39'!I25+'Lewis Pgs 40-41'!I25+'Lincoln Pgs 42-43'!I25+'Mason Pgs 44-45'!I25+'Northeast Tri Pgs 46-47'!I25+'Okanogan Pgs 48-49'!I25+'Pacific Pgs 50-51'!I25+'San Juan Pgs 52-53'!I25+'Seattle-King Pgs 54-55'!I25+'Skagit Pgs 56-57'!I25+'Skamania Pgs 58-59'!I25+'Snohomish Pgs 60-61'!I25+'Spokane Pgs 62-63'!I25+'Tacoma-Pierce Pgs 64-65'!I25+'Thurston Pgs 66-67'!I25+'Wahkiakum Pgs 68-69'!I25+'Walla Walla Pgs 70-71'!I25+'Whatcom Pgs 72-73'!I25+'Whitman Pgs 74-75'!I25+'Yakima Pgs 76-77'!I25</f>
        <v>204589</v>
      </c>
      <c r="J25" s="15">
        <f>'Asotin Pgs 10-11'!M25+'Adams Pgs 8-9'!M25+'Benton-Franklin Pgs 12-13'!M25+'Chelan-Douglas Pgs 14-15'!M25+'Clallam Pgs 16-17'!M25+'Clark Pgs 18-19'!M25+'Columbia Pgs 20-21'!M25+'Cowlitz Pgs 22-23'!M25+'Garfield Pgs 24-25'!M25+'Grant Pgs 26-27'!M25+'Grays Harbor Pgs 28-29'!M25+'Island Pgs 30-31'!M25+'Jefferson Pgs 32-33'!M25+'Kitsap Pgs 34-35'!M25+'Kittitas Pgs 36-37'!M25+'Klickitat Pgs 38-39'!M25+'Lewis Pgs 40-41'!M25+'Lincoln Pgs 42-43'!M25+'Mason Pgs 44-45'!M25+'Northeast Tri Pgs 46-47'!M25+'Okanogan Pgs 48-49'!M25+'Pacific Pgs 50-51'!M25+'San Juan Pgs 52-53'!M25+'Seattle-King Pgs 54-55'!M25+'Skagit Pgs 56-57'!M25+'Skamania Pgs 58-59'!M25+'Snohomish Pgs 60-61'!M25+'Spokane Pgs 62-63'!M25+'Tacoma-Pierce Pgs 64-65'!M25+'Thurston Pgs 66-67'!M25+'Wahkiakum Pgs 68-69'!M25+'Walla Walla Pgs 70-71'!M25+'Whatcom Pgs 72-73'!M25+'Whitman Pgs 74-75'!M25+'Yakima Pgs 76-77'!M25</f>
        <v>551302</v>
      </c>
      <c r="K25" s="7">
        <f>'Asotin Pgs 10-11'!Q25+'Adams Pgs 8-9'!Q25+'Benton-Franklin Pgs 12-13'!Q25+'Chelan-Douglas Pgs 14-15'!Q25+'Clallam Pgs 16-17'!Q25+'Clark Pgs 18-19'!Q25+'Columbia Pgs 20-21'!Q25+'Cowlitz Pgs 22-23'!Q25+'Garfield Pgs 24-25'!Q25+'Grant Pgs 26-27'!Q25+'Grays Harbor Pgs 28-29'!Q25+'Island Pgs 30-31'!Q25+'Jefferson Pgs 32-33'!Q25+'Kitsap Pgs 34-35'!Q25+'Kittitas Pgs 36-37'!Q25+'Klickitat Pgs 38-39'!Q25+'Lewis Pgs 40-41'!Q25+'Lincoln Pgs 42-43'!Q25+'Mason Pgs 44-45'!Q25+'Northeast Tri Pgs 46-47'!Q25+'Okanogan Pgs 48-49'!Q25+'Pacific Pgs 50-51'!Q25+'San Juan Pgs 52-53'!Q25+'Seattle-King Pgs 54-55'!Q25+'Skagit Pgs 56-57'!Q25+'Skamania Pgs 58-59'!Q25+'Snohomish Pgs 60-61'!Q25+'Spokane Pgs 62-63'!Q25+'Tacoma-Pierce Pgs 64-65'!Q25+'Thurston Pgs 66-67'!Q25+'Wahkiakum Pgs 68-69'!Q25+'Walla Walla Pgs 70-71'!Q25+'Whatcom Pgs 72-73'!Q25+'Whitman Pgs 74-75'!Q25+'Yakima Pgs 76-77'!Q25</f>
        <v>3538974.55</v>
      </c>
      <c r="L25" s="15">
        <f>'Asotin Pgs 10-11'!R25+'Adams Pgs 8-9'!R25+'Benton-Franklin Pgs 12-13'!R25+'Chelan-Douglas Pgs 14-15'!R25+'Clallam Pgs 16-17'!R25+'Clark Pgs 18-19'!R25+'Columbia Pgs 20-21'!R25+'Cowlitz Pgs 22-23'!R25+'Garfield Pgs 24-25'!R25+'Grant Pgs 26-27'!R25+'Grays Harbor Pgs 28-29'!R25+'Island Pgs 30-31'!R25+'Jefferson Pgs 32-33'!R25+'Kitsap Pgs 34-35'!R25+'Kittitas Pgs 36-37'!R25+'Klickitat Pgs 38-39'!R25+'Lewis Pgs 40-41'!R25+'Lincoln Pgs 42-43'!R25+'Mason Pgs 44-45'!R25+'Northeast Tri Pgs 46-47'!R25+'Okanogan Pgs 48-49'!R25+'Pacific Pgs 50-51'!R25+'San Juan Pgs 52-53'!R25+'Seattle-King Pgs 54-55'!R25+'Skagit Pgs 56-57'!R25+'Skamania Pgs 58-59'!R25+'Snohomish Pgs 60-61'!R25+'Spokane Pgs 62-63'!R25+'Tacoma-Pierce Pgs 64-65'!R25+'Thurston Pgs 66-67'!R25+'Wahkiakum Pgs 68-69'!R25+'Walla Walla Pgs 70-71'!R25+'Whatcom Pgs 72-73'!R25+'Whitman Pgs 74-75'!R25+'Yakima Pgs 76-77'!R25</f>
        <v>67605</v>
      </c>
    </row>
    <row r="26" spans="1:12" x14ac:dyDescent="0.3">
      <c r="A26" s="39">
        <v>562.53</v>
      </c>
      <c r="B26" s="141" t="s">
        <v>99</v>
      </c>
      <c r="C26" s="165">
        <f>'Asotin Pgs 10-11'!C26+'Adams Pgs 8-9'!C26+'Benton-Franklin Pgs 12-13'!C26+'Chelan-Douglas Pgs 14-15'!C26+'Clallam Pgs 16-17'!C26+'Clark Pgs 18-19'!C26+'Columbia Pgs 20-21'!C26+'Cowlitz Pgs 22-23'!C26+'Garfield Pgs 24-25'!C26+'Grant Pgs 26-27'!C26+'Grays Harbor Pgs 28-29'!C26+'Island Pgs 30-31'!C26+'Jefferson Pgs 32-33'!C26+'Kitsap Pgs 34-35'!C26+'Kittitas Pgs 36-37'!C26+'Klickitat Pgs 38-39'!C26+'Lewis Pgs 40-41'!C26+'Lincoln Pgs 42-43'!C26+'Mason Pgs 44-45'!C26+'Northeast Tri Pgs 46-47'!C26+'Okanogan Pgs 48-49'!C26+'Pacific Pgs 50-51'!C26+'San Juan Pgs 52-53'!C26+'Seattle-King Pgs 54-55'!C26+'Skagit Pgs 56-57'!C26+'Skamania Pgs 58-59'!C26+'Snohomish Pgs 60-61'!C26+'Spokane Pgs 62-63'!C26+'Tacoma-Pierce Pgs 64-65'!C26+'Thurston Pgs 66-67'!C26+'Wahkiakum Pgs 68-69'!C26+'Walla Walla Pgs 70-71'!C26+'Whatcom Pgs 72-73'!C26+'Whitman Pgs 74-75'!C26+'Yakima Pgs 76-77'!C26</f>
        <v>14832143.130000001</v>
      </c>
      <c r="D26" s="17">
        <f>'Asotin Pgs 10-11'!D26+'Adams Pgs 8-9'!D26+'Benton-Franklin Pgs 12-13'!D26+'Chelan-Douglas Pgs 14-15'!D26+'Clallam Pgs 16-17'!D26+'Clark Pgs 18-19'!D26+'Columbia Pgs 20-21'!D26+'Cowlitz Pgs 22-23'!D26+'Garfield Pgs 24-25'!D26+'Grant Pgs 26-27'!D26+'Grays Harbor Pgs 28-29'!D26+'Island Pgs 30-31'!D26+'Jefferson Pgs 32-33'!D26+'Kitsap Pgs 34-35'!D26+'Kittitas Pgs 36-37'!D26+'Klickitat Pgs 38-39'!D26+'Lewis Pgs 40-41'!D26+'Lincoln Pgs 42-43'!D26+'Mason Pgs 44-45'!D26+'Northeast Tri Pgs 46-47'!D26+'Okanogan Pgs 48-49'!D26+'Pacific Pgs 50-51'!D26+'San Juan Pgs 52-53'!D26+'Seattle-King Pgs 54-55'!D26+'Skagit Pgs 56-57'!D26+'Skamania Pgs 58-59'!D26+'Snohomish Pgs 60-61'!D26+'Spokane Pgs 62-63'!D26+'Tacoma-Pierce Pgs 64-65'!D26+'Thurston Pgs 66-67'!D26+'Wahkiakum Pgs 68-69'!D26+'Walla Walla Pgs 70-71'!D26+'Whatcom Pgs 72-73'!D26+'Whitman Pgs 74-75'!D26+'Yakima Pgs 76-77'!D26</f>
        <v>16058396.030000001</v>
      </c>
      <c r="E26" s="165">
        <f>'Asotin Pgs 10-11'!E26+'Adams Pgs 8-9'!E26+'Benton-Franklin Pgs 12-13'!E26+'Chelan-Douglas Pgs 14-15'!E26+'Clallam Pgs 16-17'!E26+'Clark Pgs 18-19'!E26+'Columbia Pgs 20-21'!E26+'Cowlitz Pgs 22-23'!E26+'Garfield Pgs 24-25'!E26+'Grant Pgs 26-27'!E26+'Grays Harbor Pgs 28-29'!E26+'Island Pgs 30-31'!E26+'Jefferson Pgs 32-33'!E26+'Kitsap Pgs 34-35'!E26+'Kittitas Pgs 36-37'!E26+'Klickitat Pgs 38-39'!E26+'Lewis Pgs 40-41'!E26+'Lincoln Pgs 42-43'!E26+'Mason Pgs 44-45'!E26+'Northeast Tri Pgs 46-47'!E26+'Okanogan Pgs 48-49'!E26+'Pacific Pgs 50-51'!E26+'San Juan Pgs 52-53'!E26+'Seattle-King Pgs 54-55'!E26+'Skagit Pgs 56-57'!E26+'Skamania Pgs 58-59'!E26+'Snohomish Pgs 60-61'!E26+'Spokane Pgs 62-63'!E26+'Tacoma-Pierce Pgs 64-65'!E26+'Thurston Pgs 66-67'!E26+'Wahkiakum Pgs 68-69'!E26+'Walla Walla Pgs 70-71'!E26+'Whatcom Pgs 72-73'!E26+'Whitman Pgs 74-75'!E26+'Yakima Pgs 76-77'!E26</f>
        <v>0</v>
      </c>
      <c r="F26" s="8">
        <f>'Asotin Pgs 10-11'!F26+'Adams Pgs 8-9'!F26+'Benton-Franklin Pgs 12-13'!F26+'Chelan-Douglas Pgs 14-15'!F26+'Clallam Pgs 16-17'!F26+'Clark Pgs 18-19'!F26+'Columbia Pgs 20-21'!F26+'Cowlitz Pgs 22-23'!F26+'Garfield Pgs 24-25'!F26+'Grant Pgs 26-27'!F26+'Grays Harbor Pgs 28-29'!F26+'Island Pgs 30-31'!F26+'Jefferson Pgs 32-33'!F26+'Kitsap Pgs 34-35'!F26+'Kittitas Pgs 36-37'!F26+'Klickitat Pgs 38-39'!F26+'Lewis Pgs 40-41'!F26+'Lincoln Pgs 42-43'!F26+'Mason Pgs 44-45'!F26+'Northeast Tri Pgs 46-47'!F26+'Okanogan Pgs 48-49'!F26+'Pacific Pgs 50-51'!F26+'San Juan Pgs 52-53'!F26+'Seattle-King Pgs 54-55'!F26+'Skagit Pgs 56-57'!F26+'Skamania Pgs 58-59'!F26+'Snohomish Pgs 60-61'!F26+'Spokane Pgs 62-63'!F26+'Tacoma-Pierce Pgs 64-65'!F26+'Thurston Pgs 66-67'!F26+'Wahkiakum Pgs 68-69'!F26+'Walla Walla Pgs 70-71'!F26+'Whatcom Pgs 72-73'!F26+'Whitman Pgs 74-75'!F26+'Yakima Pgs 76-77'!F26</f>
        <v>68166</v>
      </c>
      <c r="G26" s="7">
        <f>'Asotin Pgs 10-11'!G26+'Adams Pgs 8-9'!G26+'Benton-Franklin Pgs 12-13'!G26+'Chelan-Douglas Pgs 14-15'!G26+'Clallam Pgs 16-17'!G26+'Clark Pgs 18-19'!G26+'Columbia Pgs 20-21'!G26+'Cowlitz Pgs 22-23'!G26+'Garfield Pgs 24-25'!G26+'Grant Pgs 26-27'!G26+'Grays Harbor Pgs 28-29'!G26+'Island Pgs 30-31'!G26+'Jefferson Pgs 32-33'!G26+'Kitsap Pgs 34-35'!G26+'Kittitas Pgs 36-37'!G26+'Klickitat Pgs 38-39'!G26+'Lewis Pgs 40-41'!G26+'Lincoln Pgs 42-43'!G26+'Mason Pgs 44-45'!G26+'Northeast Tri Pgs 46-47'!G26+'Okanogan Pgs 48-49'!G26+'Pacific Pgs 50-51'!G26+'San Juan Pgs 52-53'!G26+'Seattle-King Pgs 54-55'!G26+'Skagit Pgs 56-57'!G26+'Skamania Pgs 58-59'!G26+'Snohomish Pgs 60-61'!G26+'Spokane Pgs 62-63'!G26+'Tacoma-Pierce Pgs 64-65'!G26+'Thurston Pgs 66-67'!G26+'Wahkiakum Pgs 68-69'!G26+'Walla Walla Pgs 70-71'!G26+'Whatcom Pgs 72-73'!G26+'Whitman Pgs 74-75'!G26+'Yakima Pgs 76-77'!G26</f>
        <v>3397775.1799999997</v>
      </c>
      <c r="H26" s="15">
        <f>'Asotin Pgs 10-11'!H26+'Adams Pgs 8-9'!H26+'Benton-Franklin Pgs 12-13'!H26+'Chelan-Douglas Pgs 14-15'!H26+'Clallam Pgs 16-17'!H26+'Clark Pgs 18-19'!H26+'Columbia Pgs 20-21'!H26+'Cowlitz Pgs 22-23'!H26+'Garfield Pgs 24-25'!H26+'Grant Pgs 26-27'!H26+'Grays Harbor Pgs 28-29'!H26+'Island Pgs 30-31'!H26+'Jefferson Pgs 32-33'!H26+'Kitsap Pgs 34-35'!H26+'Kittitas Pgs 36-37'!H26+'Klickitat Pgs 38-39'!H26+'Lewis Pgs 40-41'!H26+'Lincoln Pgs 42-43'!H26+'Mason Pgs 44-45'!H26+'Northeast Tri Pgs 46-47'!H26+'Okanogan Pgs 48-49'!H26+'Pacific Pgs 50-51'!H26+'San Juan Pgs 52-53'!H26+'Seattle-King Pgs 54-55'!H26+'Skagit Pgs 56-57'!H26+'Skamania Pgs 58-59'!H26+'Snohomish Pgs 60-61'!H26+'Spokane Pgs 62-63'!H26+'Tacoma-Pierce Pgs 64-65'!H26+'Thurston Pgs 66-67'!H26+'Wahkiakum Pgs 68-69'!H26+'Walla Walla Pgs 70-71'!H26+'Whatcom Pgs 72-73'!H26+'Whitman Pgs 74-75'!H26+'Yakima Pgs 76-77'!H26</f>
        <v>1801611</v>
      </c>
      <c r="I26" s="7">
        <f>'Asotin Pgs 10-11'!I26+'Adams Pgs 8-9'!I26+'Benton-Franklin Pgs 12-13'!I26+'Chelan-Douglas Pgs 14-15'!I26+'Clallam Pgs 16-17'!I26+'Clark Pgs 18-19'!I26+'Columbia Pgs 20-21'!I26+'Cowlitz Pgs 22-23'!I26+'Garfield Pgs 24-25'!I26+'Grant Pgs 26-27'!I26+'Grays Harbor Pgs 28-29'!I26+'Island Pgs 30-31'!I26+'Jefferson Pgs 32-33'!I26+'Kitsap Pgs 34-35'!I26+'Kittitas Pgs 36-37'!I26+'Klickitat Pgs 38-39'!I26+'Lewis Pgs 40-41'!I26+'Lincoln Pgs 42-43'!I26+'Mason Pgs 44-45'!I26+'Northeast Tri Pgs 46-47'!I26+'Okanogan Pgs 48-49'!I26+'Pacific Pgs 50-51'!I26+'San Juan Pgs 52-53'!I26+'Seattle-King Pgs 54-55'!I26+'Skagit Pgs 56-57'!I26+'Skamania Pgs 58-59'!I26+'Snohomish Pgs 60-61'!I26+'Spokane Pgs 62-63'!I26+'Tacoma-Pierce Pgs 64-65'!I26+'Thurston Pgs 66-67'!I26+'Wahkiakum Pgs 68-69'!I26+'Walla Walla Pgs 70-71'!I26+'Whatcom Pgs 72-73'!I26+'Whitman Pgs 74-75'!I26+'Yakima Pgs 76-77'!I26</f>
        <v>0</v>
      </c>
      <c r="J26" s="15">
        <f>'Asotin Pgs 10-11'!M26+'Adams Pgs 8-9'!M26+'Benton-Franklin Pgs 12-13'!M26+'Chelan-Douglas Pgs 14-15'!M26+'Clallam Pgs 16-17'!M26+'Clark Pgs 18-19'!M26+'Columbia Pgs 20-21'!M26+'Cowlitz Pgs 22-23'!M26+'Garfield Pgs 24-25'!M26+'Grant Pgs 26-27'!M26+'Grays Harbor Pgs 28-29'!M26+'Island Pgs 30-31'!M26+'Jefferson Pgs 32-33'!M26+'Kitsap Pgs 34-35'!M26+'Kittitas Pgs 36-37'!M26+'Klickitat Pgs 38-39'!M26+'Lewis Pgs 40-41'!M26+'Lincoln Pgs 42-43'!M26+'Mason Pgs 44-45'!M26+'Northeast Tri Pgs 46-47'!M26+'Okanogan Pgs 48-49'!M26+'Pacific Pgs 50-51'!M26+'San Juan Pgs 52-53'!M26+'Seattle-King Pgs 54-55'!M26+'Skagit Pgs 56-57'!M26+'Skamania Pgs 58-59'!M26+'Snohomish Pgs 60-61'!M26+'Spokane Pgs 62-63'!M26+'Tacoma-Pierce Pgs 64-65'!M26+'Thurston Pgs 66-67'!M26+'Wahkiakum Pgs 68-69'!M26+'Walla Walla Pgs 70-71'!M26+'Whatcom Pgs 72-73'!M26+'Whitman Pgs 74-75'!M26+'Yakima Pgs 76-77'!M26</f>
        <v>1178809</v>
      </c>
      <c r="K26" s="7">
        <f>'Asotin Pgs 10-11'!Q26+'Adams Pgs 8-9'!Q26+'Benton-Franklin Pgs 12-13'!Q26+'Chelan-Douglas Pgs 14-15'!Q26+'Clallam Pgs 16-17'!Q26+'Clark Pgs 18-19'!Q26+'Columbia Pgs 20-21'!Q26+'Cowlitz Pgs 22-23'!Q26+'Garfield Pgs 24-25'!Q26+'Grant Pgs 26-27'!Q26+'Grays Harbor Pgs 28-29'!Q26+'Island Pgs 30-31'!Q26+'Jefferson Pgs 32-33'!Q26+'Kitsap Pgs 34-35'!Q26+'Kittitas Pgs 36-37'!Q26+'Klickitat Pgs 38-39'!Q26+'Lewis Pgs 40-41'!Q26+'Lincoln Pgs 42-43'!Q26+'Mason Pgs 44-45'!Q26+'Northeast Tri Pgs 46-47'!Q26+'Okanogan Pgs 48-49'!Q26+'Pacific Pgs 50-51'!Q26+'San Juan Pgs 52-53'!Q26+'Seattle-King Pgs 54-55'!Q26+'Skagit Pgs 56-57'!Q26+'Skamania Pgs 58-59'!Q26+'Snohomish Pgs 60-61'!Q26+'Spokane Pgs 62-63'!Q26+'Tacoma-Pierce Pgs 64-65'!Q26+'Thurston Pgs 66-67'!Q26+'Wahkiakum Pgs 68-69'!Q26+'Walla Walla Pgs 70-71'!Q26+'Whatcom Pgs 72-73'!Q26+'Whitman Pgs 74-75'!Q26+'Yakima Pgs 76-77'!Q26</f>
        <v>8197793.8499999996</v>
      </c>
      <c r="L26" s="15">
        <f>'Asotin Pgs 10-11'!R26+'Adams Pgs 8-9'!R26+'Benton-Franklin Pgs 12-13'!R26+'Chelan-Douglas Pgs 14-15'!R26+'Clallam Pgs 16-17'!R26+'Clark Pgs 18-19'!R26+'Columbia Pgs 20-21'!R26+'Cowlitz Pgs 22-23'!R26+'Garfield Pgs 24-25'!R26+'Grant Pgs 26-27'!R26+'Grays Harbor Pgs 28-29'!R26+'Island Pgs 30-31'!R26+'Jefferson Pgs 32-33'!R26+'Kitsap Pgs 34-35'!R26+'Kittitas Pgs 36-37'!R26+'Klickitat Pgs 38-39'!R26+'Lewis Pgs 40-41'!R26+'Lincoln Pgs 42-43'!R26+'Mason Pgs 44-45'!R26+'Northeast Tri Pgs 46-47'!R26+'Okanogan Pgs 48-49'!R26+'Pacific Pgs 50-51'!R26+'San Juan Pgs 52-53'!R26+'Seattle-King Pgs 54-55'!R26+'Skagit Pgs 56-57'!R26+'Skamania Pgs 58-59'!R26+'Snohomish Pgs 60-61'!R26+'Spokane Pgs 62-63'!R26+'Tacoma-Pierce Pgs 64-65'!R26+'Thurston Pgs 66-67'!R26+'Wahkiakum Pgs 68-69'!R26+'Walla Walla Pgs 70-71'!R26+'Whatcom Pgs 72-73'!R26+'Whitman Pgs 74-75'!R26+'Yakima Pgs 76-77'!R26</f>
        <v>1414241</v>
      </c>
    </row>
    <row r="27" spans="1:12" x14ac:dyDescent="0.3">
      <c r="A27" s="39">
        <v>562.54</v>
      </c>
      <c r="B27" s="141" t="s">
        <v>100</v>
      </c>
      <c r="C27" s="165">
        <f>'Asotin Pgs 10-11'!C27+'Adams Pgs 8-9'!C27+'Benton-Franklin Pgs 12-13'!C27+'Chelan-Douglas Pgs 14-15'!C27+'Clallam Pgs 16-17'!C27+'Clark Pgs 18-19'!C27+'Columbia Pgs 20-21'!C27+'Cowlitz Pgs 22-23'!C27+'Garfield Pgs 24-25'!C27+'Grant Pgs 26-27'!C27+'Grays Harbor Pgs 28-29'!C27+'Island Pgs 30-31'!C27+'Jefferson Pgs 32-33'!C27+'Kitsap Pgs 34-35'!C27+'Kittitas Pgs 36-37'!C27+'Klickitat Pgs 38-39'!C27+'Lewis Pgs 40-41'!C27+'Lincoln Pgs 42-43'!C27+'Mason Pgs 44-45'!C27+'Northeast Tri Pgs 46-47'!C27+'Okanogan Pgs 48-49'!C27+'Pacific Pgs 50-51'!C27+'San Juan Pgs 52-53'!C27+'Seattle-King Pgs 54-55'!C27+'Skagit Pgs 56-57'!C27+'Skamania Pgs 58-59'!C27+'Snohomish Pgs 60-61'!C27+'Spokane Pgs 62-63'!C27+'Tacoma-Pierce Pgs 64-65'!C27+'Thurston Pgs 66-67'!C27+'Wahkiakum Pgs 68-69'!C27+'Walla Walla Pgs 70-71'!C27+'Whatcom Pgs 72-73'!C27+'Whitman Pgs 74-75'!C27+'Yakima Pgs 76-77'!C27</f>
        <v>14875561.539999999</v>
      </c>
      <c r="D27" s="17">
        <f>'Asotin Pgs 10-11'!D27+'Adams Pgs 8-9'!D27+'Benton-Franklin Pgs 12-13'!D27+'Chelan-Douglas Pgs 14-15'!D27+'Clallam Pgs 16-17'!D27+'Clark Pgs 18-19'!D27+'Columbia Pgs 20-21'!D27+'Cowlitz Pgs 22-23'!D27+'Garfield Pgs 24-25'!D27+'Grant Pgs 26-27'!D27+'Grays Harbor Pgs 28-29'!D27+'Island Pgs 30-31'!D27+'Jefferson Pgs 32-33'!D27+'Kitsap Pgs 34-35'!D27+'Kittitas Pgs 36-37'!D27+'Klickitat Pgs 38-39'!D27+'Lewis Pgs 40-41'!D27+'Lincoln Pgs 42-43'!D27+'Mason Pgs 44-45'!D27+'Northeast Tri Pgs 46-47'!D27+'Okanogan Pgs 48-49'!D27+'Pacific Pgs 50-51'!D27+'San Juan Pgs 52-53'!D27+'Seattle-King Pgs 54-55'!D27+'Skagit Pgs 56-57'!D27+'Skamania Pgs 58-59'!D27+'Snohomish Pgs 60-61'!D27+'Spokane Pgs 62-63'!D27+'Tacoma-Pierce Pgs 64-65'!D27+'Thurston Pgs 66-67'!D27+'Wahkiakum Pgs 68-69'!D27+'Walla Walla Pgs 70-71'!D27+'Whatcom Pgs 72-73'!D27+'Whitman Pgs 74-75'!D27+'Yakima Pgs 76-77'!D27</f>
        <v>14371167.9</v>
      </c>
      <c r="E27" s="165">
        <f>'Asotin Pgs 10-11'!E27+'Adams Pgs 8-9'!E27+'Benton-Franklin Pgs 12-13'!E27+'Chelan-Douglas Pgs 14-15'!E27+'Clallam Pgs 16-17'!E27+'Clark Pgs 18-19'!E27+'Columbia Pgs 20-21'!E27+'Cowlitz Pgs 22-23'!E27+'Garfield Pgs 24-25'!E27+'Grant Pgs 26-27'!E27+'Grays Harbor Pgs 28-29'!E27+'Island Pgs 30-31'!E27+'Jefferson Pgs 32-33'!E27+'Kitsap Pgs 34-35'!E27+'Kittitas Pgs 36-37'!E27+'Klickitat Pgs 38-39'!E27+'Lewis Pgs 40-41'!E27+'Lincoln Pgs 42-43'!E27+'Mason Pgs 44-45'!E27+'Northeast Tri Pgs 46-47'!E27+'Okanogan Pgs 48-49'!E27+'Pacific Pgs 50-51'!E27+'San Juan Pgs 52-53'!E27+'Seattle-King Pgs 54-55'!E27+'Skagit Pgs 56-57'!E27+'Skamania Pgs 58-59'!E27+'Snohomish Pgs 60-61'!E27+'Spokane Pgs 62-63'!E27+'Tacoma-Pierce Pgs 64-65'!E27+'Thurston Pgs 66-67'!E27+'Wahkiakum Pgs 68-69'!E27+'Walla Walla Pgs 70-71'!E27+'Whatcom Pgs 72-73'!E27+'Whitman Pgs 74-75'!E27+'Yakima Pgs 76-77'!E27</f>
        <v>362143</v>
      </c>
      <c r="F27" s="8">
        <f>'Asotin Pgs 10-11'!F27+'Adams Pgs 8-9'!F27+'Benton-Franklin Pgs 12-13'!F27+'Chelan-Douglas Pgs 14-15'!F27+'Clallam Pgs 16-17'!F27+'Clark Pgs 18-19'!F27+'Columbia Pgs 20-21'!F27+'Cowlitz Pgs 22-23'!F27+'Garfield Pgs 24-25'!F27+'Grant Pgs 26-27'!F27+'Grays Harbor Pgs 28-29'!F27+'Island Pgs 30-31'!F27+'Jefferson Pgs 32-33'!F27+'Kitsap Pgs 34-35'!F27+'Kittitas Pgs 36-37'!F27+'Klickitat Pgs 38-39'!F27+'Lewis Pgs 40-41'!F27+'Lincoln Pgs 42-43'!F27+'Mason Pgs 44-45'!F27+'Northeast Tri Pgs 46-47'!F27+'Okanogan Pgs 48-49'!F27+'Pacific Pgs 50-51'!F27+'San Juan Pgs 52-53'!F27+'Seattle-King Pgs 54-55'!F27+'Skagit Pgs 56-57'!F27+'Skamania Pgs 58-59'!F27+'Snohomish Pgs 60-61'!F27+'Spokane Pgs 62-63'!F27+'Tacoma-Pierce Pgs 64-65'!F27+'Thurston Pgs 66-67'!F27+'Wahkiakum Pgs 68-69'!F27+'Walla Walla Pgs 70-71'!F27+'Whatcom Pgs 72-73'!F27+'Whitman Pgs 74-75'!F27+'Yakima Pgs 76-77'!F27</f>
        <v>520374</v>
      </c>
      <c r="G27" s="7">
        <f>'Asotin Pgs 10-11'!G27+'Adams Pgs 8-9'!G27+'Benton-Franklin Pgs 12-13'!G27+'Chelan-Douglas Pgs 14-15'!G27+'Clallam Pgs 16-17'!G27+'Clark Pgs 18-19'!G27+'Columbia Pgs 20-21'!G27+'Cowlitz Pgs 22-23'!G27+'Garfield Pgs 24-25'!G27+'Grant Pgs 26-27'!G27+'Grays Harbor Pgs 28-29'!G27+'Island Pgs 30-31'!G27+'Jefferson Pgs 32-33'!G27+'Kitsap Pgs 34-35'!G27+'Kittitas Pgs 36-37'!G27+'Klickitat Pgs 38-39'!G27+'Lewis Pgs 40-41'!G27+'Lincoln Pgs 42-43'!G27+'Mason Pgs 44-45'!G27+'Northeast Tri Pgs 46-47'!G27+'Okanogan Pgs 48-49'!G27+'Pacific Pgs 50-51'!G27+'San Juan Pgs 52-53'!G27+'Seattle-King Pgs 54-55'!G27+'Skagit Pgs 56-57'!G27+'Skamania Pgs 58-59'!G27+'Snohomish Pgs 60-61'!G27+'Spokane Pgs 62-63'!G27+'Tacoma-Pierce Pgs 64-65'!G27+'Thurston Pgs 66-67'!G27+'Wahkiakum Pgs 68-69'!G27+'Walla Walla Pgs 70-71'!G27+'Whatcom Pgs 72-73'!G27+'Whitman Pgs 74-75'!G27+'Yakima Pgs 76-77'!G27</f>
        <v>61361</v>
      </c>
      <c r="H27" s="15">
        <f>'Asotin Pgs 10-11'!H27+'Adams Pgs 8-9'!H27+'Benton-Franklin Pgs 12-13'!H27+'Chelan-Douglas Pgs 14-15'!H27+'Clallam Pgs 16-17'!H27+'Clark Pgs 18-19'!H27+'Columbia Pgs 20-21'!H27+'Cowlitz Pgs 22-23'!H27+'Garfield Pgs 24-25'!H27+'Grant Pgs 26-27'!H27+'Grays Harbor Pgs 28-29'!H27+'Island Pgs 30-31'!H27+'Jefferson Pgs 32-33'!H27+'Kitsap Pgs 34-35'!H27+'Kittitas Pgs 36-37'!H27+'Klickitat Pgs 38-39'!H27+'Lewis Pgs 40-41'!H27+'Lincoln Pgs 42-43'!H27+'Mason Pgs 44-45'!H27+'Northeast Tri Pgs 46-47'!H27+'Okanogan Pgs 48-49'!H27+'Pacific Pgs 50-51'!H27+'San Juan Pgs 52-53'!H27+'Seattle-King Pgs 54-55'!H27+'Skagit Pgs 56-57'!H27+'Skamania Pgs 58-59'!H27+'Snohomish Pgs 60-61'!H27+'Spokane Pgs 62-63'!H27+'Tacoma-Pierce Pgs 64-65'!H27+'Thurston Pgs 66-67'!H27+'Wahkiakum Pgs 68-69'!H27+'Walla Walla Pgs 70-71'!H27+'Whatcom Pgs 72-73'!H27+'Whitman Pgs 74-75'!H27+'Yakima Pgs 76-77'!H27</f>
        <v>1176143.73</v>
      </c>
      <c r="I27" s="7">
        <f>'Asotin Pgs 10-11'!I27+'Adams Pgs 8-9'!I27+'Benton-Franklin Pgs 12-13'!I27+'Chelan-Douglas Pgs 14-15'!I27+'Clallam Pgs 16-17'!I27+'Clark Pgs 18-19'!I27+'Columbia Pgs 20-21'!I27+'Cowlitz Pgs 22-23'!I27+'Garfield Pgs 24-25'!I27+'Grant Pgs 26-27'!I27+'Grays Harbor Pgs 28-29'!I27+'Island Pgs 30-31'!I27+'Jefferson Pgs 32-33'!I27+'Kitsap Pgs 34-35'!I27+'Kittitas Pgs 36-37'!I27+'Klickitat Pgs 38-39'!I27+'Lewis Pgs 40-41'!I27+'Lincoln Pgs 42-43'!I27+'Mason Pgs 44-45'!I27+'Northeast Tri Pgs 46-47'!I27+'Okanogan Pgs 48-49'!I27+'Pacific Pgs 50-51'!I27+'San Juan Pgs 52-53'!I27+'Seattle-King Pgs 54-55'!I27+'Skagit Pgs 56-57'!I27+'Skamania Pgs 58-59'!I27+'Snohomish Pgs 60-61'!I27+'Spokane Pgs 62-63'!I27+'Tacoma-Pierce Pgs 64-65'!I27+'Thurston Pgs 66-67'!I27+'Wahkiakum Pgs 68-69'!I27+'Walla Walla Pgs 70-71'!I27+'Whatcom Pgs 72-73'!I27+'Whitman Pgs 74-75'!I27+'Yakima Pgs 76-77'!I27</f>
        <v>21989</v>
      </c>
      <c r="J27" s="15">
        <f>'Asotin Pgs 10-11'!M27+'Adams Pgs 8-9'!M27+'Benton-Franklin Pgs 12-13'!M27+'Chelan-Douglas Pgs 14-15'!M27+'Clallam Pgs 16-17'!M27+'Clark Pgs 18-19'!M27+'Columbia Pgs 20-21'!M27+'Cowlitz Pgs 22-23'!M27+'Garfield Pgs 24-25'!M27+'Grant Pgs 26-27'!M27+'Grays Harbor Pgs 28-29'!M27+'Island Pgs 30-31'!M27+'Jefferson Pgs 32-33'!M27+'Kitsap Pgs 34-35'!M27+'Kittitas Pgs 36-37'!M27+'Klickitat Pgs 38-39'!M27+'Lewis Pgs 40-41'!M27+'Lincoln Pgs 42-43'!M27+'Mason Pgs 44-45'!M27+'Northeast Tri Pgs 46-47'!M27+'Okanogan Pgs 48-49'!M27+'Pacific Pgs 50-51'!M27+'San Juan Pgs 52-53'!M27+'Seattle-King Pgs 54-55'!M27+'Skagit Pgs 56-57'!M27+'Skamania Pgs 58-59'!M27+'Snohomish Pgs 60-61'!M27+'Spokane Pgs 62-63'!M27+'Tacoma-Pierce Pgs 64-65'!M27+'Thurston Pgs 66-67'!M27+'Wahkiakum Pgs 68-69'!M27+'Walla Walla Pgs 70-71'!M27+'Whatcom Pgs 72-73'!M27+'Whitman Pgs 74-75'!M27+'Yakima Pgs 76-77'!M27</f>
        <v>240594</v>
      </c>
      <c r="K27" s="7">
        <f>'Asotin Pgs 10-11'!Q27+'Adams Pgs 8-9'!Q27+'Benton-Franklin Pgs 12-13'!Q27+'Chelan-Douglas Pgs 14-15'!Q27+'Clallam Pgs 16-17'!Q27+'Clark Pgs 18-19'!Q27+'Columbia Pgs 20-21'!Q27+'Cowlitz Pgs 22-23'!Q27+'Garfield Pgs 24-25'!Q27+'Grant Pgs 26-27'!Q27+'Grays Harbor Pgs 28-29'!Q27+'Island Pgs 30-31'!Q27+'Jefferson Pgs 32-33'!Q27+'Kitsap Pgs 34-35'!Q27+'Kittitas Pgs 36-37'!Q27+'Klickitat Pgs 38-39'!Q27+'Lewis Pgs 40-41'!Q27+'Lincoln Pgs 42-43'!Q27+'Mason Pgs 44-45'!Q27+'Northeast Tri Pgs 46-47'!Q27+'Okanogan Pgs 48-49'!Q27+'Pacific Pgs 50-51'!Q27+'San Juan Pgs 52-53'!Q27+'Seattle-King Pgs 54-55'!Q27+'Skagit Pgs 56-57'!Q27+'Skamania Pgs 58-59'!Q27+'Snohomish Pgs 60-61'!Q27+'Spokane Pgs 62-63'!Q27+'Tacoma-Pierce Pgs 64-65'!Q27+'Thurston Pgs 66-67'!Q27+'Wahkiakum Pgs 68-69'!Q27+'Walla Walla Pgs 70-71'!Q27+'Whatcom Pgs 72-73'!Q27+'Whitman Pgs 74-75'!Q27+'Yakima Pgs 76-77'!Q27</f>
        <v>12164565.17</v>
      </c>
      <c r="L27" s="15">
        <f>'Asotin Pgs 10-11'!R27+'Adams Pgs 8-9'!R27+'Benton-Franklin Pgs 12-13'!R27+'Chelan-Douglas Pgs 14-15'!R27+'Clallam Pgs 16-17'!R27+'Clark Pgs 18-19'!R27+'Columbia Pgs 20-21'!R27+'Cowlitz Pgs 22-23'!R27+'Garfield Pgs 24-25'!R27+'Grant Pgs 26-27'!R27+'Grays Harbor Pgs 28-29'!R27+'Island Pgs 30-31'!R27+'Jefferson Pgs 32-33'!R27+'Kitsap Pgs 34-35'!R27+'Kittitas Pgs 36-37'!R27+'Klickitat Pgs 38-39'!R27+'Lewis Pgs 40-41'!R27+'Lincoln Pgs 42-43'!R27+'Mason Pgs 44-45'!R27+'Northeast Tri Pgs 46-47'!R27+'Okanogan Pgs 48-49'!R27+'Pacific Pgs 50-51'!R27+'San Juan Pgs 52-53'!R27+'Seattle-King Pgs 54-55'!R27+'Skagit Pgs 56-57'!R27+'Skamania Pgs 58-59'!R27+'Snohomish Pgs 60-61'!R27+'Spokane Pgs 62-63'!R27+'Tacoma-Pierce Pgs 64-65'!R27+'Thurston Pgs 66-67'!R27+'Wahkiakum Pgs 68-69'!R27+'Walla Walla Pgs 70-71'!R27+'Whatcom Pgs 72-73'!R27+'Whitman Pgs 74-75'!R27+'Yakima Pgs 76-77'!R27</f>
        <v>-176002</v>
      </c>
    </row>
    <row r="28" spans="1:12" x14ac:dyDescent="0.3">
      <c r="A28" s="39">
        <v>562.54999999999995</v>
      </c>
      <c r="B28" s="40" t="s">
        <v>57</v>
      </c>
      <c r="C28" s="165">
        <f>'Asotin Pgs 10-11'!C28+'Adams Pgs 8-9'!C28+'Benton-Franklin Pgs 12-13'!C28+'Chelan-Douglas Pgs 14-15'!C28+'Clallam Pgs 16-17'!C28+'Clark Pgs 18-19'!C28+'Columbia Pgs 20-21'!C28+'Cowlitz Pgs 22-23'!C28+'Garfield Pgs 24-25'!C28+'Grant Pgs 26-27'!C28+'Grays Harbor Pgs 28-29'!C28+'Island Pgs 30-31'!C28+'Jefferson Pgs 32-33'!C28+'Kitsap Pgs 34-35'!C28+'Kittitas Pgs 36-37'!C28+'Klickitat Pgs 38-39'!C28+'Lewis Pgs 40-41'!C28+'Lincoln Pgs 42-43'!C28+'Mason Pgs 44-45'!C28+'Northeast Tri Pgs 46-47'!C28+'Okanogan Pgs 48-49'!C28+'Pacific Pgs 50-51'!C28+'San Juan Pgs 52-53'!C28+'Seattle-King Pgs 54-55'!C28+'Skagit Pgs 56-57'!C28+'Skamania Pgs 58-59'!C28+'Snohomish Pgs 60-61'!C28+'Spokane Pgs 62-63'!C28+'Tacoma-Pierce Pgs 64-65'!C28+'Thurston Pgs 66-67'!C28+'Wahkiakum Pgs 68-69'!C28+'Walla Walla Pgs 70-71'!C28+'Whatcom Pgs 72-73'!C28+'Whitman Pgs 74-75'!C28+'Yakima Pgs 76-77'!C28</f>
        <v>910530</v>
      </c>
      <c r="D28" s="17">
        <f>'Asotin Pgs 10-11'!D28+'Adams Pgs 8-9'!D28+'Benton-Franklin Pgs 12-13'!D28+'Chelan-Douglas Pgs 14-15'!D28+'Clallam Pgs 16-17'!D28+'Clark Pgs 18-19'!D28+'Columbia Pgs 20-21'!D28+'Cowlitz Pgs 22-23'!D28+'Garfield Pgs 24-25'!D28+'Grant Pgs 26-27'!D28+'Grays Harbor Pgs 28-29'!D28+'Island Pgs 30-31'!D28+'Jefferson Pgs 32-33'!D28+'Kitsap Pgs 34-35'!D28+'Kittitas Pgs 36-37'!D28+'Klickitat Pgs 38-39'!D28+'Lewis Pgs 40-41'!D28+'Lincoln Pgs 42-43'!D28+'Mason Pgs 44-45'!D28+'Northeast Tri Pgs 46-47'!D28+'Okanogan Pgs 48-49'!D28+'Pacific Pgs 50-51'!D28+'San Juan Pgs 52-53'!D28+'Seattle-King Pgs 54-55'!D28+'Skagit Pgs 56-57'!D28+'Skamania Pgs 58-59'!D28+'Snohomish Pgs 60-61'!D28+'Spokane Pgs 62-63'!D28+'Tacoma-Pierce Pgs 64-65'!D28+'Thurston Pgs 66-67'!D28+'Wahkiakum Pgs 68-69'!D28+'Walla Walla Pgs 70-71'!D28+'Whatcom Pgs 72-73'!D28+'Whitman Pgs 74-75'!D28+'Yakima Pgs 76-77'!D28</f>
        <v>875148</v>
      </c>
      <c r="E28" s="165">
        <f>'Asotin Pgs 10-11'!E28+'Adams Pgs 8-9'!E28+'Benton-Franklin Pgs 12-13'!E28+'Chelan-Douglas Pgs 14-15'!E28+'Clallam Pgs 16-17'!E28+'Clark Pgs 18-19'!E28+'Columbia Pgs 20-21'!E28+'Cowlitz Pgs 22-23'!E28+'Garfield Pgs 24-25'!E28+'Grant Pgs 26-27'!E28+'Grays Harbor Pgs 28-29'!E28+'Island Pgs 30-31'!E28+'Jefferson Pgs 32-33'!E28+'Kitsap Pgs 34-35'!E28+'Kittitas Pgs 36-37'!E28+'Klickitat Pgs 38-39'!E28+'Lewis Pgs 40-41'!E28+'Lincoln Pgs 42-43'!E28+'Mason Pgs 44-45'!E28+'Northeast Tri Pgs 46-47'!E28+'Okanogan Pgs 48-49'!E28+'Pacific Pgs 50-51'!E28+'San Juan Pgs 52-53'!E28+'Seattle-King Pgs 54-55'!E28+'Skagit Pgs 56-57'!E28+'Skamania Pgs 58-59'!E28+'Snohomish Pgs 60-61'!E28+'Spokane Pgs 62-63'!E28+'Tacoma-Pierce Pgs 64-65'!E28+'Thurston Pgs 66-67'!E28+'Wahkiakum Pgs 68-69'!E28+'Walla Walla Pgs 70-71'!E28+'Whatcom Pgs 72-73'!E28+'Whitman Pgs 74-75'!E28+'Yakima Pgs 76-77'!E28</f>
        <v>0</v>
      </c>
      <c r="F28" s="8">
        <f>'Asotin Pgs 10-11'!F28+'Adams Pgs 8-9'!F28+'Benton-Franklin Pgs 12-13'!F28+'Chelan-Douglas Pgs 14-15'!F28+'Clallam Pgs 16-17'!F28+'Clark Pgs 18-19'!F28+'Columbia Pgs 20-21'!F28+'Cowlitz Pgs 22-23'!F28+'Garfield Pgs 24-25'!F28+'Grant Pgs 26-27'!F28+'Grays Harbor Pgs 28-29'!F28+'Island Pgs 30-31'!F28+'Jefferson Pgs 32-33'!F28+'Kitsap Pgs 34-35'!F28+'Kittitas Pgs 36-37'!F28+'Klickitat Pgs 38-39'!F28+'Lewis Pgs 40-41'!F28+'Lincoln Pgs 42-43'!F28+'Mason Pgs 44-45'!F28+'Northeast Tri Pgs 46-47'!F28+'Okanogan Pgs 48-49'!F28+'Pacific Pgs 50-51'!F28+'San Juan Pgs 52-53'!F28+'Seattle-King Pgs 54-55'!F28+'Skagit Pgs 56-57'!F28+'Skamania Pgs 58-59'!F28+'Snohomish Pgs 60-61'!F28+'Spokane Pgs 62-63'!F28+'Tacoma-Pierce Pgs 64-65'!F28+'Thurston Pgs 66-67'!F28+'Wahkiakum Pgs 68-69'!F28+'Walla Walla Pgs 70-71'!F28+'Whatcom Pgs 72-73'!F28+'Whitman Pgs 74-75'!F28+'Yakima Pgs 76-77'!F28</f>
        <v>80419</v>
      </c>
      <c r="G28" s="7">
        <f>'Asotin Pgs 10-11'!G28+'Adams Pgs 8-9'!G28+'Benton-Franklin Pgs 12-13'!G28+'Chelan-Douglas Pgs 14-15'!G28+'Clallam Pgs 16-17'!G28+'Clark Pgs 18-19'!G28+'Columbia Pgs 20-21'!G28+'Cowlitz Pgs 22-23'!G28+'Garfield Pgs 24-25'!G28+'Grant Pgs 26-27'!G28+'Grays Harbor Pgs 28-29'!G28+'Island Pgs 30-31'!G28+'Jefferson Pgs 32-33'!G28+'Kitsap Pgs 34-35'!G28+'Kittitas Pgs 36-37'!G28+'Klickitat Pgs 38-39'!G28+'Lewis Pgs 40-41'!G28+'Lincoln Pgs 42-43'!G28+'Mason Pgs 44-45'!G28+'Northeast Tri Pgs 46-47'!G28+'Okanogan Pgs 48-49'!G28+'Pacific Pgs 50-51'!G28+'San Juan Pgs 52-53'!G28+'Seattle-King Pgs 54-55'!G28+'Skagit Pgs 56-57'!G28+'Skamania Pgs 58-59'!G28+'Snohomish Pgs 60-61'!G28+'Spokane Pgs 62-63'!G28+'Tacoma-Pierce Pgs 64-65'!G28+'Thurston Pgs 66-67'!G28+'Wahkiakum Pgs 68-69'!G28+'Walla Walla Pgs 70-71'!G28+'Whatcom Pgs 72-73'!G28+'Whitman Pgs 74-75'!G28+'Yakima Pgs 76-77'!G28</f>
        <v>0</v>
      </c>
      <c r="H28" s="15">
        <f>'Asotin Pgs 10-11'!H28+'Adams Pgs 8-9'!H28+'Benton-Franklin Pgs 12-13'!H28+'Chelan-Douglas Pgs 14-15'!H28+'Clallam Pgs 16-17'!H28+'Clark Pgs 18-19'!H28+'Columbia Pgs 20-21'!H28+'Cowlitz Pgs 22-23'!H28+'Garfield Pgs 24-25'!H28+'Grant Pgs 26-27'!H28+'Grays Harbor Pgs 28-29'!H28+'Island Pgs 30-31'!H28+'Jefferson Pgs 32-33'!H28+'Kitsap Pgs 34-35'!H28+'Kittitas Pgs 36-37'!H28+'Klickitat Pgs 38-39'!H28+'Lewis Pgs 40-41'!H28+'Lincoln Pgs 42-43'!H28+'Mason Pgs 44-45'!H28+'Northeast Tri Pgs 46-47'!H28+'Okanogan Pgs 48-49'!H28+'Pacific Pgs 50-51'!H28+'San Juan Pgs 52-53'!H28+'Seattle-King Pgs 54-55'!H28+'Skagit Pgs 56-57'!H28+'Skamania Pgs 58-59'!H28+'Snohomish Pgs 60-61'!H28+'Spokane Pgs 62-63'!H28+'Tacoma-Pierce Pgs 64-65'!H28+'Thurston Pgs 66-67'!H28+'Wahkiakum Pgs 68-69'!H28+'Walla Walla Pgs 70-71'!H28+'Whatcom Pgs 72-73'!H28+'Whitman Pgs 74-75'!H28+'Yakima Pgs 76-77'!H28</f>
        <v>0</v>
      </c>
      <c r="I28" s="7">
        <f>'Asotin Pgs 10-11'!I28+'Adams Pgs 8-9'!I28+'Benton-Franklin Pgs 12-13'!I28+'Chelan-Douglas Pgs 14-15'!I28+'Clallam Pgs 16-17'!I28+'Clark Pgs 18-19'!I28+'Columbia Pgs 20-21'!I28+'Cowlitz Pgs 22-23'!I28+'Garfield Pgs 24-25'!I28+'Grant Pgs 26-27'!I28+'Grays Harbor Pgs 28-29'!I28+'Island Pgs 30-31'!I28+'Jefferson Pgs 32-33'!I28+'Kitsap Pgs 34-35'!I28+'Kittitas Pgs 36-37'!I28+'Klickitat Pgs 38-39'!I28+'Lewis Pgs 40-41'!I28+'Lincoln Pgs 42-43'!I28+'Mason Pgs 44-45'!I28+'Northeast Tri Pgs 46-47'!I28+'Okanogan Pgs 48-49'!I28+'Pacific Pgs 50-51'!I28+'San Juan Pgs 52-53'!I28+'Seattle-King Pgs 54-55'!I28+'Skagit Pgs 56-57'!I28+'Skamania Pgs 58-59'!I28+'Snohomish Pgs 60-61'!I28+'Spokane Pgs 62-63'!I28+'Tacoma-Pierce Pgs 64-65'!I28+'Thurston Pgs 66-67'!I28+'Wahkiakum Pgs 68-69'!I28+'Walla Walla Pgs 70-71'!I28+'Whatcom Pgs 72-73'!I28+'Whitman Pgs 74-75'!I28+'Yakima Pgs 76-77'!I28</f>
        <v>0</v>
      </c>
      <c r="J28" s="15">
        <f>'Asotin Pgs 10-11'!M28+'Adams Pgs 8-9'!M28+'Benton-Franklin Pgs 12-13'!M28+'Chelan-Douglas Pgs 14-15'!M28+'Clallam Pgs 16-17'!M28+'Clark Pgs 18-19'!M28+'Columbia Pgs 20-21'!M28+'Cowlitz Pgs 22-23'!M28+'Garfield Pgs 24-25'!M28+'Grant Pgs 26-27'!M28+'Grays Harbor Pgs 28-29'!M28+'Island Pgs 30-31'!M28+'Jefferson Pgs 32-33'!M28+'Kitsap Pgs 34-35'!M28+'Kittitas Pgs 36-37'!M28+'Klickitat Pgs 38-39'!M28+'Lewis Pgs 40-41'!M28+'Lincoln Pgs 42-43'!M28+'Mason Pgs 44-45'!M28+'Northeast Tri Pgs 46-47'!M28+'Okanogan Pgs 48-49'!M28+'Pacific Pgs 50-51'!M28+'San Juan Pgs 52-53'!M28+'Seattle-King Pgs 54-55'!M28+'Skagit Pgs 56-57'!M28+'Skamania Pgs 58-59'!M28+'Snohomish Pgs 60-61'!M28+'Spokane Pgs 62-63'!M28+'Tacoma-Pierce Pgs 64-65'!M28+'Thurston Pgs 66-67'!M28+'Wahkiakum Pgs 68-69'!M28+'Walla Walla Pgs 70-71'!M28+'Whatcom Pgs 72-73'!M28+'Whitman Pgs 74-75'!M28+'Yakima Pgs 76-77'!M28</f>
        <v>634466</v>
      </c>
      <c r="K28" s="7">
        <f>'Asotin Pgs 10-11'!Q28+'Adams Pgs 8-9'!Q28+'Benton-Franklin Pgs 12-13'!Q28+'Chelan-Douglas Pgs 14-15'!Q28+'Clallam Pgs 16-17'!Q28+'Clark Pgs 18-19'!Q28+'Columbia Pgs 20-21'!Q28+'Cowlitz Pgs 22-23'!Q28+'Garfield Pgs 24-25'!Q28+'Grant Pgs 26-27'!Q28+'Grays Harbor Pgs 28-29'!Q28+'Island Pgs 30-31'!Q28+'Jefferson Pgs 32-33'!Q28+'Kitsap Pgs 34-35'!Q28+'Kittitas Pgs 36-37'!Q28+'Klickitat Pgs 38-39'!Q28+'Lewis Pgs 40-41'!Q28+'Lincoln Pgs 42-43'!Q28+'Mason Pgs 44-45'!Q28+'Northeast Tri Pgs 46-47'!Q28+'Okanogan Pgs 48-49'!Q28+'Pacific Pgs 50-51'!Q28+'San Juan Pgs 52-53'!Q28+'Seattle-King Pgs 54-55'!Q28+'Skagit Pgs 56-57'!Q28+'Skamania Pgs 58-59'!Q28+'Snohomish Pgs 60-61'!Q28+'Spokane Pgs 62-63'!Q28+'Tacoma-Pierce Pgs 64-65'!Q28+'Thurston Pgs 66-67'!Q28+'Wahkiakum Pgs 68-69'!Q28+'Walla Walla Pgs 70-71'!Q28+'Whatcom Pgs 72-73'!Q28+'Whitman Pgs 74-75'!Q28+'Yakima Pgs 76-77'!Q28</f>
        <v>156430</v>
      </c>
      <c r="L28" s="15">
        <f>'Asotin Pgs 10-11'!R28+'Adams Pgs 8-9'!R28+'Benton-Franklin Pgs 12-13'!R28+'Chelan-Douglas Pgs 14-15'!R28+'Clallam Pgs 16-17'!R28+'Clark Pgs 18-19'!R28+'Columbia Pgs 20-21'!R28+'Cowlitz Pgs 22-23'!R28+'Garfield Pgs 24-25'!R28+'Grant Pgs 26-27'!R28+'Grays Harbor Pgs 28-29'!R28+'Island Pgs 30-31'!R28+'Jefferson Pgs 32-33'!R28+'Kitsap Pgs 34-35'!R28+'Kittitas Pgs 36-37'!R28+'Klickitat Pgs 38-39'!R28+'Lewis Pgs 40-41'!R28+'Lincoln Pgs 42-43'!R28+'Mason Pgs 44-45'!R28+'Northeast Tri Pgs 46-47'!R28+'Okanogan Pgs 48-49'!R28+'Pacific Pgs 50-51'!R28+'San Juan Pgs 52-53'!R28+'Seattle-King Pgs 54-55'!R28+'Skagit Pgs 56-57'!R28+'Skamania Pgs 58-59'!R28+'Snohomish Pgs 60-61'!R28+'Spokane Pgs 62-63'!R28+'Tacoma-Pierce Pgs 64-65'!R28+'Thurston Pgs 66-67'!R28+'Wahkiakum Pgs 68-69'!R28+'Walla Walla Pgs 70-71'!R28+'Whatcom Pgs 72-73'!R28+'Whitman Pgs 74-75'!R28+'Yakima Pgs 76-77'!R28</f>
        <v>3833</v>
      </c>
    </row>
    <row r="29" spans="1:12" x14ac:dyDescent="0.3">
      <c r="A29" s="39">
        <v>562.55999999999995</v>
      </c>
      <c r="B29" s="40" t="s">
        <v>58</v>
      </c>
      <c r="C29" s="165">
        <f>'Asotin Pgs 10-11'!C29+'Adams Pgs 8-9'!C29+'Benton-Franklin Pgs 12-13'!C29+'Chelan-Douglas Pgs 14-15'!C29+'Clallam Pgs 16-17'!C29+'Clark Pgs 18-19'!C29+'Columbia Pgs 20-21'!C29+'Cowlitz Pgs 22-23'!C29+'Garfield Pgs 24-25'!C29+'Grant Pgs 26-27'!C29+'Grays Harbor Pgs 28-29'!C29+'Island Pgs 30-31'!C29+'Jefferson Pgs 32-33'!C29+'Kitsap Pgs 34-35'!C29+'Kittitas Pgs 36-37'!C29+'Klickitat Pgs 38-39'!C29+'Lewis Pgs 40-41'!C29+'Lincoln Pgs 42-43'!C29+'Mason Pgs 44-45'!C29+'Northeast Tri Pgs 46-47'!C29+'Okanogan Pgs 48-49'!C29+'Pacific Pgs 50-51'!C29+'San Juan Pgs 52-53'!C29+'Seattle-King Pgs 54-55'!C29+'Skagit Pgs 56-57'!C29+'Skamania Pgs 58-59'!C29+'Snohomish Pgs 60-61'!C29+'Spokane Pgs 62-63'!C29+'Tacoma-Pierce Pgs 64-65'!C29+'Thurston Pgs 66-67'!C29+'Wahkiakum Pgs 68-69'!C29+'Walla Walla Pgs 70-71'!C29+'Whatcom Pgs 72-73'!C29+'Whitman Pgs 74-75'!C29+'Yakima Pgs 76-77'!C29</f>
        <v>23777039.5</v>
      </c>
      <c r="D29" s="17">
        <f>'Asotin Pgs 10-11'!D29+'Adams Pgs 8-9'!D29+'Benton-Franklin Pgs 12-13'!D29+'Chelan-Douglas Pgs 14-15'!D29+'Clallam Pgs 16-17'!D29+'Clark Pgs 18-19'!D29+'Columbia Pgs 20-21'!D29+'Cowlitz Pgs 22-23'!D29+'Garfield Pgs 24-25'!D29+'Grant Pgs 26-27'!D29+'Grays Harbor Pgs 28-29'!D29+'Island Pgs 30-31'!D29+'Jefferson Pgs 32-33'!D29+'Kitsap Pgs 34-35'!D29+'Kittitas Pgs 36-37'!D29+'Klickitat Pgs 38-39'!D29+'Lewis Pgs 40-41'!D29+'Lincoln Pgs 42-43'!D29+'Mason Pgs 44-45'!D29+'Northeast Tri Pgs 46-47'!D29+'Okanogan Pgs 48-49'!D29+'Pacific Pgs 50-51'!D29+'San Juan Pgs 52-53'!D29+'Seattle-King Pgs 54-55'!D29+'Skagit Pgs 56-57'!D29+'Skamania Pgs 58-59'!D29+'Snohomish Pgs 60-61'!D29+'Spokane Pgs 62-63'!D29+'Tacoma-Pierce Pgs 64-65'!D29+'Thurston Pgs 66-67'!D29+'Wahkiakum Pgs 68-69'!D29+'Walla Walla Pgs 70-71'!D29+'Whatcom Pgs 72-73'!D29+'Whitman Pgs 74-75'!D29+'Yakima Pgs 76-77'!D29</f>
        <v>26499854.560000002</v>
      </c>
      <c r="E29" s="165">
        <f>'Asotin Pgs 10-11'!E29+'Adams Pgs 8-9'!E29+'Benton-Franklin Pgs 12-13'!E29+'Chelan-Douglas Pgs 14-15'!E29+'Clallam Pgs 16-17'!E29+'Clark Pgs 18-19'!E29+'Columbia Pgs 20-21'!E29+'Cowlitz Pgs 22-23'!E29+'Garfield Pgs 24-25'!E29+'Grant Pgs 26-27'!E29+'Grays Harbor Pgs 28-29'!E29+'Island Pgs 30-31'!E29+'Jefferson Pgs 32-33'!E29+'Kitsap Pgs 34-35'!E29+'Kittitas Pgs 36-37'!E29+'Klickitat Pgs 38-39'!E29+'Lewis Pgs 40-41'!E29+'Lincoln Pgs 42-43'!E29+'Mason Pgs 44-45'!E29+'Northeast Tri Pgs 46-47'!E29+'Okanogan Pgs 48-49'!E29+'Pacific Pgs 50-51'!E29+'San Juan Pgs 52-53'!E29+'Seattle-King Pgs 54-55'!E29+'Skagit Pgs 56-57'!E29+'Skamania Pgs 58-59'!E29+'Snohomish Pgs 60-61'!E29+'Spokane Pgs 62-63'!E29+'Tacoma-Pierce Pgs 64-65'!E29+'Thurston Pgs 66-67'!E29+'Wahkiakum Pgs 68-69'!E29+'Walla Walla Pgs 70-71'!E29+'Whatcom Pgs 72-73'!E29+'Whitman Pgs 74-75'!E29+'Yakima Pgs 76-77'!E29</f>
        <v>27195</v>
      </c>
      <c r="F29" s="8">
        <f>'Asotin Pgs 10-11'!F29+'Adams Pgs 8-9'!F29+'Benton-Franklin Pgs 12-13'!F29+'Chelan-Douglas Pgs 14-15'!F29+'Clallam Pgs 16-17'!F29+'Clark Pgs 18-19'!F29+'Columbia Pgs 20-21'!F29+'Cowlitz Pgs 22-23'!F29+'Garfield Pgs 24-25'!F29+'Grant Pgs 26-27'!F29+'Grays Harbor Pgs 28-29'!F29+'Island Pgs 30-31'!F29+'Jefferson Pgs 32-33'!F29+'Kitsap Pgs 34-35'!F29+'Kittitas Pgs 36-37'!F29+'Klickitat Pgs 38-39'!F29+'Lewis Pgs 40-41'!F29+'Lincoln Pgs 42-43'!F29+'Mason Pgs 44-45'!F29+'Northeast Tri Pgs 46-47'!F29+'Okanogan Pgs 48-49'!F29+'Pacific Pgs 50-51'!F29+'San Juan Pgs 52-53'!F29+'Seattle-King Pgs 54-55'!F29+'Skagit Pgs 56-57'!F29+'Skamania Pgs 58-59'!F29+'Snohomish Pgs 60-61'!F29+'Spokane Pgs 62-63'!F29+'Tacoma-Pierce Pgs 64-65'!F29+'Thurston Pgs 66-67'!F29+'Wahkiakum Pgs 68-69'!F29+'Walla Walla Pgs 70-71'!F29+'Whatcom Pgs 72-73'!F29+'Whitman Pgs 74-75'!F29+'Yakima Pgs 76-77'!F29</f>
        <v>571883</v>
      </c>
      <c r="G29" s="7">
        <f>'Asotin Pgs 10-11'!G29+'Adams Pgs 8-9'!G29+'Benton-Franklin Pgs 12-13'!G29+'Chelan-Douglas Pgs 14-15'!G29+'Clallam Pgs 16-17'!G29+'Clark Pgs 18-19'!G29+'Columbia Pgs 20-21'!G29+'Cowlitz Pgs 22-23'!G29+'Garfield Pgs 24-25'!G29+'Grant Pgs 26-27'!G29+'Grays Harbor Pgs 28-29'!G29+'Island Pgs 30-31'!G29+'Jefferson Pgs 32-33'!G29+'Kitsap Pgs 34-35'!G29+'Kittitas Pgs 36-37'!G29+'Klickitat Pgs 38-39'!G29+'Lewis Pgs 40-41'!G29+'Lincoln Pgs 42-43'!G29+'Mason Pgs 44-45'!G29+'Northeast Tri Pgs 46-47'!G29+'Okanogan Pgs 48-49'!G29+'Pacific Pgs 50-51'!G29+'San Juan Pgs 52-53'!G29+'Seattle-King Pgs 54-55'!G29+'Skagit Pgs 56-57'!G29+'Skamania Pgs 58-59'!G29+'Snohomish Pgs 60-61'!G29+'Spokane Pgs 62-63'!G29+'Tacoma-Pierce Pgs 64-65'!G29+'Thurston Pgs 66-67'!G29+'Wahkiakum Pgs 68-69'!G29+'Walla Walla Pgs 70-71'!G29+'Whatcom Pgs 72-73'!G29+'Whitman Pgs 74-75'!G29+'Yakima Pgs 76-77'!G29</f>
        <v>0</v>
      </c>
      <c r="H29" s="15">
        <f>'Asotin Pgs 10-11'!H29+'Adams Pgs 8-9'!H29+'Benton-Franklin Pgs 12-13'!H29+'Chelan-Douglas Pgs 14-15'!H29+'Clallam Pgs 16-17'!H29+'Clark Pgs 18-19'!H29+'Columbia Pgs 20-21'!H29+'Cowlitz Pgs 22-23'!H29+'Garfield Pgs 24-25'!H29+'Grant Pgs 26-27'!H29+'Grays Harbor Pgs 28-29'!H29+'Island Pgs 30-31'!H29+'Jefferson Pgs 32-33'!H29+'Kitsap Pgs 34-35'!H29+'Kittitas Pgs 36-37'!H29+'Klickitat Pgs 38-39'!H29+'Lewis Pgs 40-41'!H29+'Lincoln Pgs 42-43'!H29+'Mason Pgs 44-45'!H29+'Northeast Tri Pgs 46-47'!H29+'Okanogan Pgs 48-49'!H29+'Pacific Pgs 50-51'!H29+'San Juan Pgs 52-53'!H29+'Seattle-King Pgs 54-55'!H29+'Skagit Pgs 56-57'!H29+'Skamania Pgs 58-59'!H29+'Snohomish Pgs 60-61'!H29+'Spokane Pgs 62-63'!H29+'Tacoma-Pierce Pgs 64-65'!H29+'Thurston Pgs 66-67'!H29+'Wahkiakum Pgs 68-69'!H29+'Walla Walla Pgs 70-71'!H29+'Whatcom Pgs 72-73'!H29+'Whitman Pgs 74-75'!H29+'Yakima Pgs 76-77'!H29</f>
        <v>28289</v>
      </c>
      <c r="I29" s="7">
        <f>'Asotin Pgs 10-11'!I29+'Adams Pgs 8-9'!I29+'Benton-Franklin Pgs 12-13'!I29+'Chelan-Douglas Pgs 14-15'!I29+'Clallam Pgs 16-17'!I29+'Clark Pgs 18-19'!I29+'Columbia Pgs 20-21'!I29+'Cowlitz Pgs 22-23'!I29+'Garfield Pgs 24-25'!I29+'Grant Pgs 26-27'!I29+'Grays Harbor Pgs 28-29'!I29+'Island Pgs 30-31'!I29+'Jefferson Pgs 32-33'!I29+'Kitsap Pgs 34-35'!I29+'Kittitas Pgs 36-37'!I29+'Klickitat Pgs 38-39'!I29+'Lewis Pgs 40-41'!I29+'Lincoln Pgs 42-43'!I29+'Mason Pgs 44-45'!I29+'Northeast Tri Pgs 46-47'!I29+'Okanogan Pgs 48-49'!I29+'Pacific Pgs 50-51'!I29+'San Juan Pgs 52-53'!I29+'Seattle-King Pgs 54-55'!I29+'Skagit Pgs 56-57'!I29+'Skamania Pgs 58-59'!I29+'Snohomish Pgs 60-61'!I29+'Spokane Pgs 62-63'!I29+'Tacoma-Pierce Pgs 64-65'!I29+'Thurston Pgs 66-67'!I29+'Wahkiakum Pgs 68-69'!I29+'Walla Walla Pgs 70-71'!I29+'Whatcom Pgs 72-73'!I29+'Whitman Pgs 74-75'!I29+'Yakima Pgs 76-77'!I29</f>
        <v>14192</v>
      </c>
      <c r="J29" s="15">
        <f>'Asotin Pgs 10-11'!M29+'Adams Pgs 8-9'!M29+'Benton-Franklin Pgs 12-13'!M29+'Chelan-Douglas Pgs 14-15'!M29+'Clallam Pgs 16-17'!M29+'Clark Pgs 18-19'!M29+'Columbia Pgs 20-21'!M29+'Cowlitz Pgs 22-23'!M29+'Garfield Pgs 24-25'!M29+'Grant Pgs 26-27'!M29+'Grays Harbor Pgs 28-29'!M29+'Island Pgs 30-31'!M29+'Jefferson Pgs 32-33'!M29+'Kitsap Pgs 34-35'!M29+'Kittitas Pgs 36-37'!M29+'Klickitat Pgs 38-39'!M29+'Lewis Pgs 40-41'!M29+'Lincoln Pgs 42-43'!M29+'Mason Pgs 44-45'!M29+'Northeast Tri Pgs 46-47'!M29+'Okanogan Pgs 48-49'!M29+'Pacific Pgs 50-51'!M29+'San Juan Pgs 52-53'!M29+'Seattle-King Pgs 54-55'!M29+'Skagit Pgs 56-57'!M29+'Skamania Pgs 58-59'!M29+'Snohomish Pgs 60-61'!M29+'Spokane Pgs 62-63'!M29+'Tacoma-Pierce Pgs 64-65'!M29+'Thurston Pgs 66-67'!M29+'Wahkiakum Pgs 68-69'!M29+'Walla Walla Pgs 70-71'!M29+'Whatcom Pgs 72-73'!M29+'Whitman Pgs 74-75'!M29+'Yakima Pgs 76-77'!M29</f>
        <v>287186</v>
      </c>
      <c r="K29" s="7">
        <f>'Asotin Pgs 10-11'!Q29+'Adams Pgs 8-9'!Q29+'Benton-Franklin Pgs 12-13'!Q29+'Chelan-Douglas Pgs 14-15'!Q29+'Clallam Pgs 16-17'!Q29+'Clark Pgs 18-19'!Q29+'Columbia Pgs 20-21'!Q29+'Cowlitz Pgs 22-23'!Q29+'Garfield Pgs 24-25'!Q29+'Grant Pgs 26-27'!Q29+'Grays Harbor Pgs 28-29'!Q29+'Island Pgs 30-31'!Q29+'Jefferson Pgs 32-33'!Q29+'Kitsap Pgs 34-35'!Q29+'Kittitas Pgs 36-37'!Q29+'Klickitat Pgs 38-39'!Q29+'Lewis Pgs 40-41'!Q29+'Lincoln Pgs 42-43'!Q29+'Mason Pgs 44-45'!Q29+'Northeast Tri Pgs 46-47'!Q29+'Okanogan Pgs 48-49'!Q29+'Pacific Pgs 50-51'!Q29+'San Juan Pgs 52-53'!Q29+'Seattle-King Pgs 54-55'!Q29+'Skagit Pgs 56-57'!Q29+'Skamania Pgs 58-59'!Q29+'Snohomish Pgs 60-61'!Q29+'Spokane Pgs 62-63'!Q29+'Tacoma-Pierce Pgs 64-65'!Q29+'Thurston Pgs 66-67'!Q29+'Wahkiakum Pgs 68-69'!Q29+'Walla Walla Pgs 70-71'!Q29+'Whatcom Pgs 72-73'!Q29+'Whitman Pgs 74-75'!Q29+'Yakima Pgs 76-77'!Q29</f>
        <v>25543198.560000002</v>
      </c>
      <c r="L29" s="15">
        <f>'Asotin Pgs 10-11'!R29+'Adams Pgs 8-9'!R29+'Benton-Franklin Pgs 12-13'!R29+'Chelan-Douglas Pgs 14-15'!R29+'Clallam Pgs 16-17'!R29+'Clark Pgs 18-19'!R29+'Columbia Pgs 20-21'!R29+'Cowlitz Pgs 22-23'!R29+'Garfield Pgs 24-25'!R29+'Grant Pgs 26-27'!R29+'Grays Harbor Pgs 28-29'!R29+'Island Pgs 30-31'!R29+'Jefferson Pgs 32-33'!R29+'Kitsap Pgs 34-35'!R29+'Kittitas Pgs 36-37'!R29+'Klickitat Pgs 38-39'!R29+'Lewis Pgs 40-41'!R29+'Lincoln Pgs 42-43'!R29+'Mason Pgs 44-45'!R29+'Northeast Tri Pgs 46-47'!R29+'Okanogan Pgs 48-49'!R29+'Pacific Pgs 50-51'!R29+'San Juan Pgs 52-53'!R29+'Seattle-King Pgs 54-55'!R29+'Skagit Pgs 56-57'!R29+'Skamania Pgs 58-59'!R29+'Snohomish Pgs 60-61'!R29+'Spokane Pgs 62-63'!R29+'Tacoma-Pierce Pgs 64-65'!R29+'Thurston Pgs 66-67'!R29+'Wahkiakum Pgs 68-69'!R29+'Walla Walla Pgs 70-71'!R29+'Whatcom Pgs 72-73'!R29+'Whitman Pgs 74-75'!R29+'Yakima Pgs 76-77'!R29</f>
        <v>27911</v>
      </c>
    </row>
    <row r="30" spans="1:12" x14ac:dyDescent="0.3">
      <c r="A30" s="39">
        <v>562.57000000000005</v>
      </c>
      <c r="B30" s="141" t="s">
        <v>101</v>
      </c>
      <c r="C30" s="165">
        <f>'Asotin Pgs 10-11'!C30+'Adams Pgs 8-9'!C30+'Benton-Franklin Pgs 12-13'!C30+'Chelan-Douglas Pgs 14-15'!C30+'Clallam Pgs 16-17'!C30+'Clark Pgs 18-19'!C30+'Columbia Pgs 20-21'!C30+'Cowlitz Pgs 22-23'!C30+'Garfield Pgs 24-25'!C30+'Grant Pgs 26-27'!C30+'Grays Harbor Pgs 28-29'!C30+'Island Pgs 30-31'!C30+'Jefferson Pgs 32-33'!C30+'Kitsap Pgs 34-35'!C30+'Kittitas Pgs 36-37'!C30+'Klickitat Pgs 38-39'!C30+'Lewis Pgs 40-41'!C30+'Lincoln Pgs 42-43'!C30+'Mason Pgs 44-45'!C30+'Northeast Tri Pgs 46-47'!C30+'Okanogan Pgs 48-49'!C30+'Pacific Pgs 50-51'!C30+'San Juan Pgs 52-53'!C30+'Seattle-King Pgs 54-55'!C30+'Skagit Pgs 56-57'!C30+'Skamania Pgs 58-59'!C30+'Snohomish Pgs 60-61'!C30+'Spokane Pgs 62-63'!C30+'Tacoma-Pierce Pgs 64-65'!C30+'Thurston Pgs 66-67'!C30+'Wahkiakum Pgs 68-69'!C30+'Walla Walla Pgs 70-71'!C30+'Whatcom Pgs 72-73'!C30+'Whitman Pgs 74-75'!C30+'Yakima Pgs 76-77'!C30</f>
        <v>957348</v>
      </c>
      <c r="D30" s="17">
        <f>'Asotin Pgs 10-11'!D30+'Adams Pgs 8-9'!D30+'Benton-Franklin Pgs 12-13'!D30+'Chelan-Douglas Pgs 14-15'!D30+'Clallam Pgs 16-17'!D30+'Clark Pgs 18-19'!D30+'Columbia Pgs 20-21'!D30+'Cowlitz Pgs 22-23'!D30+'Garfield Pgs 24-25'!D30+'Grant Pgs 26-27'!D30+'Grays Harbor Pgs 28-29'!D30+'Island Pgs 30-31'!D30+'Jefferson Pgs 32-33'!D30+'Kitsap Pgs 34-35'!D30+'Kittitas Pgs 36-37'!D30+'Klickitat Pgs 38-39'!D30+'Lewis Pgs 40-41'!D30+'Lincoln Pgs 42-43'!D30+'Mason Pgs 44-45'!D30+'Northeast Tri Pgs 46-47'!D30+'Okanogan Pgs 48-49'!D30+'Pacific Pgs 50-51'!D30+'San Juan Pgs 52-53'!D30+'Seattle-King Pgs 54-55'!D30+'Skagit Pgs 56-57'!D30+'Skamania Pgs 58-59'!D30+'Snohomish Pgs 60-61'!D30+'Spokane Pgs 62-63'!D30+'Tacoma-Pierce Pgs 64-65'!D30+'Thurston Pgs 66-67'!D30+'Wahkiakum Pgs 68-69'!D30+'Walla Walla Pgs 70-71'!D30+'Whatcom Pgs 72-73'!D30+'Whitman Pgs 74-75'!D30+'Yakima Pgs 76-77'!D30</f>
        <v>804379</v>
      </c>
      <c r="E30" s="165">
        <f>'Asotin Pgs 10-11'!E30+'Adams Pgs 8-9'!E30+'Benton-Franklin Pgs 12-13'!E30+'Chelan-Douglas Pgs 14-15'!E30+'Clallam Pgs 16-17'!E30+'Clark Pgs 18-19'!E30+'Columbia Pgs 20-21'!E30+'Cowlitz Pgs 22-23'!E30+'Garfield Pgs 24-25'!E30+'Grant Pgs 26-27'!E30+'Grays Harbor Pgs 28-29'!E30+'Island Pgs 30-31'!E30+'Jefferson Pgs 32-33'!E30+'Kitsap Pgs 34-35'!E30+'Kittitas Pgs 36-37'!E30+'Klickitat Pgs 38-39'!E30+'Lewis Pgs 40-41'!E30+'Lincoln Pgs 42-43'!E30+'Mason Pgs 44-45'!E30+'Northeast Tri Pgs 46-47'!E30+'Okanogan Pgs 48-49'!E30+'Pacific Pgs 50-51'!E30+'San Juan Pgs 52-53'!E30+'Seattle-King Pgs 54-55'!E30+'Skagit Pgs 56-57'!E30+'Skamania Pgs 58-59'!E30+'Snohomish Pgs 60-61'!E30+'Spokane Pgs 62-63'!E30+'Tacoma-Pierce Pgs 64-65'!E30+'Thurston Pgs 66-67'!E30+'Wahkiakum Pgs 68-69'!E30+'Walla Walla Pgs 70-71'!E30+'Whatcom Pgs 72-73'!E30+'Whitman Pgs 74-75'!E30+'Yakima Pgs 76-77'!E30</f>
        <v>0</v>
      </c>
      <c r="F30" s="8">
        <f>'Asotin Pgs 10-11'!F30+'Adams Pgs 8-9'!F30+'Benton-Franklin Pgs 12-13'!F30+'Chelan-Douglas Pgs 14-15'!F30+'Clallam Pgs 16-17'!F30+'Clark Pgs 18-19'!F30+'Columbia Pgs 20-21'!F30+'Cowlitz Pgs 22-23'!F30+'Garfield Pgs 24-25'!F30+'Grant Pgs 26-27'!F30+'Grays Harbor Pgs 28-29'!F30+'Island Pgs 30-31'!F30+'Jefferson Pgs 32-33'!F30+'Kitsap Pgs 34-35'!F30+'Kittitas Pgs 36-37'!F30+'Klickitat Pgs 38-39'!F30+'Lewis Pgs 40-41'!F30+'Lincoln Pgs 42-43'!F30+'Mason Pgs 44-45'!F30+'Northeast Tri Pgs 46-47'!F30+'Okanogan Pgs 48-49'!F30+'Pacific Pgs 50-51'!F30+'San Juan Pgs 52-53'!F30+'Seattle-King Pgs 54-55'!F30+'Skagit Pgs 56-57'!F30+'Skamania Pgs 58-59'!F30+'Snohomish Pgs 60-61'!F30+'Spokane Pgs 62-63'!F30+'Tacoma-Pierce Pgs 64-65'!F30+'Thurston Pgs 66-67'!F30+'Wahkiakum Pgs 68-69'!F30+'Walla Walla Pgs 70-71'!F30+'Whatcom Pgs 72-73'!F30+'Whitman Pgs 74-75'!F30+'Yakima Pgs 76-77'!F30</f>
        <v>2652</v>
      </c>
      <c r="G30" s="7">
        <f>'Asotin Pgs 10-11'!G30+'Adams Pgs 8-9'!G30+'Benton-Franklin Pgs 12-13'!G30+'Chelan-Douglas Pgs 14-15'!G30+'Clallam Pgs 16-17'!G30+'Clark Pgs 18-19'!G30+'Columbia Pgs 20-21'!G30+'Cowlitz Pgs 22-23'!G30+'Garfield Pgs 24-25'!G30+'Grant Pgs 26-27'!G30+'Grays Harbor Pgs 28-29'!G30+'Island Pgs 30-31'!G30+'Jefferson Pgs 32-33'!G30+'Kitsap Pgs 34-35'!G30+'Kittitas Pgs 36-37'!G30+'Klickitat Pgs 38-39'!G30+'Lewis Pgs 40-41'!G30+'Lincoln Pgs 42-43'!G30+'Mason Pgs 44-45'!G30+'Northeast Tri Pgs 46-47'!G30+'Okanogan Pgs 48-49'!G30+'Pacific Pgs 50-51'!G30+'San Juan Pgs 52-53'!G30+'Seattle-King Pgs 54-55'!G30+'Skagit Pgs 56-57'!G30+'Skamania Pgs 58-59'!G30+'Snohomish Pgs 60-61'!G30+'Spokane Pgs 62-63'!G30+'Tacoma-Pierce Pgs 64-65'!G30+'Thurston Pgs 66-67'!G30+'Wahkiakum Pgs 68-69'!G30+'Walla Walla Pgs 70-71'!G30+'Whatcom Pgs 72-73'!G30+'Whitman Pgs 74-75'!G30+'Yakima Pgs 76-77'!G30</f>
        <v>337349</v>
      </c>
      <c r="H30" s="15">
        <f>'Asotin Pgs 10-11'!H30+'Adams Pgs 8-9'!H30+'Benton-Franklin Pgs 12-13'!H30+'Chelan-Douglas Pgs 14-15'!H30+'Clallam Pgs 16-17'!H30+'Clark Pgs 18-19'!H30+'Columbia Pgs 20-21'!H30+'Cowlitz Pgs 22-23'!H30+'Garfield Pgs 24-25'!H30+'Grant Pgs 26-27'!H30+'Grays Harbor Pgs 28-29'!H30+'Island Pgs 30-31'!H30+'Jefferson Pgs 32-33'!H30+'Kitsap Pgs 34-35'!H30+'Kittitas Pgs 36-37'!H30+'Klickitat Pgs 38-39'!H30+'Lewis Pgs 40-41'!H30+'Lincoln Pgs 42-43'!H30+'Mason Pgs 44-45'!H30+'Northeast Tri Pgs 46-47'!H30+'Okanogan Pgs 48-49'!H30+'Pacific Pgs 50-51'!H30+'San Juan Pgs 52-53'!H30+'Seattle-King Pgs 54-55'!H30+'Skagit Pgs 56-57'!H30+'Skamania Pgs 58-59'!H30+'Snohomish Pgs 60-61'!H30+'Spokane Pgs 62-63'!H30+'Tacoma-Pierce Pgs 64-65'!H30+'Thurston Pgs 66-67'!H30+'Wahkiakum Pgs 68-69'!H30+'Walla Walla Pgs 70-71'!H30+'Whatcom Pgs 72-73'!H30+'Whitman Pgs 74-75'!H30+'Yakima Pgs 76-77'!H30</f>
        <v>0</v>
      </c>
      <c r="I30" s="7">
        <f>'Asotin Pgs 10-11'!I30+'Adams Pgs 8-9'!I30+'Benton-Franklin Pgs 12-13'!I30+'Chelan-Douglas Pgs 14-15'!I30+'Clallam Pgs 16-17'!I30+'Clark Pgs 18-19'!I30+'Columbia Pgs 20-21'!I30+'Cowlitz Pgs 22-23'!I30+'Garfield Pgs 24-25'!I30+'Grant Pgs 26-27'!I30+'Grays Harbor Pgs 28-29'!I30+'Island Pgs 30-31'!I30+'Jefferson Pgs 32-33'!I30+'Kitsap Pgs 34-35'!I30+'Kittitas Pgs 36-37'!I30+'Klickitat Pgs 38-39'!I30+'Lewis Pgs 40-41'!I30+'Lincoln Pgs 42-43'!I30+'Mason Pgs 44-45'!I30+'Northeast Tri Pgs 46-47'!I30+'Okanogan Pgs 48-49'!I30+'Pacific Pgs 50-51'!I30+'San Juan Pgs 52-53'!I30+'Seattle-King Pgs 54-55'!I30+'Skagit Pgs 56-57'!I30+'Skamania Pgs 58-59'!I30+'Snohomish Pgs 60-61'!I30+'Spokane Pgs 62-63'!I30+'Tacoma-Pierce Pgs 64-65'!I30+'Thurston Pgs 66-67'!I30+'Wahkiakum Pgs 68-69'!I30+'Walla Walla Pgs 70-71'!I30+'Whatcom Pgs 72-73'!I30+'Whitman Pgs 74-75'!I30+'Yakima Pgs 76-77'!I30</f>
        <v>32121</v>
      </c>
      <c r="J30" s="15">
        <f>'Asotin Pgs 10-11'!M30+'Adams Pgs 8-9'!M30+'Benton-Franklin Pgs 12-13'!M30+'Chelan-Douglas Pgs 14-15'!M30+'Clallam Pgs 16-17'!M30+'Clark Pgs 18-19'!M30+'Columbia Pgs 20-21'!M30+'Cowlitz Pgs 22-23'!M30+'Garfield Pgs 24-25'!M30+'Grant Pgs 26-27'!M30+'Grays Harbor Pgs 28-29'!M30+'Island Pgs 30-31'!M30+'Jefferson Pgs 32-33'!M30+'Kitsap Pgs 34-35'!M30+'Kittitas Pgs 36-37'!M30+'Klickitat Pgs 38-39'!M30+'Lewis Pgs 40-41'!M30+'Lincoln Pgs 42-43'!M30+'Mason Pgs 44-45'!M30+'Northeast Tri Pgs 46-47'!M30+'Okanogan Pgs 48-49'!M30+'Pacific Pgs 50-51'!M30+'San Juan Pgs 52-53'!M30+'Seattle-King Pgs 54-55'!M30+'Skagit Pgs 56-57'!M30+'Skamania Pgs 58-59'!M30+'Snohomish Pgs 60-61'!M30+'Spokane Pgs 62-63'!M30+'Tacoma-Pierce Pgs 64-65'!M30+'Thurston Pgs 66-67'!M30+'Wahkiakum Pgs 68-69'!M30+'Walla Walla Pgs 70-71'!M30+'Whatcom Pgs 72-73'!M30+'Whitman Pgs 74-75'!M30+'Yakima Pgs 76-77'!M30</f>
        <v>4536</v>
      </c>
      <c r="K30" s="7">
        <f>'Asotin Pgs 10-11'!Q30+'Adams Pgs 8-9'!Q30+'Benton-Franklin Pgs 12-13'!Q30+'Chelan-Douglas Pgs 14-15'!Q30+'Clallam Pgs 16-17'!Q30+'Clark Pgs 18-19'!Q30+'Columbia Pgs 20-21'!Q30+'Cowlitz Pgs 22-23'!Q30+'Garfield Pgs 24-25'!Q30+'Grant Pgs 26-27'!Q30+'Grays Harbor Pgs 28-29'!Q30+'Island Pgs 30-31'!Q30+'Jefferson Pgs 32-33'!Q30+'Kitsap Pgs 34-35'!Q30+'Kittitas Pgs 36-37'!Q30+'Klickitat Pgs 38-39'!Q30+'Lewis Pgs 40-41'!Q30+'Lincoln Pgs 42-43'!Q30+'Mason Pgs 44-45'!Q30+'Northeast Tri Pgs 46-47'!Q30+'Okanogan Pgs 48-49'!Q30+'Pacific Pgs 50-51'!Q30+'San Juan Pgs 52-53'!Q30+'Seattle-King Pgs 54-55'!Q30+'Skagit Pgs 56-57'!Q30+'Skamania Pgs 58-59'!Q30+'Snohomish Pgs 60-61'!Q30+'Spokane Pgs 62-63'!Q30+'Tacoma-Pierce Pgs 64-65'!Q30+'Thurston Pgs 66-67'!Q30+'Wahkiakum Pgs 68-69'!Q30+'Walla Walla Pgs 70-71'!Q30+'Whatcom Pgs 72-73'!Q30+'Whitman Pgs 74-75'!Q30+'Yakima Pgs 76-77'!Q30</f>
        <v>427537</v>
      </c>
      <c r="L30" s="15">
        <f>'Asotin Pgs 10-11'!R30+'Adams Pgs 8-9'!R30+'Benton-Franklin Pgs 12-13'!R30+'Chelan-Douglas Pgs 14-15'!R30+'Clallam Pgs 16-17'!R30+'Clark Pgs 18-19'!R30+'Columbia Pgs 20-21'!R30+'Cowlitz Pgs 22-23'!R30+'Garfield Pgs 24-25'!R30+'Grant Pgs 26-27'!R30+'Grays Harbor Pgs 28-29'!R30+'Island Pgs 30-31'!R30+'Jefferson Pgs 32-33'!R30+'Kitsap Pgs 34-35'!R30+'Kittitas Pgs 36-37'!R30+'Klickitat Pgs 38-39'!R30+'Lewis Pgs 40-41'!R30+'Lincoln Pgs 42-43'!R30+'Mason Pgs 44-45'!R30+'Northeast Tri Pgs 46-47'!R30+'Okanogan Pgs 48-49'!R30+'Pacific Pgs 50-51'!R30+'San Juan Pgs 52-53'!R30+'Seattle-King Pgs 54-55'!R30+'Skagit Pgs 56-57'!R30+'Skamania Pgs 58-59'!R30+'Snohomish Pgs 60-61'!R30+'Spokane Pgs 62-63'!R30+'Tacoma-Pierce Pgs 64-65'!R30+'Thurston Pgs 66-67'!R30+'Wahkiakum Pgs 68-69'!R30+'Walla Walla Pgs 70-71'!R30+'Whatcom Pgs 72-73'!R30+'Whitman Pgs 74-75'!R30+'Yakima Pgs 76-77'!R30</f>
        <v>184</v>
      </c>
    </row>
    <row r="31" spans="1:12" x14ac:dyDescent="0.3">
      <c r="A31" s="39">
        <v>562.58000000000004</v>
      </c>
      <c r="B31" s="141" t="s">
        <v>88</v>
      </c>
      <c r="C31" s="165">
        <f>'Asotin Pgs 10-11'!C31+'Adams Pgs 8-9'!C31+'Benton-Franklin Pgs 12-13'!C31+'Chelan-Douglas Pgs 14-15'!C31+'Clallam Pgs 16-17'!C31+'Clark Pgs 18-19'!C31+'Columbia Pgs 20-21'!C31+'Cowlitz Pgs 22-23'!C31+'Garfield Pgs 24-25'!C31+'Grant Pgs 26-27'!C31+'Grays Harbor Pgs 28-29'!C31+'Island Pgs 30-31'!C31+'Jefferson Pgs 32-33'!C31+'Kitsap Pgs 34-35'!C31+'Kittitas Pgs 36-37'!C31+'Klickitat Pgs 38-39'!C31+'Lewis Pgs 40-41'!C31+'Lincoln Pgs 42-43'!C31+'Mason Pgs 44-45'!C31+'Northeast Tri Pgs 46-47'!C31+'Okanogan Pgs 48-49'!C31+'Pacific Pgs 50-51'!C31+'San Juan Pgs 52-53'!C31+'Seattle-King Pgs 54-55'!C31+'Skagit Pgs 56-57'!C31+'Skamania Pgs 58-59'!C31+'Snohomish Pgs 60-61'!C31+'Spokane Pgs 62-63'!C31+'Tacoma-Pierce Pgs 64-65'!C31+'Thurston Pgs 66-67'!C31+'Wahkiakum Pgs 68-69'!C31+'Walla Walla Pgs 70-71'!C31+'Whatcom Pgs 72-73'!C31+'Whitman Pgs 74-75'!C31+'Yakima Pgs 76-77'!C31</f>
        <v>2801376.55</v>
      </c>
      <c r="D31" s="17">
        <f>'Asotin Pgs 10-11'!D31+'Adams Pgs 8-9'!D31+'Benton-Franklin Pgs 12-13'!D31+'Chelan-Douglas Pgs 14-15'!D31+'Clallam Pgs 16-17'!D31+'Clark Pgs 18-19'!D31+'Columbia Pgs 20-21'!D31+'Cowlitz Pgs 22-23'!D31+'Garfield Pgs 24-25'!D31+'Grant Pgs 26-27'!D31+'Grays Harbor Pgs 28-29'!D31+'Island Pgs 30-31'!D31+'Jefferson Pgs 32-33'!D31+'Kitsap Pgs 34-35'!D31+'Kittitas Pgs 36-37'!D31+'Klickitat Pgs 38-39'!D31+'Lewis Pgs 40-41'!D31+'Lincoln Pgs 42-43'!D31+'Mason Pgs 44-45'!D31+'Northeast Tri Pgs 46-47'!D31+'Okanogan Pgs 48-49'!D31+'Pacific Pgs 50-51'!D31+'San Juan Pgs 52-53'!D31+'Seattle-King Pgs 54-55'!D31+'Skagit Pgs 56-57'!D31+'Skamania Pgs 58-59'!D31+'Snohomish Pgs 60-61'!D31+'Spokane Pgs 62-63'!D31+'Tacoma-Pierce Pgs 64-65'!D31+'Thurston Pgs 66-67'!D31+'Wahkiakum Pgs 68-69'!D31+'Walla Walla Pgs 70-71'!D31+'Whatcom Pgs 72-73'!D31+'Whitman Pgs 74-75'!D31+'Yakima Pgs 76-77'!D31</f>
        <v>3478532.71</v>
      </c>
      <c r="E31" s="165">
        <f>'Asotin Pgs 10-11'!E31+'Adams Pgs 8-9'!E31+'Benton-Franklin Pgs 12-13'!E31+'Chelan-Douglas Pgs 14-15'!E31+'Clallam Pgs 16-17'!E31+'Clark Pgs 18-19'!E31+'Columbia Pgs 20-21'!E31+'Cowlitz Pgs 22-23'!E31+'Garfield Pgs 24-25'!E31+'Grant Pgs 26-27'!E31+'Grays Harbor Pgs 28-29'!E31+'Island Pgs 30-31'!E31+'Jefferson Pgs 32-33'!E31+'Kitsap Pgs 34-35'!E31+'Kittitas Pgs 36-37'!E31+'Klickitat Pgs 38-39'!E31+'Lewis Pgs 40-41'!E31+'Lincoln Pgs 42-43'!E31+'Mason Pgs 44-45'!E31+'Northeast Tri Pgs 46-47'!E31+'Okanogan Pgs 48-49'!E31+'Pacific Pgs 50-51'!E31+'San Juan Pgs 52-53'!E31+'Seattle-King Pgs 54-55'!E31+'Skagit Pgs 56-57'!E31+'Skamania Pgs 58-59'!E31+'Snohomish Pgs 60-61'!E31+'Spokane Pgs 62-63'!E31+'Tacoma-Pierce Pgs 64-65'!E31+'Thurston Pgs 66-67'!E31+'Wahkiakum Pgs 68-69'!E31+'Walla Walla Pgs 70-71'!E31+'Whatcom Pgs 72-73'!E31+'Whitman Pgs 74-75'!E31+'Yakima Pgs 76-77'!E31</f>
        <v>6233</v>
      </c>
      <c r="F31" s="8">
        <f>'Asotin Pgs 10-11'!F31+'Adams Pgs 8-9'!F31+'Benton-Franklin Pgs 12-13'!F31+'Chelan-Douglas Pgs 14-15'!F31+'Clallam Pgs 16-17'!F31+'Clark Pgs 18-19'!F31+'Columbia Pgs 20-21'!F31+'Cowlitz Pgs 22-23'!F31+'Garfield Pgs 24-25'!F31+'Grant Pgs 26-27'!F31+'Grays Harbor Pgs 28-29'!F31+'Island Pgs 30-31'!F31+'Jefferson Pgs 32-33'!F31+'Kitsap Pgs 34-35'!F31+'Kittitas Pgs 36-37'!F31+'Klickitat Pgs 38-39'!F31+'Lewis Pgs 40-41'!F31+'Lincoln Pgs 42-43'!F31+'Mason Pgs 44-45'!F31+'Northeast Tri Pgs 46-47'!F31+'Okanogan Pgs 48-49'!F31+'Pacific Pgs 50-51'!F31+'San Juan Pgs 52-53'!F31+'Seattle-King Pgs 54-55'!F31+'Skagit Pgs 56-57'!F31+'Skamania Pgs 58-59'!F31+'Snohomish Pgs 60-61'!F31+'Spokane Pgs 62-63'!F31+'Tacoma-Pierce Pgs 64-65'!F31+'Thurston Pgs 66-67'!F31+'Wahkiakum Pgs 68-69'!F31+'Walla Walla Pgs 70-71'!F31+'Whatcom Pgs 72-73'!F31+'Whitman Pgs 74-75'!F31+'Yakima Pgs 76-77'!F31</f>
        <v>54511</v>
      </c>
      <c r="G31" s="7">
        <f>'Asotin Pgs 10-11'!G31+'Adams Pgs 8-9'!G31+'Benton-Franklin Pgs 12-13'!G31+'Chelan-Douglas Pgs 14-15'!G31+'Clallam Pgs 16-17'!G31+'Clark Pgs 18-19'!G31+'Columbia Pgs 20-21'!G31+'Cowlitz Pgs 22-23'!G31+'Garfield Pgs 24-25'!G31+'Grant Pgs 26-27'!G31+'Grays Harbor Pgs 28-29'!G31+'Island Pgs 30-31'!G31+'Jefferson Pgs 32-33'!G31+'Kitsap Pgs 34-35'!G31+'Kittitas Pgs 36-37'!G31+'Klickitat Pgs 38-39'!G31+'Lewis Pgs 40-41'!G31+'Lincoln Pgs 42-43'!G31+'Mason Pgs 44-45'!G31+'Northeast Tri Pgs 46-47'!G31+'Okanogan Pgs 48-49'!G31+'Pacific Pgs 50-51'!G31+'San Juan Pgs 52-53'!G31+'Seattle-King Pgs 54-55'!G31+'Skagit Pgs 56-57'!G31+'Skamania Pgs 58-59'!G31+'Snohomish Pgs 60-61'!G31+'Spokane Pgs 62-63'!G31+'Tacoma-Pierce Pgs 64-65'!G31+'Thurston Pgs 66-67'!G31+'Wahkiakum Pgs 68-69'!G31+'Walla Walla Pgs 70-71'!G31+'Whatcom Pgs 72-73'!G31+'Whitman Pgs 74-75'!G31+'Yakima Pgs 76-77'!G31</f>
        <v>25000</v>
      </c>
      <c r="H31" s="15">
        <f>'Asotin Pgs 10-11'!H31+'Adams Pgs 8-9'!H31+'Benton-Franklin Pgs 12-13'!H31+'Chelan-Douglas Pgs 14-15'!H31+'Clallam Pgs 16-17'!H31+'Clark Pgs 18-19'!H31+'Columbia Pgs 20-21'!H31+'Cowlitz Pgs 22-23'!H31+'Garfield Pgs 24-25'!H31+'Grant Pgs 26-27'!H31+'Grays Harbor Pgs 28-29'!H31+'Island Pgs 30-31'!H31+'Jefferson Pgs 32-33'!H31+'Kitsap Pgs 34-35'!H31+'Kittitas Pgs 36-37'!H31+'Klickitat Pgs 38-39'!H31+'Lewis Pgs 40-41'!H31+'Lincoln Pgs 42-43'!H31+'Mason Pgs 44-45'!H31+'Northeast Tri Pgs 46-47'!H31+'Okanogan Pgs 48-49'!H31+'Pacific Pgs 50-51'!H31+'San Juan Pgs 52-53'!H31+'Seattle-King Pgs 54-55'!H31+'Skagit Pgs 56-57'!H31+'Skamania Pgs 58-59'!H31+'Snohomish Pgs 60-61'!H31+'Spokane Pgs 62-63'!H31+'Tacoma-Pierce Pgs 64-65'!H31+'Thurston Pgs 66-67'!H31+'Wahkiakum Pgs 68-69'!H31+'Walla Walla Pgs 70-71'!H31+'Whatcom Pgs 72-73'!H31+'Whitman Pgs 74-75'!H31+'Yakima Pgs 76-77'!H31</f>
        <v>12911</v>
      </c>
      <c r="I31" s="7">
        <f>'Asotin Pgs 10-11'!I31+'Adams Pgs 8-9'!I31+'Benton-Franklin Pgs 12-13'!I31+'Chelan-Douglas Pgs 14-15'!I31+'Clallam Pgs 16-17'!I31+'Clark Pgs 18-19'!I31+'Columbia Pgs 20-21'!I31+'Cowlitz Pgs 22-23'!I31+'Garfield Pgs 24-25'!I31+'Grant Pgs 26-27'!I31+'Grays Harbor Pgs 28-29'!I31+'Island Pgs 30-31'!I31+'Jefferson Pgs 32-33'!I31+'Kitsap Pgs 34-35'!I31+'Kittitas Pgs 36-37'!I31+'Klickitat Pgs 38-39'!I31+'Lewis Pgs 40-41'!I31+'Lincoln Pgs 42-43'!I31+'Mason Pgs 44-45'!I31+'Northeast Tri Pgs 46-47'!I31+'Okanogan Pgs 48-49'!I31+'Pacific Pgs 50-51'!I31+'San Juan Pgs 52-53'!I31+'Seattle-King Pgs 54-55'!I31+'Skagit Pgs 56-57'!I31+'Skamania Pgs 58-59'!I31+'Snohomish Pgs 60-61'!I31+'Spokane Pgs 62-63'!I31+'Tacoma-Pierce Pgs 64-65'!I31+'Thurston Pgs 66-67'!I31+'Wahkiakum Pgs 68-69'!I31+'Walla Walla Pgs 70-71'!I31+'Whatcom Pgs 72-73'!I31+'Whitman Pgs 74-75'!I31+'Yakima Pgs 76-77'!I31</f>
        <v>26558</v>
      </c>
      <c r="J31" s="15">
        <f>'Asotin Pgs 10-11'!M31+'Adams Pgs 8-9'!M31+'Benton-Franklin Pgs 12-13'!M31+'Chelan-Douglas Pgs 14-15'!M31+'Clallam Pgs 16-17'!M31+'Clark Pgs 18-19'!M31+'Columbia Pgs 20-21'!M31+'Cowlitz Pgs 22-23'!M31+'Garfield Pgs 24-25'!M31+'Grant Pgs 26-27'!M31+'Grays Harbor Pgs 28-29'!M31+'Island Pgs 30-31'!M31+'Jefferson Pgs 32-33'!M31+'Kitsap Pgs 34-35'!M31+'Kittitas Pgs 36-37'!M31+'Klickitat Pgs 38-39'!M31+'Lewis Pgs 40-41'!M31+'Lincoln Pgs 42-43'!M31+'Mason Pgs 44-45'!M31+'Northeast Tri Pgs 46-47'!M31+'Okanogan Pgs 48-49'!M31+'Pacific Pgs 50-51'!M31+'San Juan Pgs 52-53'!M31+'Seattle-King Pgs 54-55'!M31+'Skagit Pgs 56-57'!M31+'Skamania Pgs 58-59'!M31+'Snohomish Pgs 60-61'!M31+'Spokane Pgs 62-63'!M31+'Tacoma-Pierce Pgs 64-65'!M31+'Thurston Pgs 66-67'!M31+'Wahkiakum Pgs 68-69'!M31+'Walla Walla Pgs 70-71'!M31+'Whatcom Pgs 72-73'!M31+'Whitman Pgs 74-75'!M31+'Yakima Pgs 76-77'!M31</f>
        <v>358370</v>
      </c>
      <c r="K31" s="7">
        <f>'Asotin Pgs 10-11'!Q31+'Adams Pgs 8-9'!Q31+'Benton-Franklin Pgs 12-13'!Q31+'Chelan-Douglas Pgs 14-15'!Q31+'Clallam Pgs 16-17'!Q31+'Clark Pgs 18-19'!Q31+'Columbia Pgs 20-21'!Q31+'Cowlitz Pgs 22-23'!Q31+'Garfield Pgs 24-25'!Q31+'Grant Pgs 26-27'!Q31+'Grays Harbor Pgs 28-29'!Q31+'Island Pgs 30-31'!Q31+'Jefferson Pgs 32-33'!Q31+'Kitsap Pgs 34-35'!Q31+'Kittitas Pgs 36-37'!Q31+'Klickitat Pgs 38-39'!Q31+'Lewis Pgs 40-41'!Q31+'Lincoln Pgs 42-43'!Q31+'Mason Pgs 44-45'!Q31+'Northeast Tri Pgs 46-47'!Q31+'Okanogan Pgs 48-49'!Q31+'Pacific Pgs 50-51'!Q31+'San Juan Pgs 52-53'!Q31+'Seattle-King Pgs 54-55'!Q31+'Skagit Pgs 56-57'!Q31+'Skamania Pgs 58-59'!Q31+'Snohomish Pgs 60-61'!Q31+'Spokane Pgs 62-63'!Q31+'Tacoma-Pierce Pgs 64-65'!Q31+'Thurston Pgs 66-67'!Q31+'Wahkiakum Pgs 68-69'!Q31+'Walla Walla Pgs 70-71'!Q31+'Whatcom Pgs 72-73'!Q31+'Whitman Pgs 74-75'!Q31+'Yakima Pgs 76-77'!Q31</f>
        <v>3018664.71</v>
      </c>
      <c r="L31" s="15">
        <f>'Asotin Pgs 10-11'!R31+'Adams Pgs 8-9'!R31+'Benton-Franklin Pgs 12-13'!R31+'Chelan-Douglas Pgs 14-15'!R31+'Clallam Pgs 16-17'!R31+'Clark Pgs 18-19'!R31+'Columbia Pgs 20-21'!R31+'Cowlitz Pgs 22-23'!R31+'Garfield Pgs 24-25'!R31+'Grant Pgs 26-27'!R31+'Grays Harbor Pgs 28-29'!R31+'Island Pgs 30-31'!R31+'Jefferson Pgs 32-33'!R31+'Kitsap Pgs 34-35'!R31+'Kittitas Pgs 36-37'!R31+'Klickitat Pgs 38-39'!R31+'Lewis Pgs 40-41'!R31+'Lincoln Pgs 42-43'!R31+'Mason Pgs 44-45'!R31+'Northeast Tri Pgs 46-47'!R31+'Okanogan Pgs 48-49'!R31+'Pacific Pgs 50-51'!R31+'San Juan Pgs 52-53'!R31+'Seattle-King Pgs 54-55'!R31+'Skagit Pgs 56-57'!R31+'Skamania Pgs 58-59'!R31+'Snohomish Pgs 60-61'!R31+'Spokane Pgs 62-63'!R31+'Tacoma-Pierce Pgs 64-65'!R31+'Thurston Pgs 66-67'!R31+'Wahkiakum Pgs 68-69'!R31+'Walla Walla Pgs 70-71'!R31+'Whatcom Pgs 72-73'!R31+'Whitman Pgs 74-75'!R31+'Yakima Pgs 76-77'!R31</f>
        <v>-23715</v>
      </c>
    </row>
    <row r="32" spans="1:12" x14ac:dyDescent="0.3">
      <c r="A32" s="39">
        <v>562.59</v>
      </c>
      <c r="B32" s="141" t="s">
        <v>89</v>
      </c>
      <c r="C32" s="165">
        <f>'Asotin Pgs 10-11'!C32+'Adams Pgs 8-9'!C32+'Benton-Franklin Pgs 12-13'!C32+'Chelan-Douglas Pgs 14-15'!C32+'Clallam Pgs 16-17'!C32+'Clark Pgs 18-19'!C32+'Columbia Pgs 20-21'!C32+'Cowlitz Pgs 22-23'!C32+'Garfield Pgs 24-25'!C32+'Grant Pgs 26-27'!C32+'Grays Harbor Pgs 28-29'!C32+'Island Pgs 30-31'!C32+'Jefferson Pgs 32-33'!C32+'Kitsap Pgs 34-35'!C32+'Kittitas Pgs 36-37'!C32+'Klickitat Pgs 38-39'!C32+'Lewis Pgs 40-41'!C32+'Lincoln Pgs 42-43'!C32+'Mason Pgs 44-45'!C32+'Northeast Tri Pgs 46-47'!C32+'Okanogan Pgs 48-49'!C32+'Pacific Pgs 50-51'!C32+'San Juan Pgs 52-53'!C32+'Seattle-King Pgs 54-55'!C32+'Skagit Pgs 56-57'!C32+'Skamania Pgs 58-59'!C32+'Snohomish Pgs 60-61'!C32+'Spokane Pgs 62-63'!C32+'Tacoma-Pierce Pgs 64-65'!C32+'Thurston Pgs 66-67'!C32+'Wahkiakum Pgs 68-69'!C32+'Walla Walla Pgs 70-71'!C32+'Whatcom Pgs 72-73'!C32+'Whitman Pgs 74-75'!C32+'Yakima Pgs 76-77'!C32</f>
        <v>3859984</v>
      </c>
      <c r="D32" s="17">
        <f>'Asotin Pgs 10-11'!D32+'Adams Pgs 8-9'!D32+'Benton-Franklin Pgs 12-13'!D32+'Chelan-Douglas Pgs 14-15'!D32+'Clallam Pgs 16-17'!D32+'Clark Pgs 18-19'!D32+'Columbia Pgs 20-21'!D32+'Cowlitz Pgs 22-23'!D32+'Garfield Pgs 24-25'!D32+'Grant Pgs 26-27'!D32+'Grays Harbor Pgs 28-29'!D32+'Island Pgs 30-31'!D32+'Jefferson Pgs 32-33'!D32+'Kitsap Pgs 34-35'!D32+'Kittitas Pgs 36-37'!D32+'Klickitat Pgs 38-39'!D32+'Lewis Pgs 40-41'!D32+'Lincoln Pgs 42-43'!D32+'Mason Pgs 44-45'!D32+'Northeast Tri Pgs 46-47'!D32+'Okanogan Pgs 48-49'!D32+'Pacific Pgs 50-51'!D32+'San Juan Pgs 52-53'!D32+'Seattle-King Pgs 54-55'!D32+'Skagit Pgs 56-57'!D32+'Skamania Pgs 58-59'!D32+'Snohomish Pgs 60-61'!D32+'Spokane Pgs 62-63'!D32+'Tacoma-Pierce Pgs 64-65'!D32+'Thurston Pgs 66-67'!D32+'Wahkiakum Pgs 68-69'!D32+'Walla Walla Pgs 70-71'!D32+'Whatcom Pgs 72-73'!D32+'Whitman Pgs 74-75'!D32+'Yakima Pgs 76-77'!D32</f>
        <v>1389628.13</v>
      </c>
      <c r="E32" s="165">
        <f>'Asotin Pgs 10-11'!E32+'Adams Pgs 8-9'!E32+'Benton-Franklin Pgs 12-13'!E32+'Chelan-Douglas Pgs 14-15'!E32+'Clallam Pgs 16-17'!E32+'Clark Pgs 18-19'!E32+'Columbia Pgs 20-21'!E32+'Cowlitz Pgs 22-23'!E32+'Garfield Pgs 24-25'!E32+'Grant Pgs 26-27'!E32+'Grays Harbor Pgs 28-29'!E32+'Island Pgs 30-31'!E32+'Jefferson Pgs 32-33'!E32+'Kitsap Pgs 34-35'!E32+'Kittitas Pgs 36-37'!E32+'Klickitat Pgs 38-39'!E32+'Lewis Pgs 40-41'!E32+'Lincoln Pgs 42-43'!E32+'Mason Pgs 44-45'!E32+'Northeast Tri Pgs 46-47'!E32+'Okanogan Pgs 48-49'!E32+'Pacific Pgs 50-51'!E32+'San Juan Pgs 52-53'!E32+'Seattle-King Pgs 54-55'!E32+'Skagit Pgs 56-57'!E32+'Skamania Pgs 58-59'!E32+'Snohomish Pgs 60-61'!E32+'Spokane Pgs 62-63'!E32+'Tacoma-Pierce Pgs 64-65'!E32+'Thurston Pgs 66-67'!E32+'Wahkiakum Pgs 68-69'!E32+'Walla Walla Pgs 70-71'!E32+'Whatcom Pgs 72-73'!E32+'Whitman Pgs 74-75'!E32+'Yakima Pgs 76-77'!E32</f>
        <v>72994</v>
      </c>
      <c r="F32" s="8">
        <f>'Asotin Pgs 10-11'!F32+'Adams Pgs 8-9'!F32+'Benton-Franklin Pgs 12-13'!F32+'Chelan-Douglas Pgs 14-15'!F32+'Clallam Pgs 16-17'!F32+'Clark Pgs 18-19'!F32+'Columbia Pgs 20-21'!F32+'Cowlitz Pgs 22-23'!F32+'Garfield Pgs 24-25'!F32+'Grant Pgs 26-27'!F32+'Grays Harbor Pgs 28-29'!F32+'Island Pgs 30-31'!F32+'Jefferson Pgs 32-33'!F32+'Kitsap Pgs 34-35'!F32+'Kittitas Pgs 36-37'!F32+'Klickitat Pgs 38-39'!F32+'Lewis Pgs 40-41'!F32+'Lincoln Pgs 42-43'!F32+'Mason Pgs 44-45'!F32+'Northeast Tri Pgs 46-47'!F32+'Okanogan Pgs 48-49'!F32+'Pacific Pgs 50-51'!F32+'San Juan Pgs 52-53'!F32+'Seattle-King Pgs 54-55'!F32+'Skagit Pgs 56-57'!F32+'Skamania Pgs 58-59'!F32+'Snohomish Pgs 60-61'!F32+'Spokane Pgs 62-63'!F32+'Tacoma-Pierce Pgs 64-65'!F32+'Thurston Pgs 66-67'!F32+'Wahkiakum Pgs 68-69'!F32+'Walla Walla Pgs 70-71'!F32+'Whatcom Pgs 72-73'!F32+'Whitman Pgs 74-75'!F32+'Yakima Pgs 76-77'!F32</f>
        <v>244954</v>
      </c>
      <c r="G32" s="7">
        <f>'Asotin Pgs 10-11'!G32+'Adams Pgs 8-9'!G32+'Benton-Franklin Pgs 12-13'!G32+'Chelan-Douglas Pgs 14-15'!G32+'Clallam Pgs 16-17'!G32+'Clark Pgs 18-19'!G32+'Columbia Pgs 20-21'!G32+'Cowlitz Pgs 22-23'!G32+'Garfield Pgs 24-25'!G32+'Grant Pgs 26-27'!G32+'Grays Harbor Pgs 28-29'!G32+'Island Pgs 30-31'!G32+'Jefferson Pgs 32-33'!G32+'Kitsap Pgs 34-35'!G32+'Kittitas Pgs 36-37'!G32+'Klickitat Pgs 38-39'!G32+'Lewis Pgs 40-41'!G32+'Lincoln Pgs 42-43'!G32+'Mason Pgs 44-45'!G32+'Northeast Tri Pgs 46-47'!G32+'Okanogan Pgs 48-49'!G32+'Pacific Pgs 50-51'!G32+'San Juan Pgs 52-53'!G32+'Seattle-King Pgs 54-55'!G32+'Skagit Pgs 56-57'!G32+'Skamania Pgs 58-59'!G32+'Snohomish Pgs 60-61'!G32+'Spokane Pgs 62-63'!G32+'Tacoma-Pierce Pgs 64-65'!G32+'Thurston Pgs 66-67'!G32+'Wahkiakum Pgs 68-69'!G32+'Walla Walla Pgs 70-71'!G32+'Whatcom Pgs 72-73'!G32+'Whitman Pgs 74-75'!G32+'Yakima Pgs 76-77'!G32</f>
        <v>0</v>
      </c>
      <c r="H32" s="15">
        <f>'Asotin Pgs 10-11'!H32+'Adams Pgs 8-9'!H32+'Benton-Franklin Pgs 12-13'!H32+'Chelan-Douglas Pgs 14-15'!H32+'Clallam Pgs 16-17'!H32+'Clark Pgs 18-19'!H32+'Columbia Pgs 20-21'!H32+'Cowlitz Pgs 22-23'!H32+'Garfield Pgs 24-25'!H32+'Grant Pgs 26-27'!H32+'Grays Harbor Pgs 28-29'!H32+'Island Pgs 30-31'!H32+'Jefferson Pgs 32-33'!H32+'Kitsap Pgs 34-35'!H32+'Kittitas Pgs 36-37'!H32+'Klickitat Pgs 38-39'!H32+'Lewis Pgs 40-41'!H32+'Lincoln Pgs 42-43'!H32+'Mason Pgs 44-45'!H32+'Northeast Tri Pgs 46-47'!H32+'Okanogan Pgs 48-49'!H32+'Pacific Pgs 50-51'!H32+'San Juan Pgs 52-53'!H32+'Seattle-King Pgs 54-55'!H32+'Skagit Pgs 56-57'!H32+'Skamania Pgs 58-59'!H32+'Snohomish Pgs 60-61'!H32+'Spokane Pgs 62-63'!H32+'Tacoma-Pierce Pgs 64-65'!H32+'Thurston Pgs 66-67'!H32+'Wahkiakum Pgs 68-69'!H32+'Walla Walla Pgs 70-71'!H32+'Whatcom Pgs 72-73'!H32+'Whitman Pgs 74-75'!H32+'Yakima Pgs 76-77'!H32</f>
        <v>143902.49</v>
      </c>
      <c r="I32" s="7">
        <f>'Asotin Pgs 10-11'!I32+'Adams Pgs 8-9'!I32+'Benton-Franklin Pgs 12-13'!I32+'Chelan-Douglas Pgs 14-15'!I32+'Clallam Pgs 16-17'!I32+'Clark Pgs 18-19'!I32+'Columbia Pgs 20-21'!I32+'Cowlitz Pgs 22-23'!I32+'Garfield Pgs 24-25'!I32+'Grant Pgs 26-27'!I32+'Grays Harbor Pgs 28-29'!I32+'Island Pgs 30-31'!I32+'Jefferson Pgs 32-33'!I32+'Kitsap Pgs 34-35'!I32+'Kittitas Pgs 36-37'!I32+'Klickitat Pgs 38-39'!I32+'Lewis Pgs 40-41'!I32+'Lincoln Pgs 42-43'!I32+'Mason Pgs 44-45'!I32+'Northeast Tri Pgs 46-47'!I32+'Okanogan Pgs 48-49'!I32+'Pacific Pgs 50-51'!I32+'San Juan Pgs 52-53'!I32+'Seattle-King Pgs 54-55'!I32+'Skagit Pgs 56-57'!I32+'Skamania Pgs 58-59'!I32+'Snohomish Pgs 60-61'!I32+'Spokane Pgs 62-63'!I32+'Tacoma-Pierce Pgs 64-65'!I32+'Thurston Pgs 66-67'!I32+'Wahkiakum Pgs 68-69'!I32+'Walla Walla Pgs 70-71'!I32+'Whatcom Pgs 72-73'!I32+'Whitman Pgs 74-75'!I32+'Yakima Pgs 76-77'!I32</f>
        <v>195029.64</v>
      </c>
      <c r="J32" s="15">
        <f>'Asotin Pgs 10-11'!M32+'Adams Pgs 8-9'!M32+'Benton-Franklin Pgs 12-13'!M32+'Chelan-Douglas Pgs 14-15'!M32+'Clallam Pgs 16-17'!M32+'Clark Pgs 18-19'!M32+'Columbia Pgs 20-21'!M32+'Cowlitz Pgs 22-23'!M32+'Garfield Pgs 24-25'!M32+'Grant Pgs 26-27'!M32+'Grays Harbor Pgs 28-29'!M32+'Island Pgs 30-31'!M32+'Jefferson Pgs 32-33'!M32+'Kitsap Pgs 34-35'!M32+'Kittitas Pgs 36-37'!M32+'Klickitat Pgs 38-39'!M32+'Lewis Pgs 40-41'!M32+'Lincoln Pgs 42-43'!M32+'Mason Pgs 44-45'!M32+'Northeast Tri Pgs 46-47'!M32+'Okanogan Pgs 48-49'!M32+'Pacific Pgs 50-51'!M32+'San Juan Pgs 52-53'!M32+'Seattle-King Pgs 54-55'!M32+'Skagit Pgs 56-57'!M32+'Skamania Pgs 58-59'!M32+'Snohomish Pgs 60-61'!M32+'Spokane Pgs 62-63'!M32+'Tacoma-Pierce Pgs 64-65'!M32+'Thurston Pgs 66-67'!M32+'Wahkiakum Pgs 68-69'!M32+'Walla Walla Pgs 70-71'!M32+'Whatcom Pgs 72-73'!M32+'Whitman Pgs 74-75'!M32+'Yakima Pgs 76-77'!M32</f>
        <v>283679</v>
      </c>
      <c r="K32" s="7">
        <f>'Asotin Pgs 10-11'!Q32+'Adams Pgs 8-9'!Q32+'Benton-Franklin Pgs 12-13'!Q32+'Chelan-Douglas Pgs 14-15'!Q32+'Clallam Pgs 16-17'!Q32+'Clark Pgs 18-19'!Q32+'Columbia Pgs 20-21'!Q32+'Cowlitz Pgs 22-23'!Q32+'Garfield Pgs 24-25'!Q32+'Grant Pgs 26-27'!Q32+'Grays Harbor Pgs 28-29'!Q32+'Island Pgs 30-31'!Q32+'Jefferson Pgs 32-33'!Q32+'Kitsap Pgs 34-35'!Q32+'Kittitas Pgs 36-37'!Q32+'Klickitat Pgs 38-39'!Q32+'Lewis Pgs 40-41'!Q32+'Lincoln Pgs 42-43'!Q32+'Mason Pgs 44-45'!Q32+'Northeast Tri Pgs 46-47'!Q32+'Okanogan Pgs 48-49'!Q32+'Pacific Pgs 50-51'!Q32+'San Juan Pgs 52-53'!Q32+'Seattle-King Pgs 54-55'!Q32+'Skagit Pgs 56-57'!Q32+'Skamania Pgs 58-59'!Q32+'Snohomish Pgs 60-61'!Q32+'Spokane Pgs 62-63'!Q32+'Tacoma-Pierce Pgs 64-65'!Q32+'Thurston Pgs 66-67'!Q32+'Wahkiakum Pgs 68-69'!Q32+'Walla Walla Pgs 70-71'!Q32+'Whatcom Pgs 72-73'!Q32+'Whitman Pgs 74-75'!Q32+'Yakima Pgs 76-77'!Q32</f>
        <v>141438</v>
      </c>
      <c r="L32" s="15">
        <f>'Asotin Pgs 10-11'!R32+'Adams Pgs 8-9'!R32+'Benton-Franklin Pgs 12-13'!R32+'Chelan-Douglas Pgs 14-15'!R32+'Clallam Pgs 16-17'!R32+'Clark Pgs 18-19'!R32+'Columbia Pgs 20-21'!R32+'Cowlitz Pgs 22-23'!R32+'Garfield Pgs 24-25'!R32+'Grant Pgs 26-27'!R32+'Grays Harbor Pgs 28-29'!R32+'Island Pgs 30-31'!R32+'Jefferson Pgs 32-33'!R32+'Kitsap Pgs 34-35'!R32+'Kittitas Pgs 36-37'!R32+'Klickitat Pgs 38-39'!R32+'Lewis Pgs 40-41'!R32+'Lincoln Pgs 42-43'!R32+'Mason Pgs 44-45'!R32+'Northeast Tri Pgs 46-47'!R32+'Okanogan Pgs 48-49'!R32+'Pacific Pgs 50-51'!R32+'San Juan Pgs 52-53'!R32+'Seattle-King Pgs 54-55'!R32+'Skagit Pgs 56-57'!R32+'Skamania Pgs 58-59'!R32+'Snohomish Pgs 60-61'!R32+'Spokane Pgs 62-63'!R32+'Tacoma-Pierce Pgs 64-65'!R32+'Thurston Pgs 66-67'!R32+'Wahkiakum Pgs 68-69'!R32+'Walla Walla Pgs 70-71'!R32+'Whatcom Pgs 72-73'!R32+'Whitman Pgs 74-75'!R32+'Yakima Pgs 76-77'!R32</f>
        <v>307631</v>
      </c>
    </row>
    <row r="33" spans="1:12" x14ac:dyDescent="0.3">
      <c r="A33" s="39">
        <v>562.6</v>
      </c>
      <c r="B33" s="40" t="s">
        <v>59</v>
      </c>
      <c r="C33" s="165">
        <f>'Asotin Pgs 10-11'!C33+'Adams Pgs 8-9'!C33+'Benton-Franklin Pgs 12-13'!C33+'Chelan-Douglas Pgs 14-15'!C33+'Clallam Pgs 16-17'!C33+'Clark Pgs 18-19'!C33+'Columbia Pgs 20-21'!C33+'Cowlitz Pgs 22-23'!C33+'Garfield Pgs 24-25'!C33+'Grant Pgs 26-27'!C33+'Grays Harbor Pgs 28-29'!C33+'Island Pgs 30-31'!C33+'Jefferson Pgs 32-33'!C33+'Kitsap Pgs 34-35'!C33+'Kittitas Pgs 36-37'!C33+'Klickitat Pgs 38-39'!C33+'Lewis Pgs 40-41'!C33+'Lincoln Pgs 42-43'!C33+'Mason Pgs 44-45'!C33+'Northeast Tri Pgs 46-47'!C33+'Okanogan Pgs 48-49'!C33+'Pacific Pgs 50-51'!C33+'San Juan Pgs 52-53'!C33+'Seattle-King Pgs 54-55'!C33+'Skagit Pgs 56-57'!C33+'Skamania Pgs 58-59'!C33+'Snohomish Pgs 60-61'!C33+'Spokane Pgs 62-63'!C33+'Tacoma-Pierce Pgs 64-65'!C33+'Thurston Pgs 66-67'!C33+'Wahkiakum Pgs 68-69'!C33+'Walla Walla Pgs 70-71'!C33+'Whatcom Pgs 72-73'!C33+'Whitman Pgs 74-75'!C33+'Yakima Pgs 76-77'!C33</f>
        <v>4706586.5299999993</v>
      </c>
      <c r="D33" s="17">
        <f>'Asotin Pgs 10-11'!D33+'Adams Pgs 8-9'!D33+'Benton-Franklin Pgs 12-13'!D33+'Chelan-Douglas Pgs 14-15'!D33+'Clallam Pgs 16-17'!D33+'Clark Pgs 18-19'!D33+'Columbia Pgs 20-21'!D33+'Cowlitz Pgs 22-23'!D33+'Garfield Pgs 24-25'!D33+'Grant Pgs 26-27'!D33+'Grays Harbor Pgs 28-29'!D33+'Island Pgs 30-31'!D33+'Jefferson Pgs 32-33'!D33+'Kitsap Pgs 34-35'!D33+'Kittitas Pgs 36-37'!D33+'Klickitat Pgs 38-39'!D33+'Lewis Pgs 40-41'!D33+'Lincoln Pgs 42-43'!D33+'Mason Pgs 44-45'!D33+'Northeast Tri Pgs 46-47'!D33+'Okanogan Pgs 48-49'!D33+'Pacific Pgs 50-51'!D33+'San Juan Pgs 52-53'!D33+'Seattle-King Pgs 54-55'!D33+'Skagit Pgs 56-57'!D33+'Skamania Pgs 58-59'!D33+'Snohomish Pgs 60-61'!D33+'Spokane Pgs 62-63'!D33+'Tacoma-Pierce Pgs 64-65'!D33+'Thurston Pgs 66-67'!D33+'Wahkiakum Pgs 68-69'!D33+'Walla Walla Pgs 70-71'!D33+'Whatcom Pgs 72-73'!D33+'Whitman Pgs 74-75'!D33+'Yakima Pgs 76-77'!D33</f>
        <v>5033742.5299999993</v>
      </c>
      <c r="E33" s="165">
        <f>'Asotin Pgs 10-11'!E33+'Adams Pgs 8-9'!E33+'Benton-Franklin Pgs 12-13'!E33+'Chelan-Douglas Pgs 14-15'!E33+'Clallam Pgs 16-17'!E33+'Clark Pgs 18-19'!E33+'Columbia Pgs 20-21'!E33+'Cowlitz Pgs 22-23'!E33+'Garfield Pgs 24-25'!E33+'Grant Pgs 26-27'!E33+'Grays Harbor Pgs 28-29'!E33+'Island Pgs 30-31'!E33+'Jefferson Pgs 32-33'!E33+'Kitsap Pgs 34-35'!E33+'Kittitas Pgs 36-37'!E33+'Klickitat Pgs 38-39'!E33+'Lewis Pgs 40-41'!E33+'Lincoln Pgs 42-43'!E33+'Mason Pgs 44-45'!E33+'Northeast Tri Pgs 46-47'!E33+'Okanogan Pgs 48-49'!E33+'Pacific Pgs 50-51'!E33+'San Juan Pgs 52-53'!E33+'Seattle-King Pgs 54-55'!E33+'Skagit Pgs 56-57'!E33+'Skamania Pgs 58-59'!E33+'Snohomish Pgs 60-61'!E33+'Spokane Pgs 62-63'!E33+'Tacoma-Pierce Pgs 64-65'!E33+'Thurston Pgs 66-67'!E33+'Wahkiakum Pgs 68-69'!E33+'Walla Walla Pgs 70-71'!E33+'Whatcom Pgs 72-73'!E33+'Whitman Pgs 74-75'!E33+'Yakima Pgs 76-77'!E33</f>
        <v>56618</v>
      </c>
      <c r="F33" s="8">
        <f>'Asotin Pgs 10-11'!F33+'Adams Pgs 8-9'!F33+'Benton-Franklin Pgs 12-13'!F33+'Chelan-Douglas Pgs 14-15'!F33+'Clallam Pgs 16-17'!F33+'Clark Pgs 18-19'!F33+'Columbia Pgs 20-21'!F33+'Cowlitz Pgs 22-23'!F33+'Garfield Pgs 24-25'!F33+'Grant Pgs 26-27'!F33+'Grays Harbor Pgs 28-29'!F33+'Island Pgs 30-31'!F33+'Jefferson Pgs 32-33'!F33+'Kitsap Pgs 34-35'!F33+'Kittitas Pgs 36-37'!F33+'Klickitat Pgs 38-39'!F33+'Lewis Pgs 40-41'!F33+'Lincoln Pgs 42-43'!F33+'Mason Pgs 44-45'!F33+'Northeast Tri Pgs 46-47'!F33+'Okanogan Pgs 48-49'!F33+'Pacific Pgs 50-51'!F33+'San Juan Pgs 52-53'!F33+'Seattle-King Pgs 54-55'!F33+'Skagit Pgs 56-57'!F33+'Skamania Pgs 58-59'!F33+'Snohomish Pgs 60-61'!F33+'Spokane Pgs 62-63'!F33+'Tacoma-Pierce Pgs 64-65'!F33+'Thurston Pgs 66-67'!F33+'Wahkiakum Pgs 68-69'!F33+'Walla Walla Pgs 70-71'!F33+'Whatcom Pgs 72-73'!F33+'Whitman Pgs 74-75'!F33+'Yakima Pgs 76-77'!F33</f>
        <v>155311</v>
      </c>
      <c r="G33" s="7">
        <f>'Asotin Pgs 10-11'!G33+'Adams Pgs 8-9'!G33+'Benton-Franklin Pgs 12-13'!G33+'Chelan-Douglas Pgs 14-15'!G33+'Clallam Pgs 16-17'!G33+'Clark Pgs 18-19'!G33+'Columbia Pgs 20-21'!G33+'Cowlitz Pgs 22-23'!G33+'Garfield Pgs 24-25'!G33+'Grant Pgs 26-27'!G33+'Grays Harbor Pgs 28-29'!G33+'Island Pgs 30-31'!G33+'Jefferson Pgs 32-33'!G33+'Kitsap Pgs 34-35'!G33+'Kittitas Pgs 36-37'!G33+'Klickitat Pgs 38-39'!G33+'Lewis Pgs 40-41'!G33+'Lincoln Pgs 42-43'!G33+'Mason Pgs 44-45'!G33+'Northeast Tri Pgs 46-47'!G33+'Okanogan Pgs 48-49'!G33+'Pacific Pgs 50-51'!G33+'San Juan Pgs 52-53'!G33+'Seattle-King Pgs 54-55'!G33+'Skagit Pgs 56-57'!G33+'Skamania Pgs 58-59'!G33+'Snohomish Pgs 60-61'!G33+'Spokane Pgs 62-63'!G33+'Tacoma-Pierce Pgs 64-65'!G33+'Thurston Pgs 66-67'!G33+'Wahkiakum Pgs 68-69'!G33+'Walla Walla Pgs 70-71'!G33+'Whatcom Pgs 72-73'!G33+'Whitman Pgs 74-75'!G33+'Yakima Pgs 76-77'!G33</f>
        <v>1071945</v>
      </c>
      <c r="H33" s="15">
        <f>'Asotin Pgs 10-11'!H33+'Adams Pgs 8-9'!H33+'Benton-Franklin Pgs 12-13'!H33+'Chelan-Douglas Pgs 14-15'!H33+'Clallam Pgs 16-17'!H33+'Clark Pgs 18-19'!H33+'Columbia Pgs 20-21'!H33+'Cowlitz Pgs 22-23'!H33+'Garfield Pgs 24-25'!H33+'Grant Pgs 26-27'!H33+'Grays Harbor Pgs 28-29'!H33+'Island Pgs 30-31'!H33+'Jefferson Pgs 32-33'!H33+'Kitsap Pgs 34-35'!H33+'Kittitas Pgs 36-37'!H33+'Klickitat Pgs 38-39'!H33+'Lewis Pgs 40-41'!H33+'Lincoln Pgs 42-43'!H33+'Mason Pgs 44-45'!H33+'Northeast Tri Pgs 46-47'!H33+'Okanogan Pgs 48-49'!H33+'Pacific Pgs 50-51'!H33+'San Juan Pgs 52-53'!H33+'Seattle-King Pgs 54-55'!H33+'Skagit Pgs 56-57'!H33+'Skamania Pgs 58-59'!H33+'Snohomish Pgs 60-61'!H33+'Spokane Pgs 62-63'!H33+'Tacoma-Pierce Pgs 64-65'!H33+'Thurston Pgs 66-67'!H33+'Wahkiakum Pgs 68-69'!H33+'Walla Walla Pgs 70-71'!H33+'Whatcom Pgs 72-73'!H33+'Whitman Pgs 74-75'!H33+'Yakima Pgs 76-77'!H33</f>
        <v>961079</v>
      </c>
      <c r="I33" s="7">
        <f>'Asotin Pgs 10-11'!I33+'Adams Pgs 8-9'!I33+'Benton-Franklin Pgs 12-13'!I33+'Chelan-Douglas Pgs 14-15'!I33+'Clallam Pgs 16-17'!I33+'Clark Pgs 18-19'!I33+'Columbia Pgs 20-21'!I33+'Cowlitz Pgs 22-23'!I33+'Garfield Pgs 24-25'!I33+'Grant Pgs 26-27'!I33+'Grays Harbor Pgs 28-29'!I33+'Island Pgs 30-31'!I33+'Jefferson Pgs 32-33'!I33+'Kitsap Pgs 34-35'!I33+'Kittitas Pgs 36-37'!I33+'Klickitat Pgs 38-39'!I33+'Lewis Pgs 40-41'!I33+'Lincoln Pgs 42-43'!I33+'Mason Pgs 44-45'!I33+'Northeast Tri Pgs 46-47'!I33+'Okanogan Pgs 48-49'!I33+'Pacific Pgs 50-51'!I33+'San Juan Pgs 52-53'!I33+'Seattle-King Pgs 54-55'!I33+'Skagit Pgs 56-57'!I33+'Skamania Pgs 58-59'!I33+'Snohomish Pgs 60-61'!I33+'Spokane Pgs 62-63'!I33+'Tacoma-Pierce Pgs 64-65'!I33+'Thurston Pgs 66-67'!I33+'Wahkiakum Pgs 68-69'!I33+'Walla Walla Pgs 70-71'!I33+'Whatcom Pgs 72-73'!I33+'Whitman Pgs 74-75'!I33+'Yakima Pgs 76-77'!I33</f>
        <v>178174</v>
      </c>
      <c r="J33" s="15">
        <f>'Asotin Pgs 10-11'!M33+'Adams Pgs 8-9'!M33+'Benton-Franklin Pgs 12-13'!M33+'Chelan-Douglas Pgs 14-15'!M33+'Clallam Pgs 16-17'!M33+'Clark Pgs 18-19'!M33+'Columbia Pgs 20-21'!M33+'Cowlitz Pgs 22-23'!M33+'Garfield Pgs 24-25'!M33+'Grant Pgs 26-27'!M33+'Grays Harbor Pgs 28-29'!M33+'Island Pgs 30-31'!M33+'Jefferson Pgs 32-33'!M33+'Kitsap Pgs 34-35'!M33+'Kittitas Pgs 36-37'!M33+'Klickitat Pgs 38-39'!M33+'Lewis Pgs 40-41'!M33+'Lincoln Pgs 42-43'!M33+'Mason Pgs 44-45'!M33+'Northeast Tri Pgs 46-47'!M33+'Okanogan Pgs 48-49'!M33+'Pacific Pgs 50-51'!M33+'San Juan Pgs 52-53'!M33+'Seattle-King Pgs 54-55'!M33+'Skagit Pgs 56-57'!M33+'Skamania Pgs 58-59'!M33+'Snohomish Pgs 60-61'!M33+'Spokane Pgs 62-63'!M33+'Tacoma-Pierce Pgs 64-65'!M33+'Thurston Pgs 66-67'!M33+'Wahkiakum Pgs 68-69'!M33+'Walla Walla Pgs 70-71'!M33+'Whatcom Pgs 72-73'!M33+'Whitman Pgs 74-75'!M33+'Yakima Pgs 76-77'!M33</f>
        <v>835187.53</v>
      </c>
      <c r="K33" s="7">
        <f>'Asotin Pgs 10-11'!Q33+'Adams Pgs 8-9'!Q33+'Benton-Franklin Pgs 12-13'!Q33+'Chelan-Douglas Pgs 14-15'!Q33+'Clallam Pgs 16-17'!Q33+'Clark Pgs 18-19'!Q33+'Columbia Pgs 20-21'!Q33+'Cowlitz Pgs 22-23'!Q33+'Garfield Pgs 24-25'!Q33+'Grant Pgs 26-27'!Q33+'Grays Harbor Pgs 28-29'!Q33+'Island Pgs 30-31'!Q33+'Jefferson Pgs 32-33'!Q33+'Kitsap Pgs 34-35'!Q33+'Kittitas Pgs 36-37'!Q33+'Klickitat Pgs 38-39'!Q33+'Lewis Pgs 40-41'!Q33+'Lincoln Pgs 42-43'!Q33+'Mason Pgs 44-45'!Q33+'Northeast Tri Pgs 46-47'!Q33+'Okanogan Pgs 48-49'!Q33+'Pacific Pgs 50-51'!Q33+'San Juan Pgs 52-53'!Q33+'Seattle-King Pgs 54-55'!Q33+'Skagit Pgs 56-57'!Q33+'Skamania Pgs 58-59'!Q33+'Snohomish Pgs 60-61'!Q33+'Spokane Pgs 62-63'!Q33+'Tacoma-Pierce Pgs 64-65'!Q33+'Thurston Pgs 66-67'!Q33+'Wahkiakum Pgs 68-69'!Q33+'Walla Walla Pgs 70-71'!Q33+'Whatcom Pgs 72-73'!Q33+'Whitman Pgs 74-75'!Q33+'Yakima Pgs 76-77'!Q33</f>
        <v>1710517</v>
      </c>
      <c r="L33" s="15">
        <f>'Asotin Pgs 10-11'!R33+'Adams Pgs 8-9'!R33+'Benton-Franklin Pgs 12-13'!R33+'Chelan-Douglas Pgs 14-15'!R33+'Clallam Pgs 16-17'!R33+'Clark Pgs 18-19'!R33+'Columbia Pgs 20-21'!R33+'Cowlitz Pgs 22-23'!R33+'Garfield Pgs 24-25'!R33+'Grant Pgs 26-27'!R33+'Grays Harbor Pgs 28-29'!R33+'Island Pgs 30-31'!R33+'Jefferson Pgs 32-33'!R33+'Kitsap Pgs 34-35'!R33+'Kittitas Pgs 36-37'!R33+'Klickitat Pgs 38-39'!R33+'Lewis Pgs 40-41'!R33+'Lincoln Pgs 42-43'!R33+'Mason Pgs 44-45'!R33+'Northeast Tri Pgs 46-47'!R33+'Okanogan Pgs 48-49'!R33+'Pacific Pgs 50-51'!R33+'San Juan Pgs 52-53'!R33+'Seattle-King Pgs 54-55'!R33+'Skagit Pgs 56-57'!R33+'Skamania Pgs 58-59'!R33+'Snohomish Pgs 60-61'!R33+'Spokane Pgs 62-63'!R33+'Tacoma-Pierce Pgs 64-65'!R33+'Thurston Pgs 66-67'!R33+'Wahkiakum Pgs 68-69'!R33+'Walla Walla Pgs 70-71'!R33+'Whatcom Pgs 72-73'!R33+'Whitman Pgs 74-75'!R33+'Yakima Pgs 76-77'!R33</f>
        <v>64911</v>
      </c>
    </row>
    <row r="34" spans="1:12" x14ac:dyDescent="0.3">
      <c r="A34" s="39">
        <v>562.71</v>
      </c>
      <c r="B34" s="40" t="s">
        <v>60</v>
      </c>
      <c r="C34" s="165">
        <f>'Asotin Pgs 10-11'!C34+'Adams Pgs 8-9'!C34+'Benton-Franklin Pgs 12-13'!C34+'Chelan-Douglas Pgs 14-15'!C34+'Clallam Pgs 16-17'!C34+'Clark Pgs 18-19'!C34+'Columbia Pgs 20-21'!C34+'Cowlitz Pgs 22-23'!C34+'Garfield Pgs 24-25'!C34+'Grant Pgs 26-27'!C34+'Grays Harbor Pgs 28-29'!C34+'Island Pgs 30-31'!C34+'Jefferson Pgs 32-33'!C34+'Kitsap Pgs 34-35'!C34+'Kittitas Pgs 36-37'!C34+'Klickitat Pgs 38-39'!C34+'Lewis Pgs 40-41'!C34+'Lincoln Pgs 42-43'!C34+'Mason Pgs 44-45'!C34+'Northeast Tri Pgs 46-47'!C34+'Okanogan Pgs 48-49'!C34+'Pacific Pgs 50-51'!C34+'San Juan Pgs 52-53'!C34+'Seattle-King Pgs 54-55'!C34+'Skagit Pgs 56-57'!C34+'Skamania Pgs 58-59'!C34+'Snohomish Pgs 60-61'!C34+'Spokane Pgs 62-63'!C34+'Tacoma-Pierce Pgs 64-65'!C34+'Thurston Pgs 66-67'!C34+'Wahkiakum Pgs 68-69'!C34+'Walla Walla Pgs 70-71'!C34+'Whatcom Pgs 72-73'!C34+'Whitman Pgs 74-75'!C34+'Yakima Pgs 76-77'!C34</f>
        <v>4224462.29</v>
      </c>
      <c r="D34" s="17">
        <f>'Asotin Pgs 10-11'!D34+'Adams Pgs 8-9'!D34+'Benton-Franklin Pgs 12-13'!D34+'Chelan-Douglas Pgs 14-15'!D34+'Clallam Pgs 16-17'!D34+'Clark Pgs 18-19'!D34+'Columbia Pgs 20-21'!D34+'Cowlitz Pgs 22-23'!D34+'Garfield Pgs 24-25'!D34+'Grant Pgs 26-27'!D34+'Grays Harbor Pgs 28-29'!D34+'Island Pgs 30-31'!D34+'Jefferson Pgs 32-33'!D34+'Kitsap Pgs 34-35'!D34+'Kittitas Pgs 36-37'!D34+'Klickitat Pgs 38-39'!D34+'Lewis Pgs 40-41'!D34+'Lincoln Pgs 42-43'!D34+'Mason Pgs 44-45'!D34+'Northeast Tri Pgs 46-47'!D34+'Okanogan Pgs 48-49'!D34+'Pacific Pgs 50-51'!D34+'San Juan Pgs 52-53'!D34+'Seattle-King Pgs 54-55'!D34+'Skagit Pgs 56-57'!D34+'Skamania Pgs 58-59'!D34+'Snohomish Pgs 60-61'!D34+'Spokane Pgs 62-63'!D34+'Tacoma-Pierce Pgs 64-65'!D34+'Thurston Pgs 66-67'!D34+'Wahkiakum Pgs 68-69'!D34+'Walla Walla Pgs 70-71'!D34+'Whatcom Pgs 72-73'!D34+'Whitman Pgs 74-75'!D34+'Yakima Pgs 76-77'!D34</f>
        <v>4582935.6500000004</v>
      </c>
      <c r="E34" s="165">
        <f>'Asotin Pgs 10-11'!E34+'Adams Pgs 8-9'!E34+'Benton-Franklin Pgs 12-13'!E34+'Chelan-Douglas Pgs 14-15'!E34+'Clallam Pgs 16-17'!E34+'Clark Pgs 18-19'!E34+'Columbia Pgs 20-21'!E34+'Cowlitz Pgs 22-23'!E34+'Garfield Pgs 24-25'!E34+'Grant Pgs 26-27'!E34+'Grays Harbor Pgs 28-29'!E34+'Island Pgs 30-31'!E34+'Jefferson Pgs 32-33'!E34+'Kitsap Pgs 34-35'!E34+'Kittitas Pgs 36-37'!E34+'Klickitat Pgs 38-39'!E34+'Lewis Pgs 40-41'!E34+'Lincoln Pgs 42-43'!E34+'Mason Pgs 44-45'!E34+'Northeast Tri Pgs 46-47'!E34+'Okanogan Pgs 48-49'!E34+'Pacific Pgs 50-51'!E34+'San Juan Pgs 52-53'!E34+'Seattle-King Pgs 54-55'!E34+'Skagit Pgs 56-57'!E34+'Skamania Pgs 58-59'!E34+'Snohomish Pgs 60-61'!E34+'Spokane Pgs 62-63'!E34+'Tacoma-Pierce Pgs 64-65'!E34+'Thurston Pgs 66-67'!E34+'Wahkiakum Pgs 68-69'!E34+'Walla Walla Pgs 70-71'!E34+'Whatcom Pgs 72-73'!E34+'Whitman Pgs 74-75'!E34+'Yakima Pgs 76-77'!E34</f>
        <v>0</v>
      </c>
      <c r="F34" s="8">
        <f>'Asotin Pgs 10-11'!F34+'Adams Pgs 8-9'!F34+'Benton-Franklin Pgs 12-13'!F34+'Chelan-Douglas Pgs 14-15'!F34+'Clallam Pgs 16-17'!F34+'Clark Pgs 18-19'!F34+'Columbia Pgs 20-21'!F34+'Cowlitz Pgs 22-23'!F34+'Garfield Pgs 24-25'!F34+'Grant Pgs 26-27'!F34+'Grays Harbor Pgs 28-29'!F34+'Island Pgs 30-31'!F34+'Jefferson Pgs 32-33'!F34+'Kitsap Pgs 34-35'!F34+'Kittitas Pgs 36-37'!F34+'Klickitat Pgs 38-39'!F34+'Lewis Pgs 40-41'!F34+'Lincoln Pgs 42-43'!F34+'Mason Pgs 44-45'!F34+'Northeast Tri Pgs 46-47'!F34+'Okanogan Pgs 48-49'!F34+'Pacific Pgs 50-51'!F34+'San Juan Pgs 52-53'!F34+'Seattle-King Pgs 54-55'!F34+'Skagit Pgs 56-57'!F34+'Skamania Pgs 58-59'!F34+'Snohomish Pgs 60-61'!F34+'Spokane Pgs 62-63'!F34+'Tacoma-Pierce Pgs 64-65'!F34+'Thurston Pgs 66-67'!F34+'Wahkiakum Pgs 68-69'!F34+'Walla Walla Pgs 70-71'!F34+'Whatcom Pgs 72-73'!F34+'Whitman Pgs 74-75'!F34+'Yakima Pgs 76-77'!F34</f>
        <v>139742</v>
      </c>
      <c r="G34" s="7">
        <f>'Asotin Pgs 10-11'!G34+'Adams Pgs 8-9'!G34+'Benton-Franklin Pgs 12-13'!G34+'Chelan-Douglas Pgs 14-15'!G34+'Clallam Pgs 16-17'!G34+'Clark Pgs 18-19'!G34+'Columbia Pgs 20-21'!G34+'Cowlitz Pgs 22-23'!G34+'Garfield Pgs 24-25'!G34+'Grant Pgs 26-27'!G34+'Grays Harbor Pgs 28-29'!G34+'Island Pgs 30-31'!G34+'Jefferson Pgs 32-33'!G34+'Kitsap Pgs 34-35'!G34+'Kittitas Pgs 36-37'!G34+'Klickitat Pgs 38-39'!G34+'Lewis Pgs 40-41'!G34+'Lincoln Pgs 42-43'!G34+'Mason Pgs 44-45'!G34+'Northeast Tri Pgs 46-47'!G34+'Okanogan Pgs 48-49'!G34+'Pacific Pgs 50-51'!G34+'San Juan Pgs 52-53'!G34+'Seattle-King Pgs 54-55'!G34+'Skagit Pgs 56-57'!G34+'Skamania Pgs 58-59'!G34+'Snohomish Pgs 60-61'!G34+'Spokane Pgs 62-63'!G34+'Tacoma-Pierce Pgs 64-65'!G34+'Thurston Pgs 66-67'!G34+'Wahkiakum Pgs 68-69'!G34+'Walla Walla Pgs 70-71'!G34+'Whatcom Pgs 72-73'!G34+'Whitman Pgs 74-75'!G34+'Yakima Pgs 76-77'!G34</f>
        <v>0</v>
      </c>
      <c r="H34" s="15">
        <f>'Asotin Pgs 10-11'!H34+'Adams Pgs 8-9'!H34+'Benton-Franklin Pgs 12-13'!H34+'Chelan-Douglas Pgs 14-15'!H34+'Clallam Pgs 16-17'!H34+'Clark Pgs 18-19'!H34+'Columbia Pgs 20-21'!H34+'Cowlitz Pgs 22-23'!H34+'Garfield Pgs 24-25'!H34+'Grant Pgs 26-27'!H34+'Grays Harbor Pgs 28-29'!H34+'Island Pgs 30-31'!H34+'Jefferson Pgs 32-33'!H34+'Kitsap Pgs 34-35'!H34+'Kittitas Pgs 36-37'!H34+'Klickitat Pgs 38-39'!H34+'Lewis Pgs 40-41'!H34+'Lincoln Pgs 42-43'!H34+'Mason Pgs 44-45'!H34+'Northeast Tri Pgs 46-47'!H34+'Okanogan Pgs 48-49'!H34+'Pacific Pgs 50-51'!H34+'San Juan Pgs 52-53'!H34+'Seattle-King Pgs 54-55'!H34+'Skagit Pgs 56-57'!H34+'Skamania Pgs 58-59'!H34+'Snohomish Pgs 60-61'!H34+'Spokane Pgs 62-63'!H34+'Tacoma-Pierce Pgs 64-65'!H34+'Thurston Pgs 66-67'!H34+'Wahkiakum Pgs 68-69'!H34+'Walla Walla Pgs 70-71'!H34+'Whatcom Pgs 72-73'!H34+'Whitman Pgs 74-75'!H34+'Yakima Pgs 76-77'!H34</f>
        <v>0</v>
      </c>
      <c r="I34" s="7">
        <f>'Asotin Pgs 10-11'!I34+'Adams Pgs 8-9'!I34+'Benton-Franklin Pgs 12-13'!I34+'Chelan-Douglas Pgs 14-15'!I34+'Clallam Pgs 16-17'!I34+'Clark Pgs 18-19'!I34+'Columbia Pgs 20-21'!I34+'Cowlitz Pgs 22-23'!I34+'Garfield Pgs 24-25'!I34+'Grant Pgs 26-27'!I34+'Grays Harbor Pgs 28-29'!I34+'Island Pgs 30-31'!I34+'Jefferson Pgs 32-33'!I34+'Kitsap Pgs 34-35'!I34+'Kittitas Pgs 36-37'!I34+'Klickitat Pgs 38-39'!I34+'Lewis Pgs 40-41'!I34+'Lincoln Pgs 42-43'!I34+'Mason Pgs 44-45'!I34+'Northeast Tri Pgs 46-47'!I34+'Okanogan Pgs 48-49'!I34+'Pacific Pgs 50-51'!I34+'San Juan Pgs 52-53'!I34+'Seattle-King Pgs 54-55'!I34+'Skagit Pgs 56-57'!I34+'Skamania Pgs 58-59'!I34+'Snohomish Pgs 60-61'!I34+'Spokane Pgs 62-63'!I34+'Tacoma-Pierce Pgs 64-65'!I34+'Thurston Pgs 66-67'!I34+'Wahkiakum Pgs 68-69'!I34+'Walla Walla Pgs 70-71'!I34+'Whatcom Pgs 72-73'!I34+'Whitman Pgs 74-75'!I34+'Yakima Pgs 76-77'!I34</f>
        <v>0</v>
      </c>
      <c r="J34" s="15">
        <f>'Asotin Pgs 10-11'!M34+'Adams Pgs 8-9'!M34+'Benton-Franklin Pgs 12-13'!M34+'Chelan-Douglas Pgs 14-15'!M34+'Clallam Pgs 16-17'!M34+'Clark Pgs 18-19'!M34+'Columbia Pgs 20-21'!M34+'Cowlitz Pgs 22-23'!M34+'Garfield Pgs 24-25'!M34+'Grant Pgs 26-27'!M34+'Grays Harbor Pgs 28-29'!M34+'Island Pgs 30-31'!M34+'Jefferson Pgs 32-33'!M34+'Kitsap Pgs 34-35'!M34+'Kittitas Pgs 36-37'!M34+'Klickitat Pgs 38-39'!M34+'Lewis Pgs 40-41'!M34+'Lincoln Pgs 42-43'!M34+'Mason Pgs 44-45'!M34+'Northeast Tri Pgs 46-47'!M34+'Okanogan Pgs 48-49'!M34+'Pacific Pgs 50-51'!M34+'San Juan Pgs 52-53'!M34+'Seattle-King Pgs 54-55'!M34+'Skagit Pgs 56-57'!M34+'Skamania Pgs 58-59'!M34+'Snohomish Pgs 60-61'!M34+'Spokane Pgs 62-63'!M34+'Tacoma-Pierce Pgs 64-65'!M34+'Thurston Pgs 66-67'!M34+'Wahkiakum Pgs 68-69'!M34+'Walla Walla Pgs 70-71'!M34+'Whatcom Pgs 72-73'!M34+'Whitman Pgs 74-75'!M34+'Yakima Pgs 76-77'!M34</f>
        <v>75299.649999999994</v>
      </c>
      <c r="K34" s="7">
        <f>'Asotin Pgs 10-11'!Q34+'Adams Pgs 8-9'!Q34+'Benton-Franklin Pgs 12-13'!Q34+'Chelan-Douglas Pgs 14-15'!Q34+'Clallam Pgs 16-17'!Q34+'Clark Pgs 18-19'!Q34+'Columbia Pgs 20-21'!Q34+'Cowlitz Pgs 22-23'!Q34+'Garfield Pgs 24-25'!Q34+'Grant Pgs 26-27'!Q34+'Grays Harbor Pgs 28-29'!Q34+'Island Pgs 30-31'!Q34+'Jefferson Pgs 32-33'!Q34+'Kitsap Pgs 34-35'!Q34+'Kittitas Pgs 36-37'!Q34+'Klickitat Pgs 38-39'!Q34+'Lewis Pgs 40-41'!Q34+'Lincoln Pgs 42-43'!Q34+'Mason Pgs 44-45'!Q34+'Northeast Tri Pgs 46-47'!Q34+'Okanogan Pgs 48-49'!Q34+'Pacific Pgs 50-51'!Q34+'San Juan Pgs 52-53'!Q34+'Seattle-King Pgs 54-55'!Q34+'Skagit Pgs 56-57'!Q34+'Skamania Pgs 58-59'!Q34+'Snohomish Pgs 60-61'!Q34+'Spokane Pgs 62-63'!Q34+'Tacoma-Pierce Pgs 64-65'!Q34+'Thurston Pgs 66-67'!Q34+'Wahkiakum Pgs 68-69'!Q34+'Walla Walla Pgs 70-71'!Q34+'Whatcom Pgs 72-73'!Q34+'Whitman Pgs 74-75'!Q34+'Yakima Pgs 76-77'!Q34</f>
        <v>4333230</v>
      </c>
      <c r="L34" s="15">
        <f>'Asotin Pgs 10-11'!R34+'Adams Pgs 8-9'!R34+'Benton-Franklin Pgs 12-13'!R34+'Chelan-Douglas Pgs 14-15'!R34+'Clallam Pgs 16-17'!R34+'Clark Pgs 18-19'!R34+'Columbia Pgs 20-21'!R34+'Cowlitz Pgs 22-23'!R34+'Garfield Pgs 24-25'!R34+'Grant Pgs 26-27'!R34+'Grays Harbor Pgs 28-29'!R34+'Island Pgs 30-31'!R34+'Jefferson Pgs 32-33'!R34+'Kitsap Pgs 34-35'!R34+'Kittitas Pgs 36-37'!R34+'Klickitat Pgs 38-39'!R34+'Lewis Pgs 40-41'!R34+'Lincoln Pgs 42-43'!R34+'Mason Pgs 44-45'!R34+'Northeast Tri Pgs 46-47'!R34+'Okanogan Pgs 48-49'!R34+'Pacific Pgs 50-51'!R34+'San Juan Pgs 52-53'!R34+'Seattle-King Pgs 54-55'!R34+'Skagit Pgs 56-57'!R34+'Skamania Pgs 58-59'!R34+'Snohomish Pgs 60-61'!R34+'Spokane Pgs 62-63'!R34+'Tacoma-Pierce Pgs 64-65'!R34+'Thurston Pgs 66-67'!R34+'Wahkiakum Pgs 68-69'!R34+'Walla Walla Pgs 70-71'!R34+'Whatcom Pgs 72-73'!R34+'Whitman Pgs 74-75'!R34+'Yakima Pgs 76-77'!R34</f>
        <v>34664</v>
      </c>
    </row>
    <row r="35" spans="1:12" x14ac:dyDescent="0.3">
      <c r="A35" s="39">
        <v>562.72</v>
      </c>
      <c r="B35" s="40" t="s">
        <v>61</v>
      </c>
      <c r="C35" s="165">
        <f>'Asotin Pgs 10-11'!C35+'Adams Pgs 8-9'!C35+'Benton-Franklin Pgs 12-13'!C35+'Chelan-Douglas Pgs 14-15'!C35+'Clallam Pgs 16-17'!C35+'Clark Pgs 18-19'!C35+'Columbia Pgs 20-21'!C35+'Cowlitz Pgs 22-23'!C35+'Garfield Pgs 24-25'!C35+'Grant Pgs 26-27'!C35+'Grays Harbor Pgs 28-29'!C35+'Island Pgs 30-31'!C35+'Jefferson Pgs 32-33'!C35+'Kitsap Pgs 34-35'!C35+'Kittitas Pgs 36-37'!C35+'Klickitat Pgs 38-39'!C35+'Lewis Pgs 40-41'!C35+'Lincoln Pgs 42-43'!C35+'Mason Pgs 44-45'!C35+'Northeast Tri Pgs 46-47'!C35+'Okanogan Pgs 48-49'!C35+'Pacific Pgs 50-51'!C35+'San Juan Pgs 52-53'!C35+'Seattle-King Pgs 54-55'!C35+'Skagit Pgs 56-57'!C35+'Skamania Pgs 58-59'!C35+'Snohomish Pgs 60-61'!C35+'Spokane Pgs 62-63'!C35+'Tacoma-Pierce Pgs 64-65'!C35+'Thurston Pgs 66-67'!C35+'Wahkiakum Pgs 68-69'!C35+'Walla Walla Pgs 70-71'!C35+'Whatcom Pgs 72-73'!C35+'Whitman Pgs 74-75'!C35+'Yakima Pgs 76-77'!C35</f>
        <v>3060281</v>
      </c>
      <c r="D35" s="17">
        <f>'Asotin Pgs 10-11'!D35+'Adams Pgs 8-9'!D35+'Benton-Franklin Pgs 12-13'!D35+'Chelan-Douglas Pgs 14-15'!D35+'Clallam Pgs 16-17'!D35+'Clark Pgs 18-19'!D35+'Columbia Pgs 20-21'!D35+'Cowlitz Pgs 22-23'!D35+'Garfield Pgs 24-25'!D35+'Grant Pgs 26-27'!D35+'Grays Harbor Pgs 28-29'!D35+'Island Pgs 30-31'!D35+'Jefferson Pgs 32-33'!D35+'Kitsap Pgs 34-35'!D35+'Kittitas Pgs 36-37'!D35+'Klickitat Pgs 38-39'!D35+'Lewis Pgs 40-41'!D35+'Lincoln Pgs 42-43'!D35+'Mason Pgs 44-45'!D35+'Northeast Tri Pgs 46-47'!D35+'Okanogan Pgs 48-49'!D35+'Pacific Pgs 50-51'!D35+'San Juan Pgs 52-53'!D35+'Seattle-King Pgs 54-55'!D35+'Skagit Pgs 56-57'!D35+'Skamania Pgs 58-59'!D35+'Snohomish Pgs 60-61'!D35+'Spokane Pgs 62-63'!D35+'Tacoma-Pierce Pgs 64-65'!D35+'Thurston Pgs 66-67'!D35+'Wahkiakum Pgs 68-69'!D35+'Walla Walla Pgs 70-71'!D35+'Whatcom Pgs 72-73'!D35+'Whitman Pgs 74-75'!D35+'Yakima Pgs 76-77'!D35</f>
        <v>3589737</v>
      </c>
      <c r="E35" s="165">
        <f>'Asotin Pgs 10-11'!E35+'Adams Pgs 8-9'!E35+'Benton-Franklin Pgs 12-13'!E35+'Chelan-Douglas Pgs 14-15'!E35+'Clallam Pgs 16-17'!E35+'Clark Pgs 18-19'!E35+'Columbia Pgs 20-21'!E35+'Cowlitz Pgs 22-23'!E35+'Garfield Pgs 24-25'!E35+'Grant Pgs 26-27'!E35+'Grays Harbor Pgs 28-29'!E35+'Island Pgs 30-31'!E35+'Jefferson Pgs 32-33'!E35+'Kitsap Pgs 34-35'!E35+'Kittitas Pgs 36-37'!E35+'Klickitat Pgs 38-39'!E35+'Lewis Pgs 40-41'!E35+'Lincoln Pgs 42-43'!E35+'Mason Pgs 44-45'!E35+'Northeast Tri Pgs 46-47'!E35+'Okanogan Pgs 48-49'!E35+'Pacific Pgs 50-51'!E35+'San Juan Pgs 52-53'!E35+'Seattle-King Pgs 54-55'!E35+'Skagit Pgs 56-57'!E35+'Skamania Pgs 58-59'!E35+'Snohomish Pgs 60-61'!E35+'Spokane Pgs 62-63'!E35+'Tacoma-Pierce Pgs 64-65'!E35+'Thurston Pgs 66-67'!E35+'Wahkiakum Pgs 68-69'!E35+'Walla Walla Pgs 70-71'!E35+'Whatcom Pgs 72-73'!E35+'Whitman Pgs 74-75'!E35+'Yakima Pgs 76-77'!E35</f>
        <v>0</v>
      </c>
      <c r="F35" s="8">
        <f>'Asotin Pgs 10-11'!F35+'Adams Pgs 8-9'!F35+'Benton-Franklin Pgs 12-13'!F35+'Chelan-Douglas Pgs 14-15'!F35+'Clallam Pgs 16-17'!F35+'Clark Pgs 18-19'!F35+'Columbia Pgs 20-21'!F35+'Cowlitz Pgs 22-23'!F35+'Garfield Pgs 24-25'!F35+'Grant Pgs 26-27'!F35+'Grays Harbor Pgs 28-29'!F35+'Island Pgs 30-31'!F35+'Jefferson Pgs 32-33'!F35+'Kitsap Pgs 34-35'!F35+'Kittitas Pgs 36-37'!F35+'Klickitat Pgs 38-39'!F35+'Lewis Pgs 40-41'!F35+'Lincoln Pgs 42-43'!F35+'Mason Pgs 44-45'!F35+'Northeast Tri Pgs 46-47'!F35+'Okanogan Pgs 48-49'!F35+'Pacific Pgs 50-51'!F35+'San Juan Pgs 52-53'!F35+'Seattle-King Pgs 54-55'!F35+'Skagit Pgs 56-57'!F35+'Skamania Pgs 58-59'!F35+'Snohomish Pgs 60-61'!F35+'Spokane Pgs 62-63'!F35+'Tacoma-Pierce Pgs 64-65'!F35+'Thurston Pgs 66-67'!F35+'Wahkiakum Pgs 68-69'!F35+'Walla Walla Pgs 70-71'!F35+'Whatcom Pgs 72-73'!F35+'Whitman Pgs 74-75'!F35+'Yakima Pgs 76-77'!F35</f>
        <v>276379</v>
      </c>
      <c r="G35" s="7">
        <f>'Asotin Pgs 10-11'!G35+'Adams Pgs 8-9'!G35+'Benton-Franklin Pgs 12-13'!G35+'Chelan-Douglas Pgs 14-15'!G35+'Clallam Pgs 16-17'!G35+'Clark Pgs 18-19'!G35+'Columbia Pgs 20-21'!G35+'Cowlitz Pgs 22-23'!G35+'Garfield Pgs 24-25'!G35+'Grant Pgs 26-27'!G35+'Grays Harbor Pgs 28-29'!G35+'Island Pgs 30-31'!G35+'Jefferson Pgs 32-33'!G35+'Kitsap Pgs 34-35'!G35+'Kittitas Pgs 36-37'!G35+'Klickitat Pgs 38-39'!G35+'Lewis Pgs 40-41'!G35+'Lincoln Pgs 42-43'!G35+'Mason Pgs 44-45'!G35+'Northeast Tri Pgs 46-47'!G35+'Okanogan Pgs 48-49'!G35+'Pacific Pgs 50-51'!G35+'San Juan Pgs 52-53'!G35+'Seattle-King Pgs 54-55'!G35+'Skagit Pgs 56-57'!G35+'Skamania Pgs 58-59'!G35+'Snohomish Pgs 60-61'!G35+'Spokane Pgs 62-63'!G35+'Tacoma-Pierce Pgs 64-65'!G35+'Thurston Pgs 66-67'!G35+'Wahkiakum Pgs 68-69'!G35+'Walla Walla Pgs 70-71'!G35+'Whatcom Pgs 72-73'!G35+'Whitman Pgs 74-75'!G35+'Yakima Pgs 76-77'!G35</f>
        <v>2100</v>
      </c>
      <c r="H35" s="15">
        <f>'Asotin Pgs 10-11'!H35+'Adams Pgs 8-9'!H35+'Benton-Franklin Pgs 12-13'!H35+'Chelan-Douglas Pgs 14-15'!H35+'Clallam Pgs 16-17'!H35+'Clark Pgs 18-19'!H35+'Columbia Pgs 20-21'!H35+'Cowlitz Pgs 22-23'!H35+'Garfield Pgs 24-25'!H35+'Grant Pgs 26-27'!H35+'Grays Harbor Pgs 28-29'!H35+'Island Pgs 30-31'!H35+'Jefferson Pgs 32-33'!H35+'Kitsap Pgs 34-35'!H35+'Kittitas Pgs 36-37'!H35+'Klickitat Pgs 38-39'!H35+'Lewis Pgs 40-41'!H35+'Lincoln Pgs 42-43'!H35+'Mason Pgs 44-45'!H35+'Northeast Tri Pgs 46-47'!H35+'Okanogan Pgs 48-49'!H35+'Pacific Pgs 50-51'!H35+'San Juan Pgs 52-53'!H35+'Seattle-King Pgs 54-55'!H35+'Skagit Pgs 56-57'!H35+'Skamania Pgs 58-59'!H35+'Snohomish Pgs 60-61'!H35+'Spokane Pgs 62-63'!H35+'Tacoma-Pierce Pgs 64-65'!H35+'Thurston Pgs 66-67'!H35+'Wahkiakum Pgs 68-69'!H35+'Walla Walla Pgs 70-71'!H35+'Whatcom Pgs 72-73'!H35+'Whitman Pgs 74-75'!H35+'Yakima Pgs 76-77'!H35</f>
        <v>0</v>
      </c>
      <c r="I35" s="7">
        <f>'Asotin Pgs 10-11'!I35+'Adams Pgs 8-9'!I35+'Benton-Franklin Pgs 12-13'!I35+'Chelan-Douglas Pgs 14-15'!I35+'Clallam Pgs 16-17'!I35+'Clark Pgs 18-19'!I35+'Columbia Pgs 20-21'!I35+'Cowlitz Pgs 22-23'!I35+'Garfield Pgs 24-25'!I35+'Grant Pgs 26-27'!I35+'Grays Harbor Pgs 28-29'!I35+'Island Pgs 30-31'!I35+'Jefferson Pgs 32-33'!I35+'Kitsap Pgs 34-35'!I35+'Kittitas Pgs 36-37'!I35+'Klickitat Pgs 38-39'!I35+'Lewis Pgs 40-41'!I35+'Lincoln Pgs 42-43'!I35+'Mason Pgs 44-45'!I35+'Northeast Tri Pgs 46-47'!I35+'Okanogan Pgs 48-49'!I35+'Pacific Pgs 50-51'!I35+'San Juan Pgs 52-53'!I35+'Seattle-King Pgs 54-55'!I35+'Skagit Pgs 56-57'!I35+'Skamania Pgs 58-59'!I35+'Snohomish Pgs 60-61'!I35+'Spokane Pgs 62-63'!I35+'Tacoma-Pierce Pgs 64-65'!I35+'Thurston Pgs 66-67'!I35+'Wahkiakum Pgs 68-69'!I35+'Walla Walla Pgs 70-71'!I35+'Whatcom Pgs 72-73'!I35+'Whitman Pgs 74-75'!I35+'Yakima Pgs 76-77'!I35</f>
        <v>165917</v>
      </c>
      <c r="J35" s="15">
        <f>'Asotin Pgs 10-11'!M35+'Adams Pgs 8-9'!M35+'Benton-Franklin Pgs 12-13'!M35+'Chelan-Douglas Pgs 14-15'!M35+'Clallam Pgs 16-17'!M35+'Clark Pgs 18-19'!M35+'Columbia Pgs 20-21'!M35+'Cowlitz Pgs 22-23'!M35+'Garfield Pgs 24-25'!M35+'Grant Pgs 26-27'!M35+'Grays Harbor Pgs 28-29'!M35+'Island Pgs 30-31'!M35+'Jefferson Pgs 32-33'!M35+'Kitsap Pgs 34-35'!M35+'Kittitas Pgs 36-37'!M35+'Klickitat Pgs 38-39'!M35+'Lewis Pgs 40-41'!M35+'Lincoln Pgs 42-43'!M35+'Mason Pgs 44-45'!M35+'Northeast Tri Pgs 46-47'!M35+'Okanogan Pgs 48-49'!M35+'Pacific Pgs 50-51'!M35+'San Juan Pgs 52-53'!M35+'Seattle-King Pgs 54-55'!M35+'Skagit Pgs 56-57'!M35+'Skamania Pgs 58-59'!M35+'Snohomish Pgs 60-61'!M35+'Spokane Pgs 62-63'!M35+'Tacoma-Pierce Pgs 64-65'!M35+'Thurston Pgs 66-67'!M35+'Wahkiakum Pgs 68-69'!M35+'Walla Walla Pgs 70-71'!M35+'Whatcom Pgs 72-73'!M35+'Whitman Pgs 74-75'!M35+'Yakima Pgs 76-77'!M35</f>
        <v>86888</v>
      </c>
      <c r="K35" s="7">
        <f>'Asotin Pgs 10-11'!Q35+'Adams Pgs 8-9'!Q35+'Benton-Franklin Pgs 12-13'!Q35+'Chelan-Douglas Pgs 14-15'!Q35+'Clallam Pgs 16-17'!Q35+'Clark Pgs 18-19'!Q35+'Columbia Pgs 20-21'!Q35+'Cowlitz Pgs 22-23'!Q35+'Garfield Pgs 24-25'!Q35+'Grant Pgs 26-27'!Q35+'Grays Harbor Pgs 28-29'!Q35+'Island Pgs 30-31'!Q35+'Jefferson Pgs 32-33'!Q35+'Kitsap Pgs 34-35'!Q35+'Kittitas Pgs 36-37'!Q35+'Klickitat Pgs 38-39'!Q35+'Lewis Pgs 40-41'!Q35+'Lincoln Pgs 42-43'!Q35+'Mason Pgs 44-45'!Q35+'Northeast Tri Pgs 46-47'!Q35+'Okanogan Pgs 48-49'!Q35+'Pacific Pgs 50-51'!Q35+'San Juan Pgs 52-53'!Q35+'Seattle-King Pgs 54-55'!Q35+'Skagit Pgs 56-57'!Q35+'Skamania Pgs 58-59'!Q35+'Snohomish Pgs 60-61'!Q35+'Spokane Pgs 62-63'!Q35+'Tacoma-Pierce Pgs 64-65'!Q35+'Thurston Pgs 66-67'!Q35+'Wahkiakum Pgs 68-69'!Q35+'Walla Walla Pgs 70-71'!Q35+'Whatcom Pgs 72-73'!Q35+'Whitman Pgs 74-75'!Q35+'Yakima Pgs 76-77'!Q35</f>
        <v>3015294</v>
      </c>
      <c r="L35" s="15">
        <f>'Asotin Pgs 10-11'!R35+'Adams Pgs 8-9'!R35+'Benton-Franklin Pgs 12-13'!R35+'Chelan-Douglas Pgs 14-15'!R35+'Clallam Pgs 16-17'!R35+'Clark Pgs 18-19'!R35+'Columbia Pgs 20-21'!R35+'Cowlitz Pgs 22-23'!R35+'Garfield Pgs 24-25'!R35+'Grant Pgs 26-27'!R35+'Grays Harbor Pgs 28-29'!R35+'Island Pgs 30-31'!R35+'Jefferson Pgs 32-33'!R35+'Kitsap Pgs 34-35'!R35+'Kittitas Pgs 36-37'!R35+'Klickitat Pgs 38-39'!R35+'Lewis Pgs 40-41'!R35+'Lincoln Pgs 42-43'!R35+'Mason Pgs 44-45'!R35+'Northeast Tri Pgs 46-47'!R35+'Okanogan Pgs 48-49'!R35+'Pacific Pgs 50-51'!R35+'San Juan Pgs 52-53'!R35+'Seattle-King Pgs 54-55'!R35+'Skagit Pgs 56-57'!R35+'Skamania Pgs 58-59'!R35+'Snohomish Pgs 60-61'!R35+'Spokane Pgs 62-63'!R35+'Tacoma-Pierce Pgs 64-65'!R35+'Thurston Pgs 66-67'!R35+'Wahkiakum Pgs 68-69'!R35+'Walla Walla Pgs 70-71'!R35+'Whatcom Pgs 72-73'!R35+'Whitman Pgs 74-75'!R35+'Yakima Pgs 76-77'!R35</f>
        <v>43159</v>
      </c>
    </row>
    <row r="36" spans="1:12" x14ac:dyDescent="0.3">
      <c r="A36" s="39">
        <v>562.73</v>
      </c>
      <c r="B36" s="40" t="s">
        <v>62</v>
      </c>
      <c r="C36" s="165">
        <f>'Asotin Pgs 10-11'!C36+'Adams Pgs 8-9'!C36+'Benton-Franklin Pgs 12-13'!C36+'Chelan-Douglas Pgs 14-15'!C36+'Clallam Pgs 16-17'!C36+'Clark Pgs 18-19'!C36+'Columbia Pgs 20-21'!C36+'Cowlitz Pgs 22-23'!C36+'Garfield Pgs 24-25'!C36+'Grant Pgs 26-27'!C36+'Grays Harbor Pgs 28-29'!C36+'Island Pgs 30-31'!C36+'Jefferson Pgs 32-33'!C36+'Kitsap Pgs 34-35'!C36+'Kittitas Pgs 36-37'!C36+'Klickitat Pgs 38-39'!C36+'Lewis Pgs 40-41'!C36+'Lincoln Pgs 42-43'!C36+'Mason Pgs 44-45'!C36+'Northeast Tri Pgs 46-47'!C36+'Okanogan Pgs 48-49'!C36+'Pacific Pgs 50-51'!C36+'San Juan Pgs 52-53'!C36+'Seattle-King Pgs 54-55'!C36+'Skagit Pgs 56-57'!C36+'Skamania Pgs 58-59'!C36+'Snohomish Pgs 60-61'!C36+'Spokane Pgs 62-63'!C36+'Tacoma-Pierce Pgs 64-65'!C36+'Thurston Pgs 66-67'!C36+'Wahkiakum Pgs 68-69'!C36+'Walla Walla Pgs 70-71'!C36+'Whatcom Pgs 72-73'!C36+'Whitman Pgs 74-75'!C36+'Yakima Pgs 76-77'!C36</f>
        <v>2174402</v>
      </c>
      <c r="D36" s="17">
        <f>'Asotin Pgs 10-11'!D36+'Adams Pgs 8-9'!D36+'Benton-Franklin Pgs 12-13'!D36+'Chelan-Douglas Pgs 14-15'!D36+'Clallam Pgs 16-17'!D36+'Clark Pgs 18-19'!D36+'Columbia Pgs 20-21'!D36+'Cowlitz Pgs 22-23'!D36+'Garfield Pgs 24-25'!D36+'Grant Pgs 26-27'!D36+'Grays Harbor Pgs 28-29'!D36+'Island Pgs 30-31'!D36+'Jefferson Pgs 32-33'!D36+'Kitsap Pgs 34-35'!D36+'Kittitas Pgs 36-37'!D36+'Klickitat Pgs 38-39'!D36+'Lewis Pgs 40-41'!D36+'Lincoln Pgs 42-43'!D36+'Mason Pgs 44-45'!D36+'Northeast Tri Pgs 46-47'!D36+'Okanogan Pgs 48-49'!D36+'Pacific Pgs 50-51'!D36+'San Juan Pgs 52-53'!D36+'Seattle-King Pgs 54-55'!D36+'Skagit Pgs 56-57'!D36+'Skamania Pgs 58-59'!D36+'Snohomish Pgs 60-61'!D36+'Spokane Pgs 62-63'!D36+'Tacoma-Pierce Pgs 64-65'!D36+'Thurston Pgs 66-67'!D36+'Wahkiakum Pgs 68-69'!D36+'Walla Walla Pgs 70-71'!D36+'Whatcom Pgs 72-73'!D36+'Whitman Pgs 74-75'!D36+'Yakima Pgs 76-77'!D36</f>
        <v>3258168</v>
      </c>
      <c r="E36" s="165">
        <f>'Asotin Pgs 10-11'!E36+'Adams Pgs 8-9'!E36+'Benton-Franklin Pgs 12-13'!E36+'Chelan-Douglas Pgs 14-15'!E36+'Clallam Pgs 16-17'!E36+'Clark Pgs 18-19'!E36+'Columbia Pgs 20-21'!E36+'Cowlitz Pgs 22-23'!E36+'Garfield Pgs 24-25'!E36+'Grant Pgs 26-27'!E36+'Grays Harbor Pgs 28-29'!E36+'Island Pgs 30-31'!E36+'Jefferson Pgs 32-33'!E36+'Kitsap Pgs 34-35'!E36+'Kittitas Pgs 36-37'!E36+'Klickitat Pgs 38-39'!E36+'Lewis Pgs 40-41'!E36+'Lincoln Pgs 42-43'!E36+'Mason Pgs 44-45'!E36+'Northeast Tri Pgs 46-47'!E36+'Okanogan Pgs 48-49'!E36+'Pacific Pgs 50-51'!E36+'San Juan Pgs 52-53'!E36+'Seattle-King Pgs 54-55'!E36+'Skagit Pgs 56-57'!E36+'Skamania Pgs 58-59'!E36+'Snohomish Pgs 60-61'!E36+'Spokane Pgs 62-63'!E36+'Tacoma-Pierce Pgs 64-65'!E36+'Thurston Pgs 66-67'!E36+'Wahkiakum Pgs 68-69'!E36+'Walla Walla Pgs 70-71'!E36+'Whatcom Pgs 72-73'!E36+'Whitman Pgs 74-75'!E36+'Yakima Pgs 76-77'!E36</f>
        <v>70232</v>
      </c>
      <c r="F36" s="8">
        <f>'Asotin Pgs 10-11'!F36+'Adams Pgs 8-9'!F36+'Benton-Franklin Pgs 12-13'!F36+'Chelan-Douglas Pgs 14-15'!F36+'Clallam Pgs 16-17'!F36+'Clark Pgs 18-19'!F36+'Columbia Pgs 20-21'!F36+'Cowlitz Pgs 22-23'!F36+'Garfield Pgs 24-25'!F36+'Grant Pgs 26-27'!F36+'Grays Harbor Pgs 28-29'!F36+'Island Pgs 30-31'!F36+'Jefferson Pgs 32-33'!F36+'Kitsap Pgs 34-35'!F36+'Kittitas Pgs 36-37'!F36+'Klickitat Pgs 38-39'!F36+'Lewis Pgs 40-41'!F36+'Lincoln Pgs 42-43'!F36+'Mason Pgs 44-45'!F36+'Northeast Tri Pgs 46-47'!F36+'Okanogan Pgs 48-49'!F36+'Pacific Pgs 50-51'!F36+'San Juan Pgs 52-53'!F36+'Seattle-King Pgs 54-55'!F36+'Skagit Pgs 56-57'!F36+'Skamania Pgs 58-59'!F36+'Snohomish Pgs 60-61'!F36+'Spokane Pgs 62-63'!F36+'Tacoma-Pierce Pgs 64-65'!F36+'Thurston Pgs 66-67'!F36+'Wahkiakum Pgs 68-69'!F36+'Walla Walla Pgs 70-71'!F36+'Whatcom Pgs 72-73'!F36+'Whitman Pgs 74-75'!F36+'Yakima Pgs 76-77'!F36</f>
        <v>339565</v>
      </c>
      <c r="G36" s="7">
        <f>'Asotin Pgs 10-11'!G36+'Adams Pgs 8-9'!G36+'Benton-Franklin Pgs 12-13'!G36+'Chelan-Douglas Pgs 14-15'!G36+'Clallam Pgs 16-17'!G36+'Clark Pgs 18-19'!G36+'Columbia Pgs 20-21'!G36+'Cowlitz Pgs 22-23'!G36+'Garfield Pgs 24-25'!G36+'Grant Pgs 26-27'!G36+'Grays Harbor Pgs 28-29'!G36+'Island Pgs 30-31'!G36+'Jefferson Pgs 32-33'!G36+'Kitsap Pgs 34-35'!G36+'Kittitas Pgs 36-37'!G36+'Klickitat Pgs 38-39'!G36+'Lewis Pgs 40-41'!G36+'Lincoln Pgs 42-43'!G36+'Mason Pgs 44-45'!G36+'Northeast Tri Pgs 46-47'!G36+'Okanogan Pgs 48-49'!G36+'Pacific Pgs 50-51'!G36+'San Juan Pgs 52-53'!G36+'Seattle-King Pgs 54-55'!G36+'Skagit Pgs 56-57'!G36+'Skamania Pgs 58-59'!G36+'Snohomish Pgs 60-61'!G36+'Spokane Pgs 62-63'!G36+'Tacoma-Pierce Pgs 64-65'!G36+'Thurston Pgs 66-67'!G36+'Wahkiakum Pgs 68-69'!G36+'Walla Walla Pgs 70-71'!G36+'Whatcom Pgs 72-73'!G36+'Whitman Pgs 74-75'!G36+'Yakima Pgs 76-77'!G36</f>
        <v>0</v>
      </c>
      <c r="H36" s="15">
        <f>'Asotin Pgs 10-11'!H36+'Adams Pgs 8-9'!H36+'Benton-Franklin Pgs 12-13'!H36+'Chelan-Douglas Pgs 14-15'!H36+'Clallam Pgs 16-17'!H36+'Clark Pgs 18-19'!H36+'Columbia Pgs 20-21'!H36+'Cowlitz Pgs 22-23'!H36+'Garfield Pgs 24-25'!H36+'Grant Pgs 26-27'!H36+'Grays Harbor Pgs 28-29'!H36+'Island Pgs 30-31'!H36+'Jefferson Pgs 32-33'!H36+'Kitsap Pgs 34-35'!H36+'Kittitas Pgs 36-37'!H36+'Klickitat Pgs 38-39'!H36+'Lewis Pgs 40-41'!H36+'Lincoln Pgs 42-43'!H36+'Mason Pgs 44-45'!H36+'Northeast Tri Pgs 46-47'!H36+'Okanogan Pgs 48-49'!H36+'Pacific Pgs 50-51'!H36+'San Juan Pgs 52-53'!H36+'Seattle-King Pgs 54-55'!H36+'Skagit Pgs 56-57'!H36+'Skamania Pgs 58-59'!H36+'Snohomish Pgs 60-61'!H36+'Spokane Pgs 62-63'!H36+'Tacoma-Pierce Pgs 64-65'!H36+'Thurston Pgs 66-67'!H36+'Wahkiakum Pgs 68-69'!H36+'Walla Walla Pgs 70-71'!H36+'Whatcom Pgs 72-73'!H36+'Whitman Pgs 74-75'!H36+'Yakima Pgs 76-77'!H36</f>
        <v>56544</v>
      </c>
      <c r="I36" s="7">
        <f>'Asotin Pgs 10-11'!I36+'Adams Pgs 8-9'!I36+'Benton-Franklin Pgs 12-13'!I36+'Chelan-Douglas Pgs 14-15'!I36+'Clallam Pgs 16-17'!I36+'Clark Pgs 18-19'!I36+'Columbia Pgs 20-21'!I36+'Cowlitz Pgs 22-23'!I36+'Garfield Pgs 24-25'!I36+'Grant Pgs 26-27'!I36+'Grays Harbor Pgs 28-29'!I36+'Island Pgs 30-31'!I36+'Jefferson Pgs 32-33'!I36+'Kitsap Pgs 34-35'!I36+'Kittitas Pgs 36-37'!I36+'Klickitat Pgs 38-39'!I36+'Lewis Pgs 40-41'!I36+'Lincoln Pgs 42-43'!I36+'Mason Pgs 44-45'!I36+'Northeast Tri Pgs 46-47'!I36+'Okanogan Pgs 48-49'!I36+'Pacific Pgs 50-51'!I36+'San Juan Pgs 52-53'!I36+'Seattle-King Pgs 54-55'!I36+'Skagit Pgs 56-57'!I36+'Skamania Pgs 58-59'!I36+'Snohomish Pgs 60-61'!I36+'Spokane Pgs 62-63'!I36+'Tacoma-Pierce Pgs 64-65'!I36+'Thurston Pgs 66-67'!I36+'Wahkiakum Pgs 68-69'!I36+'Walla Walla Pgs 70-71'!I36+'Whatcom Pgs 72-73'!I36+'Whitman Pgs 74-75'!I36+'Yakima Pgs 76-77'!I36</f>
        <v>1538799</v>
      </c>
      <c r="J36" s="15">
        <f>'Asotin Pgs 10-11'!M36+'Adams Pgs 8-9'!M36+'Benton-Franklin Pgs 12-13'!M36+'Chelan-Douglas Pgs 14-15'!M36+'Clallam Pgs 16-17'!M36+'Clark Pgs 18-19'!M36+'Columbia Pgs 20-21'!M36+'Cowlitz Pgs 22-23'!M36+'Garfield Pgs 24-25'!M36+'Grant Pgs 26-27'!M36+'Grays Harbor Pgs 28-29'!M36+'Island Pgs 30-31'!M36+'Jefferson Pgs 32-33'!M36+'Kitsap Pgs 34-35'!M36+'Kittitas Pgs 36-37'!M36+'Klickitat Pgs 38-39'!M36+'Lewis Pgs 40-41'!M36+'Lincoln Pgs 42-43'!M36+'Mason Pgs 44-45'!M36+'Northeast Tri Pgs 46-47'!M36+'Okanogan Pgs 48-49'!M36+'Pacific Pgs 50-51'!M36+'San Juan Pgs 52-53'!M36+'Seattle-King Pgs 54-55'!M36+'Skagit Pgs 56-57'!M36+'Skamania Pgs 58-59'!M36+'Snohomish Pgs 60-61'!M36+'Spokane Pgs 62-63'!M36+'Tacoma-Pierce Pgs 64-65'!M36+'Thurston Pgs 66-67'!M36+'Wahkiakum Pgs 68-69'!M36+'Walla Walla Pgs 70-71'!M36+'Whatcom Pgs 72-73'!M36+'Whitman Pgs 74-75'!M36+'Yakima Pgs 76-77'!M36</f>
        <v>664392</v>
      </c>
      <c r="K36" s="7">
        <f>'Asotin Pgs 10-11'!Q36+'Adams Pgs 8-9'!Q36+'Benton-Franklin Pgs 12-13'!Q36+'Chelan-Douglas Pgs 14-15'!Q36+'Clallam Pgs 16-17'!Q36+'Clark Pgs 18-19'!Q36+'Columbia Pgs 20-21'!Q36+'Cowlitz Pgs 22-23'!Q36+'Garfield Pgs 24-25'!Q36+'Grant Pgs 26-27'!Q36+'Grays Harbor Pgs 28-29'!Q36+'Island Pgs 30-31'!Q36+'Jefferson Pgs 32-33'!Q36+'Kitsap Pgs 34-35'!Q36+'Kittitas Pgs 36-37'!Q36+'Klickitat Pgs 38-39'!Q36+'Lewis Pgs 40-41'!Q36+'Lincoln Pgs 42-43'!Q36+'Mason Pgs 44-45'!Q36+'Northeast Tri Pgs 46-47'!Q36+'Okanogan Pgs 48-49'!Q36+'Pacific Pgs 50-51'!Q36+'San Juan Pgs 52-53'!Q36+'Seattle-King Pgs 54-55'!Q36+'Skagit Pgs 56-57'!Q36+'Skamania Pgs 58-59'!Q36+'Snohomish Pgs 60-61'!Q36+'Spokane Pgs 62-63'!Q36+'Tacoma-Pierce Pgs 64-65'!Q36+'Thurston Pgs 66-67'!Q36+'Wahkiakum Pgs 68-69'!Q36+'Walla Walla Pgs 70-71'!Q36+'Whatcom Pgs 72-73'!Q36+'Whitman Pgs 74-75'!Q36+'Yakima Pgs 76-77'!Q36</f>
        <v>584513</v>
      </c>
      <c r="L36" s="15">
        <f>'Asotin Pgs 10-11'!R36+'Adams Pgs 8-9'!R36+'Benton-Franklin Pgs 12-13'!R36+'Chelan-Douglas Pgs 14-15'!R36+'Clallam Pgs 16-17'!R36+'Clark Pgs 18-19'!R36+'Columbia Pgs 20-21'!R36+'Cowlitz Pgs 22-23'!R36+'Garfield Pgs 24-25'!R36+'Grant Pgs 26-27'!R36+'Grays Harbor Pgs 28-29'!R36+'Island Pgs 30-31'!R36+'Jefferson Pgs 32-33'!R36+'Kitsap Pgs 34-35'!R36+'Kittitas Pgs 36-37'!R36+'Klickitat Pgs 38-39'!R36+'Lewis Pgs 40-41'!R36+'Lincoln Pgs 42-43'!R36+'Mason Pgs 44-45'!R36+'Northeast Tri Pgs 46-47'!R36+'Okanogan Pgs 48-49'!R36+'Pacific Pgs 50-51'!R36+'San Juan Pgs 52-53'!R36+'Seattle-King Pgs 54-55'!R36+'Skagit Pgs 56-57'!R36+'Skamania Pgs 58-59'!R36+'Snohomish Pgs 60-61'!R36+'Spokane Pgs 62-63'!R36+'Tacoma-Pierce Pgs 64-65'!R36+'Thurston Pgs 66-67'!R36+'Wahkiakum Pgs 68-69'!R36+'Walla Walla Pgs 70-71'!R36+'Whatcom Pgs 72-73'!R36+'Whitman Pgs 74-75'!R36+'Yakima Pgs 76-77'!R36</f>
        <v>4123</v>
      </c>
    </row>
    <row r="37" spans="1:12" x14ac:dyDescent="0.3">
      <c r="A37" s="39">
        <v>562.74</v>
      </c>
      <c r="B37" s="141" t="s">
        <v>90</v>
      </c>
      <c r="C37" s="165">
        <f>'Asotin Pgs 10-11'!C37+'Adams Pgs 8-9'!C37+'Benton-Franklin Pgs 12-13'!C37+'Chelan-Douglas Pgs 14-15'!C37+'Clallam Pgs 16-17'!C37+'Clark Pgs 18-19'!C37+'Columbia Pgs 20-21'!C37+'Cowlitz Pgs 22-23'!C37+'Garfield Pgs 24-25'!C37+'Grant Pgs 26-27'!C37+'Grays Harbor Pgs 28-29'!C37+'Island Pgs 30-31'!C37+'Jefferson Pgs 32-33'!C37+'Kitsap Pgs 34-35'!C37+'Kittitas Pgs 36-37'!C37+'Klickitat Pgs 38-39'!C37+'Lewis Pgs 40-41'!C37+'Lincoln Pgs 42-43'!C37+'Mason Pgs 44-45'!C37+'Northeast Tri Pgs 46-47'!C37+'Okanogan Pgs 48-49'!C37+'Pacific Pgs 50-51'!C37+'San Juan Pgs 52-53'!C37+'Seattle-King Pgs 54-55'!C37+'Skagit Pgs 56-57'!C37+'Skamania Pgs 58-59'!C37+'Snohomish Pgs 60-61'!C37+'Spokane Pgs 62-63'!C37+'Tacoma-Pierce Pgs 64-65'!C37+'Thurston Pgs 66-67'!C37+'Wahkiakum Pgs 68-69'!C37+'Walla Walla Pgs 70-71'!C37+'Whatcom Pgs 72-73'!C37+'Whitman Pgs 74-75'!C37+'Yakima Pgs 76-77'!C37</f>
        <v>18982435</v>
      </c>
      <c r="D37" s="17">
        <f>'Asotin Pgs 10-11'!D37+'Adams Pgs 8-9'!D37+'Benton-Franklin Pgs 12-13'!D37+'Chelan-Douglas Pgs 14-15'!D37+'Clallam Pgs 16-17'!D37+'Clark Pgs 18-19'!D37+'Columbia Pgs 20-21'!D37+'Cowlitz Pgs 22-23'!D37+'Garfield Pgs 24-25'!D37+'Grant Pgs 26-27'!D37+'Grays Harbor Pgs 28-29'!D37+'Island Pgs 30-31'!D37+'Jefferson Pgs 32-33'!D37+'Kitsap Pgs 34-35'!D37+'Kittitas Pgs 36-37'!D37+'Klickitat Pgs 38-39'!D37+'Lewis Pgs 40-41'!D37+'Lincoln Pgs 42-43'!D37+'Mason Pgs 44-45'!D37+'Northeast Tri Pgs 46-47'!D37+'Okanogan Pgs 48-49'!D37+'Pacific Pgs 50-51'!D37+'San Juan Pgs 52-53'!D37+'Seattle-King Pgs 54-55'!D37+'Skagit Pgs 56-57'!D37+'Skamania Pgs 58-59'!D37+'Snohomish Pgs 60-61'!D37+'Spokane Pgs 62-63'!D37+'Tacoma-Pierce Pgs 64-65'!D37+'Thurston Pgs 66-67'!D37+'Wahkiakum Pgs 68-69'!D37+'Walla Walla Pgs 70-71'!D37+'Whatcom Pgs 72-73'!D37+'Whitman Pgs 74-75'!D37+'Yakima Pgs 76-77'!D37</f>
        <v>20686722</v>
      </c>
      <c r="E37" s="165">
        <f>'Asotin Pgs 10-11'!E37+'Adams Pgs 8-9'!E37+'Benton-Franklin Pgs 12-13'!E37+'Chelan-Douglas Pgs 14-15'!E37+'Clallam Pgs 16-17'!E37+'Clark Pgs 18-19'!E37+'Columbia Pgs 20-21'!E37+'Cowlitz Pgs 22-23'!E37+'Garfield Pgs 24-25'!E37+'Grant Pgs 26-27'!E37+'Grays Harbor Pgs 28-29'!E37+'Island Pgs 30-31'!E37+'Jefferson Pgs 32-33'!E37+'Kitsap Pgs 34-35'!E37+'Kittitas Pgs 36-37'!E37+'Klickitat Pgs 38-39'!E37+'Lewis Pgs 40-41'!E37+'Lincoln Pgs 42-43'!E37+'Mason Pgs 44-45'!E37+'Northeast Tri Pgs 46-47'!E37+'Okanogan Pgs 48-49'!E37+'Pacific Pgs 50-51'!E37+'San Juan Pgs 52-53'!E37+'Seattle-King Pgs 54-55'!E37+'Skagit Pgs 56-57'!E37+'Skamania Pgs 58-59'!E37+'Snohomish Pgs 60-61'!E37+'Spokane Pgs 62-63'!E37+'Tacoma-Pierce Pgs 64-65'!E37+'Thurston Pgs 66-67'!E37+'Wahkiakum Pgs 68-69'!E37+'Walla Walla Pgs 70-71'!E37+'Whatcom Pgs 72-73'!E37+'Whitman Pgs 74-75'!E37+'Yakima Pgs 76-77'!E37</f>
        <v>0</v>
      </c>
      <c r="F37" s="8">
        <f>'Asotin Pgs 10-11'!F37+'Adams Pgs 8-9'!F37+'Benton-Franklin Pgs 12-13'!F37+'Chelan-Douglas Pgs 14-15'!F37+'Clallam Pgs 16-17'!F37+'Clark Pgs 18-19'!F37+'Columbia Pgs 20-21'!F37+'Cowlitz Pgs 22-23'!F37+'Garfield Pgs 24-25'!F37+'Grant Pgs 26-27'!F37+'Grays Harbor Pgs 28-29'!F37+'Island Pgs 30-31'!F37+'Jefferson Pgs 32-33'!F37+'Kitsap Pgs 34-35'!F37+'Kittitas Pgs 36-37'!F37+'Klickitat Pgs 38-39'!F37+'Lewis Pgs 40-41'!F37+'Lincoln Pgs 42-43'!F37+'Mason Pgs 44-45'!F37+'Northeast Tri Pgs 46-47'!F37+'Okanogan Pgs 48-49'!F37+'Pacific Pgs 50-51'!F37+'San Juan Pgs 52-53'!F37+'Seattle-King Pgs 54-55'!F37+'Skagit Pgs 56-57'!F37+'Skamania Pgs 58-59'!F37+'Snohomish Pgs 60-61'!F37+'Spokane Pgs 62-63'!F37+'Tacoma-Pierce Pgs 64-65'!F37+'Thurston Pgs 66-67'!F37+'Wahkiakum Pgs 68-69'!F37+'Walla Walla Pgs 70-71'!F37+'Whatcom Pgs 72-73'!F37+'Whitman Pgs 74-75'!F37+'Yakima Pgs 76-77'!F37</f>
        <v>199294</v>
      </c>
      <c r="G37" s="7">
        <f>'Asotin Pgs 10-11'!G37+'Adams Pgs 8-9'!G37+'Benton-Franklin Pgs 12-13'!G37+'Chelan-Douglas Pgs 14-15'!G37+'Clallam Pgs 16-17'!G37+'Clark Pgs 18-19'!G37+'Columbia Pgs 20-21'!G37+'Cowlitz Pgs 22-23'!G37+'Garfield Pgs 24-25'!G37+'Grant Pgs 26-27'!G37+'Grays Harbor Pgs 28-29'!G37+'Island Pgs 30-31'!G37+'Jefferson Pgs 32-33'!G37+'Kitsap Pgs 34-35'!G37+'Kittitas Pgs 36-37'!G37+'Klickitat Pgs 38-39'!G37+'Lewis Pgs 40-41'!G37+'Lincoln Pgs 42-43'!G37+'Mason Pgs 44-45'!G37+'Northeast Tri Pgs 46-47'!G37+'Okanogan Pgs 48-49'!G37+'Pacific Pgs 50-51'!G37+'San Juan Pgs 52-53'!G37+'Seattle-King Pgs 54-55'!G37+'Skagit Pgs 56-57'!G37+'Skamania Pgs 58-59'!G37+'Snohomish Pgs 60-61'!G37+'Spokane Pgs 62-63'!G37+'Tacoma-Pierce Pgs 64-65'!G37+'Thurston Pgs 66-67'!G37+'Wahkiakum Pgs 68-69'!G37+'Walla Walla Pgs 70-71'!G37+'Whatcom Pgs 72-73'!G37+'Whitman Pgs 74-75'!G37+'Yakima Pgs 76-77'!G37</f>
        <v>0</v>
      </c>
      <c r="H37" s="15">
        <f>'Asotin Pgs 10-11'!H37+'Adams Pgs 8-9'!H37+'Benton-Franklin Pgs 12-13'!H37+'Chelan-Douglas Pgs 14-15'!H37+'Clallam Pgs 16-17'!H37+'Clark Pgs 18-19'!H37+'Columbia Pgs 20-21'!H37+'Cowlitz Pgs 22-23'!H37+'Garfield Pgs 24-25'!H37+'Grant Pgs 26-27'!H37+'Grays Harbor Pgs 28-29'!H37+'Island Pgs 30-31'!H37+'Jefferson Pgs 32-33'!H37+'Kitsap Pgs 34-35'!H37+'Kittitas Pgs 36-37'!H37+'Klickitat Pgs 38-39'!H37+'Lewis Pgs 40-41'!H37+'Lincoln Pgs 42-43'!H37+'Mason Pgs 44-45'!H37+'Northeast Tri Pgs 46-47'!H37+'Okanogan Pgs 48-49'!H37+'Pacific Pgs 50-51'!H37+'San Juan Pgs 52-53'!H37+'Seattle-King Pgs 54-55'!H37+'Skagit Pgs 56-57'!H37+'Skamania Pgs 58-59'!H37+'Snohomish Pgs 60-61'!H37+'Spokane Pgs 62-63'!H37+'Tacoma-Pierce Pgs 64-65'!H37+'Thurston Pgs 66-67'!H37+'Wahkiakum Pgs 68-69'!H37+'Walla Walla Pgs 70-71'!H37+'Whatcom Pgs 72-73'!H37+'Whitman Pgs 74-75'!H37+'Yakima Pgs 76-77'!H37</f>
        <v>1534078</v>
      </c>
      <c r="I37" s="7">
        <f>'Asotin Pgs 10-11'!I37+'Adams Pgs 8-9'!I37+'Benton-Franklin Pgs 12-13'!I37+'Chelan-Douglas Pgs 14-15'!I37+'Clallam Pgs 16-17'!I37+'Clark Pgs 18-19'!I37+'Columbia Pgs 20-21'!I37+'Cowlitz Pgs 22-23'!I37+'Garfield Pgs 24-25'!I37+'Grant Pgs 26-27'!I37+'Grays Harbor Pgs 28-29'!I37+'Island Pgs 30-31'!I37+'Jefferson Pgs 32-33'!I37+'Kitsap Pgs 34-35'!I37+'Kittitas Pgs 36-37'!I37+'Klickitat Pgs 38-39'!I37+'Lewis Pgs 40-41'!I37+'Lincoln Pgs 42-43'!I37+'Mason Pgs 44-45'!I37+'Northeast Tri Pgs 46-47'!I37+'Okanogan Pgs 48-49'!I37+'Pacific Pgs 50-51'!I37+'San Juan Pgs 52-53'!I37+'Seattle-King Pgs 54-55'!I37+'Skagit Pgs 56-57'!I37+'Skamania Pgs 58-59'!I37+'Snohomish Pgs 60-61'!I37+'Spokane Pgs 62-63'!I37+'Tacoma-Pierce Pgs 64-65'!I37+'Thurston Pgs 66-67'!I37+'Wahkiakum Pgs 68-69'!I37+'Walla Walla Pgs 70-71'!I37+'Whatcom Pgs 72-73'!I37+'Whitman Pgs 74-75'!I37+'Yakima Pgs 76-77'!I37</f>
        <v>0</v>
      </c>
      <c r="J37" s="15">
        <f>'Asotin Pgs 10-11'!M37+'Adams Pgs 8-9'!M37+'Benton-Franklin Pgs 12-13'!M37+'Chelan-Douglas Pgs 14-15'!M37+'Clallam Pgs 16-17'!M37+'Clark Pgs 18-19'!M37+'Columbia Pgs 20-21'!M37+'Cowlitz Pgs 22-23'!M37+'Garfield Pgs 24-25'!M37+'Grant Pgs 26-27'!M37+'Grays Harbor Pgs 28-29'!M37+'Island Pgs 30-31'!M37+'Jefferson Pgs 32-33'!M37+'Kitsap Pgs 34-35'!M37+'Kittitas Pgs 36-37'!M37+'Klickitat Pgs 38-39'!M37+'Lewis Pgs 40-41'!M37+'Lincoln Pgs 42-43'!M37+'Mason Pgs 44-45'!M37+'Northeast Tri Pgs 46-47'!M37+'Okanogan Pgs 48-49'!M37+'Pacific Pgs 50-51'!M37+'San Juan Pgs 52-53'!M37+'Seattle-King Pgs 54-55'!M37+'Skagit Pgs 56-57'!M37+'Skamania Pgs 58-59'!M37+'Snohomish Pgs 60-61'!M37+'Spokane Pgs 62-63'!M37+'Tacoma-Pierce Pgs 64-65'!M37+'Thurston Pgs 66-67'!M37+'Wahkiakum Pgs 68-69'!M37+'Walla Walla Pgs 70-71'!M37+'Whatcom Pgs 72-73'!M37+'Whitman Pgs 74-75'!M37+'Yakima Pgs 76-77'!M37</f>
        <v>15878292</v>
      </c>
      <c r="K37" s="7">
        <f>'Asotin Pgs 10-11'!Q37+'Adams Pgs 8-9'!Q37+'Benton-Franklin Pgs 12-13'!Q37+'Chelan-Douglas Pgs 14-15'!Q37+'Clallam Pgs 16-17'!Q37+'Clark Pgs 18-19'!Q37+'Columbia Pgs 20-21'!Q37+'Cowlitz Pgs 22-23'!Q37+'Garfield Pgs 24-25'!Q37+'Grant Pgs 26-27'!Q37+'Grays Harbor Pgs 28-29'!Q37+'Island Pgs 30-31'!Q37+'Jefferson Pgs 32-33'!Q37+'Kitsap Pgs 34-35'!Q37+'Kittitas Pgs 36-37'!Q37+'Klickitat Pgs 38-39'!Q37+'Lewis Pgs 40-41'!Q37+'Lincoln Pgs 42-43'!Q37+'Mason Pgs 44-45'!Q37+'Northeast Tri Pgs 46-47'!Q37+'Okanogan Pgs 48-49'!Q37+'Pacific Pgs 50-51'!Q37+'San Juan Pgs 52-53'!Q37+'Seattle-King Pgs 54-55'!Q37+'Skagit Pgs 56-57'!Q37+'Skamania Pgs 58-59'!Q37+'Snohomish Pgs 60-61'!Q37+'Spokane Pgs 62-63'!Q37+'Tacoma-Pierce Pgs 64-65'!Q37+'Thurston Pgs 66-67'!Q37+'Wahkiakum Pgs 68-69'!Q37+'Walla Walla Pgs 70-71'!Q37+'Whatcom Pgs 72-73'!Q37+'Whitman Pgs 74-75'!Q37+'Yakima Pgs 76-77'!Q37</f>
        <v>2174686</v>
      </c>
      <c r="L37" s="15">
        <f>'Asotin Pgs 10-11'!R37+'Adams Pgs 8-9'!R37+'Benton-Franklin Pgs 12-13'!R37+'Chelan-Douglas Pgs 14-15'!R37+'Clallam Pgs 16-17'!R37+'Clark Pgs 18-19'!R37+'Columbia Pgs 20-21'!R37+'Cowlitz Pgs 22-23'!R37+'Garfield Pgs 24-25'!R37+'Grant Pgs 26-27'!R37+'Grays Harbor Pgs 28-29'!R37+'Island Pgs 30-31'!R37+'Jefferson Pgs 32-33'!R37+'Kitsap Pgs 34-35'!R37+'Kittitas Pgs 36-37'!R37+'Klickitat Pgs 38-39'!R37+'Lewis Pgs 40-41'!R37+'Lincoln Pgs 42-43'!R37+'Mason Pgs 44-45'!R37+'Northeast Tri Pgs 46-47'!R37+'Okanogan Pgs 48-49'!R37+'Pacific Pgs 50-51'!R37+'San Juan Pgs 52-53'!R37+'Seattle-King Pgs 54-55'!R37+'Skagit Pgs 56-57'!R37+'Skamania Pgs 58-59'!R37+'Snohomish Pgs 60-61'!R37+'Spokane Pgs 62-63'!R37+'Tacoma-Pierce Pgs 64-65'!R37+'Thurston Pgs 66-67'!R37+'Wahkiakum Pgs 68-69'!R37+'Walla Walla Pgs 70-71'!R37+'Whatcom Pgs 72-73'!R37+'Whitman Pgs 74-75'!R37+'Yakima Pgs 76-77'!R37</f>
        <v>900372</v>
      </c>
    </row>
    <row r="38" spans="1:12" x14ac:dyDescent="0.3">
      <c r="A38" s="39">
        <v>562.78</v>
      </c>
      <c r="B38" s="40" t="s">
        <v>63</v>
      </c>
      <c r="C38" s="165">
        <f>'Asotin Pgs 10-11'!C38+'Adams Pgs 8-9'!C38+'Benton-Franklin Pgs 12-13'!C38+'Chelan-Douglas Pgs 14-15'!C38+'Clallam Pgs 16-17'!C38+'Clark Pgs 18-19'!C38+'Columbia Pgs 20-21'!C38+'Cowlitz Pgs 22-23'!C38+'Garfield Pgs 24-25'!C38+'Grant Pgs 26-27'!C38+'Grays Harbor Pgs 28-29'!C38+'Island Pgs 30-31'!C38+'Jefferson Pgs 32-33'!C38+'Kitsap Pgs 34-35'!C38+'Kittitas Pgs 36-37'!C38+'Klickitat Pgs 38-39'!C38+'Lewis Pgs 40-41'!C38+'Lincoln Pgs 42-43'!C38+'Mason Pgs 44-45'!C38+'Northeast Tri Pgs 46-47'!C38+'Okanogan Pgs 48-49'!C38+'Pacific Pgs 50-51'!C38+'San Juan Pgs 52-53'!C38+'Seattle-King Pgs 54-55'!C38+'Skagit Pgs 56-57'!C38+'Skamania Pgs 58-59'!C38+'Snohomish Pgs 60-61'!C38+'Spokane Pgs 62-63'!C38+'Tacoma-Pierce Pgs 64-65'!C38+'Thurston Pgs 66-67'!C38+'Wahkiakum Pgs 68-69'!C38+'Walla Walla Pgs 70-71'!C38+'Whatcom Pgs 72-73'!C38+'Whitman Pgs 74-75'!C38+'Yakima Pgs 76-77'!C38</f>
        <v>888002</v>
      </c>
      <c r="D38" s="17">
        <f>'Asotin Pgs 10-11'!D38+'Adams Pgs 8-9'!D38+'Benton-Franklin Pgs 12-13'!D38+'Chelan-Douglas Pgs 14-15'!D38+'Clallam Pgs 16-17'!D38+'Clark Pgs 18-19'!D38+'Columbia Pgs 20-21'!D38+'Cowlitz Pgs 22-23'!D38+'Garfield Pgs 24-25'!D38+'Grant Pgs 26-27'!D38+'Grays Harbor Pgs 28-29'!D38+'Island Pgs 30-31'!D38+'Jefferson Pgs 32-33'!D38+'Kitsap Pgs 34-35'!D38+'Kittitas Pgs 36-37'!D38+'Klickitat Pgs 38-39'!D38+'Lewis Pgs 40-41'!D38+'Lincoln Pgs 42-43'!D38+'Mason Pgs 44-45'!D38+'Northeast Tri Pgs 46-47'!D38+'Okanogan Pgs 48-49'!D38+'Pacific Pgs 50-51'!D38+'San Juan Pgs 52-53'!D38+'Seattle-King Pgs 54-55'!D38+'Skagit Pgs 56-57'!D38+'Skamania Pgs 58-59'!D38+'Snohomish Pgs 60-61'!D38+'Spokane Pgs 62-63'!D38+'Tacoma-Pierce Pgs 64-65'!D38+'Thurston Pgs 66-67'!D38+'Wahkiakum Pgs 68-69'!D38+'Walla Walla Pgs 70-71'!D38+'Whatcom Pgs 72-73'!D38+'Whitman Pgs 74-75'!D38+'Yakima Pgs 76-77'!D38</f>
        <v>991908</v>
      </c>
      <c r="E38" s="165">
        <f>'Asotin Pgs 10-11'!E38+'Adams Pgs 8-9'!E38+'Benton-Franklin Pgs 12-13'!E38+'Chelan-Douglas Pgs 14-15'!E38+'Clallam Pgs 16-17'!E38+'Clark Pgs 18-19'!E38+'Columbia Pgs 20-21'!E38+'Cowlitz Pgs 22-23'!E38+'Garfield Pgs 24-25'!E38+'Grant Pgs 26-27'!E38+'Grays Harbor Pgs 28-29'!E38+'Island Pgs 30-31'!E38+'Jefferson Pgs 32-33'!E38+'Kitsap Pgs 34-35'!E38+'Kittitas Pgs 36-37'!E38+'Klickitat Pgs 38-39'!E38+'Lewis Pgs 40-41'!E38+'Lincoln Pgs 42-43'!E38+'Mason Pgs 44-45'!E38+'Northeast Tri Pgs 46-47'!E38+'Okanogan Pgs 48-49'!E38+'Pacific Pgs 50-51'!E38+'San Juan Pgs 52-53'!E38+'Seattle-King Pgs 54-55'!E38+'Skagit Pgs 56-57'!E38+'Skamania Pgs 58-59'!E38+'Snohomish Pgs 60-61'!E38+'Spokane Pgs 62-63'!E38+'Tacoma-Pierce Pgs 64-65'!E38+'Thurston Pgs 66-67'!E38+'Wahkiakum Pgs 68-69'!E38+'Walla Walla Pgs 70-71'!E38+'Whatcom Pgs 72-73'!E38+'Whitman Pgs 74-75'!E38+'Yakima Pgs 76-77'!E38</f>
        <v>0</v>
      </c>
      <c r="F38" s="8">
        <f>'Asotin Pgs 10-11'!F38+'Adams Pgs 8-9'!F38+'Benton-Franklin Pgs 12-13'!F38+'Chelan-Douglas Pgs 14-15'!F38+'Clallam Pgs 16-17'!F38+'Clark Pgs 18-19'!F38+'Columbia Pgs 20-21'!F38+'Cowlitz Pgs 22-23'!F38+'Garfield Pgs 24-25'!F38+'Grant Pgs 26-27'!F38+'Grays Harbor Pgs 28-29'!F38+'Island Pgs 30-31'!F38+'Jefferson Pgs 32-33'!F38+'Kitsap Pgs 34-35'!F38+'Kittitas Pgs 36-37'!F38+'Klickitat Pgs 38-39'!F38+'Lewis Pgs 40-41'!F38+'Lincoln Pgs 42-43'!F38+'Mason Pgs 44-45'!F38+'Northeast Tri Pgs 46-47'!F38+'Okanogan Pgs 48-49'!F38+'Pacific Pgs 50-51'!F38+'San Juan Pgs 52-53'!F38+'Seattle-King Pgs 54-55'!F38+'Skagit Pgs 56-57'!F38+'Skamania Pgs 58-59'!F38+'Snohomish Pgs 60-61'!F38+'Spokane Pgs 62-63'!F38+'Tacoma-Pierce Pgs 64-65'!F38+'Thurston Pgs 66-67'!F38+'Wahkiakum Pgs 68-69'!F38+'Walla Walla Pgs 70-71'!F38+'Whatcom Pgs 72-73'!F38+'Whitman Pgs 74-75'!F38+'Yakima Pgs 76-77'!F38</f>
        <v>108285</v>
      </c>
      <c r="G38" s="7">
        <f>'Asotin Pgs 10-11'!G38+'Adams Pgs 8-9'!G38+'Benton-Franklin Pgs 12-13'!G38+'Chelan-Douglas Pgs 14-15'!G38+'Clallam Pgs 16-17'!G38+'Clark Pgs 18-19'!G38+'Columbia Pgs 20-21'!G38+'Cowlitz Pgs 22-23'!G38+'Garfield Pgs 24-25'!G38+'Grant Pgs 26-27'!G38+'Grays Harbor Pgs 28-29'!G38+'Island Pgs 30-31'!G38+'Jefferson Pgs 32-33'!G38+'Kitsap Pgs 34-35'!G38+'Kittitas Pgs 36-37'!G38+'Klickitat Pgs 38-39'!G38+'Lewis Pgs 40-41'!G38+'Lincoln Pgs 42-43'!G38+'Mason Pgs 44-45'!G38+'Northeast Tri Pgs 46-47'!G38+'Okanogan Pgs 48-49'!G38+'Pacific Pgs 50-51'!G38+'San Juan Pgs 52-53'!G38+'Seattle-King Pgs 54-55'!G38+'Skagit Pgs 56-57'!G38+'Skamania Pgs 58-59'!G38+'Snohomish Pgs 60-61'!G38+'Spokane Pgs 62-63'!G38+'Tacoma-Pierce Pgs 64-65'!G38+'Thurston Pgs 66-67'!G38+'Wahkiakum Pgs 68-69'!G38+'Walla Walla Pgs 70-71'!G38+'Whatcom Pgs 72-73'!G38+'Whitman Pgs 74-75'!G38+'Yakima Pgs 76-77'!G38</f>
        <v>0</v>
      </c>
      <c r="H38" s="15">
        <f>'Asotin Pgs 10-11'!H38+'Adams Pgs 8-9'!H38+'Benton-Franklin Pgs 12-13'!H38+'Chelan-Douglas Pgs 14-15'!H38+'Clallam Pgs 16-17'!H38+'Clark Pgs 18-19'!H38+'Columbia Pgs 20-21'!H38+'Cowlitz Pgs 22-23'!H38+'Garfield Pgs 24-25'!H38+'Grant Pgs 26-27'!H38+'Grays Harbor Pgs 28-29'!H38+'Island Pgs 30-31'!H38+'Jefferson Pgs 32-33'!H38+'Kitsap Pgs 34-35'!H38+'Kittitas Pgs 36-37'!H38+'Klickitat Pgs 38-39'!H38+'Lewis Pgs 40-41'!H38+'Lincoln Pgs 42-43'!H38+'Mason Pgs 44-45'!H38+'Northeast Tri Pgs 46-47'!H38+'Okanogan Pgs 48-49'!H38+'Pacific Pgs 50-51'!H38+'San Juan Pgs 52-53'!H38+'Seattle-King Pgs 54-55'!H38+'Skagit Pgs 56-57'!H38+'Skamania Pgs 58-59'!H38+'Snohomish Pgs 60-61'!H38+'Spokane Pgs 62-63'!H38+'Tacoma-Pierce Pgs 64-65'!H38+'Thurston Pgs 66-67'!H38+'Wahkiakum Pgs 68-69'!H38+'Walla Walla Pgs 70-71'!H38+'Whatcom Pgs 72-73'!H38+'Whitman Pgs 74-75'!H38+'Yakima Pgs 76-77'!H38</f>
        <v>0</v>
      </c>
      <c r="I38" s="7">
        <f>'Asotin Pgs 10-11'!I38+'Adams Pgs 8-9'!I38+'Benton-Franklin Pgs 12-13'!I38+'Chelan-Douglas Pgs 14-15'!I38+'Clallam Pgs 16-17'!I38+'Clark Pgs 18-19'!I38+'Columbia Pgs 20-21'!I38+'Cowlitz Pgs 22-23'!I38+'Garfield Pgs 24-25'!I38+'Grant Pgs 26-27'!I38+'Grays Harbor Pgs 28-29'!I38+'Island Pgs 30-31'!I38+'Jefferson Pgs 32-33'!I38+'Kitsap Pgs 34-35'!I38+'Kittitas Pgs 36-37'!I38+'Klickitat Pgs 38-39'!I38+'Lewis Pgs 40-41'!I38+'Lincoln Pgs 42-43'!I38+'Mason Pgs 44-45'!I38+'Northeast Tri Pgs 46-47'!I38+'Okanogan Pgs 48-49'!I38+'Pacific Pgs 50-51'!I38+'San Juan Pgs 52-53'!I38+'Seattle-King Pgs 54-55'!I38+'Skagit Pgs 56-57'!I38+'Skamania Pgs 58-59'!I38+'Snohomish Pgs 60-61'!I38+'Spokane Pgs 62-63'!I38+'Tacoma-Pierce Pgs 64-65'!I38+'Thurston Pgs 66-67'!I38+'Wahkiakum Pgs 68-69'!I38+'Walla Walla Pgs 70-71'!I38+'Whatcom Pgs 72-73'!I38+'Whitman Pgs 74-75'!I38+'Yakima Pgs 76-77'!I38</f>
        <v>0</v>
      </c>
      <c r="J38" s="15">
        <f>'Asotin Pgs 10-11'!M38+'Adams Pgs 8-9'!M38+'Benton-Franklin Pgs 12-13'!M38+'Chelan-Douglas Pgs 14-15'!M38+'Clallam Pgs 16-17'!M38+'Clark Pgs 18-19'!M38+'Columbia Pgs 20-21'!M38+'Cowlitz Pgs 22-23'!M38+'Garfield Pgs 24-25'!M38+'Grant Pgs 26-27'!M38+'Grays Harbor Pgs 28-29'!M38+'Island Pgs 30-31'!M38+'Jefferson Pgs 32-33'!M38+'Kitsap Pgs 34-35'!M38+'Kittitas Pgs 36-37'!M38+'Klickitat Pgs 38-39'!M38+'Lewis Pgs 40-41'!M38+'Lincoln Pgs 42-43'!M38+'Mason Pgs 44-45'!M38+'Northeast Tri Pgs 46-47'!M38+'Okanogan Pgs 48-49'!M38+'Pacific Pgs 50-51'!M38+'San Juan Pgs 52-53'!M38+'Seattle-King Pgs 54-55'!M38+'Skagit Pgs 56-57'!M38+'Skamania Pgs 58-59'!M38+'Snohomish Pgs 60-61'!M38+'Spokane Pgs 62-63'!M38+'Tacoma-Pierce Pgs 64-65'!M38+'Thurston Pgs 66-67'!M38+'Wahkiakum Pgs 68-69'!M38+'Walla Walla Pgs 70-71'!M38+'Whatcom Pgs 72-73'!M38+'Whitman Pgs 74-75'!M38+'Yakima Pgs 76-77'!M38</f>
        <v>522703</v>
      </c>
      <c r="K38" s="7">
        <f>'Asotin Pgs 10-11'!Q38+'Adams Pgs 8-9'!Q38+'Benton-Franklin Pgs 12-13'!Q38+'Chelan-Douglas Pgs 14-15'!Q38+'Clallam Pgs 16-17'!Q38+'Clark Pgs 18-19'!Q38+'Columbia Pgs 20-21'!Q38+'Cowlitz Pgs 22-23'!Q38+'Garfield Pgs 24-25'!Q38+'Grant Pgs 26-27'!Q38+'Grays Harbor Pgs 28-29'!Q38+'Island Pgs 30-31'!Q38+'Jefferson Pgs 32-33'!Q38+'Kitsap Pgs 34-35'!Q38+'Kittitas Pgs 36-37'!Q38+'Klickitat Pgs 38-39'!Q38+'Lewis Pgs 40-41'!Q38+'Lincoln Pgs 42-43'!Q38+'Mason Pgs 44-45'!Q38+'Northeast Tri Pgs 46-47'!Q38+'Okanogan Pgs 48-49'!Q38+'Pacific Pgs 50-51'!Q38+'San Juan Pgs 52-53'!Q38+'Seattle-King Pgs 54-55'!Q38+'Skagit Pgs 56-57'!Q38+'Skamania Pgs 58-59'!Q38+'Snohomish Pgs 60-61'!Q38+'Spokane Pgs 62-63'!Q38+'Tacoma-Pierce Pgs 64-65'!Q38+'Thurston Pgs 66-67'!Q38+'Wahkiakum Pgs 68-69'!Q38+'Walla Walla Pgs 70-71'!Q38+'Whatcom Pgs 72-73'!Q38+'Whitman Pgs 74-75'!Q38+'Yakima Pgs 76-77'!Q38</f>
        <v>327167</v>
      </c>
      <c r="L38" s="15">
        <f>'Asotin Pgs 10-11'!R38+'Adams Pgs 8-9'!R38+'Benton-Franklin Pgs 12-13'!R38+'Chelan-Douglas Pgs 14-15'!R38+'Clallam Pgs 16-17'!R38+'Clark Pgs 18-19'!R38+'Columbia Pgs 20-21'!R38+'Cowlitz Pgs 22-23'!R38+'Garfield Pgs 24-25'!R38+'Grant Pgs 26-27'!R38+'Grays Harbor Pgs 28-29'!R38+'Island Pgs 30-31'!R38+'Jefferson Pgs 32-33'!R38+'Kitsap Pgs 34-35'!R38+'Kittitas Pgs 36-37'!R38+'Klickitat Pgs 38-39'!R38+'Lewis Pgs 40-41'!R38+'Lincoln Pgs 42-43'!R38+'Mason Pgs 44-45'!R38+'Northeast Tri Pgs 46-47'!R38+'Okanogan Pgs 48-49'!R38+'Pacific Pgs 50-51'!R38+'San Juan Pgs 52-53'!R38+'Seattle-King Pgs 54-55'!R38+'Skagit Pgs 56-57'!R38+'Skamania Pgs 58-59'!R38+'Snohomish Pgs 60-61'!R38+'Spokane Pgs 62-63'!R38+'Tacoma-Pierce Pgs 64-65'!R38+'Thurston Pgs 66-67'!R38+'Wahkiakum Pgs 68-69'!R38+'Walla Walla Pgs 70-71'!R38+'Whatcom Pgs 72-73'!R38+'Whitman Pgs 74-75'!R38+'Yakima Pgs 76-77'!R38</f>
        <v>33753</v>
      </c>
    </row>
    <row r="39" spans="1:12" x14ac:dyDescent="0.3">
      <c r="A39" s="39">
        <v>562.79</v>
      </c>
      <c r="B39" s="40" t="s">
        <v>64</v>
      </c>
      <c r="C39" s="165">
        <f>'Asotin Pgs 10-11'!C39+'Adams Pgs 8-9'!C39+'Benton-Franklin Pgs 12-13'!C39+'Chelan-Douglas Pgs 14-15'!C39+'Clallam Pgs 16-17'!C39+'Clark Pgs 18-19'!C39+'Columbia Pgs 20-21'!C39+'Cowlitz Pgs 22-23'!C39+'Garfield Pgs 24-25'!C39+'Grant Pgs 26-27'!C39+'Grays Harbor Pgs 28-29'!C39+'Island Pgs 30-31'!C39+'Jefferson Pgs 32-33'!C39+'Kitsap Pgs 34-35'!C39+'Kittitas Pgs 36-37'!C39+'Klickitat Pgs 38-39'!C39+'Lewis Pgs 40-41'!C39+'Lincoln Pgs 42-43'!C39+'Mason Pgs 44-45'!C39+'Northeast Tri Pgs 46-47'!C39+'Okanogan Pgs 48-49'!C39+'Pacific Pgs 50-51'!C39+'San Juan Pgs 52-53'!C39+'Seattle-King Pgs 54-55'!C39+'Skagit Pgs 56-57'!C39+'Skamania Pgs 58-59'!C39+'Snohomish Pgs 60-61'!C39+'Spokane Pgs 62-63'!C39+'Tacoma-Pierce Pgs 64-65'!C39+'Thurston Pgs 66-67'!C39+'Wahkiakum Pgs 68-69'!C39+'Walla Walla Pgs 70-71'!C39+'Whatcom Pgs 72-73'!C39+'Whitman Pgs 74-75'!C39+'Yakima Pgs 76-77'!C39</f>
        <v>2370643</v>
      </c>
      <c r="D39" s="17">
        <f>'Asotin Pgs 10-11'!D39+'Adams Pgs 8-9'!D39+'Benton-Franklin Pgs 12-13'!D39+'Chelan-Douglas Pgs 14-15'!D39+'Clallam Pgs 16-17'!D39+'Clark Pgs 18-19'!D39+'Columbia Pgs 20-21'!D39+'Cowlitz Pgs 22-23'!D39+'Garfield Pgs 24-25'!D39+'Grant Pgs 26-27'!D39+'Grays Harbor Pgs 28-29'!D39+'Island Pgs 30-31'!D39+'Jefferson Pgs 32-33'!D39+'Kitsap Pgs 34-35'!D39+'Kittitas Pgs 36-37'!D39+'Klickitat Pgs 38-39'!D39+'Lewis Pgs 40-41'!D39+'Lincoln Pgs 42-43'!D39+'Mason Pgs 44-45'!D39+'Northeast Tri Pgs 46-47'!D39+'Okanogan Pgs 48-49'!D39+'Pacific Pgs 50-51'!D39+'San Juan Pgs 52-53'!D39+'Seattle-King Pgs 54-55'!D39+'Skagit Pgs 56-57'!D39+'Skamania Pgs 58-59'!D39+'Snohomish Pgs 60-61'!D39+'Spokane Pgs 62-63'!D39+'Tacoma-Pierce Pgs 64-65'!D39+'Thurston Pgs 66-67'!D39+'Wahkiakum Pgs 68-69'!D39+'Walla Walla Pgs 70-71'!D39+'Whatcom Pgs 72-73'!D39+'Whitman Pgs 74-75'!D39+'Yakima Pgs 76-77'!D39</f>
        <v>3256039</v>
      </c>
      <c r="E39" s="165">
        <f>'Asotin Pgs 10-11'!E39+'Adams Pgs 8-9'!E39+'Benton-Franklin Pgs 12-13'!E39+'Chelan-Douglas Pgs 14-15'!E39+'Clallam Pgs 16-17'!E39+'Clark Pgs 18-19'!E39+'Columbia Pgs 20-21'!E39+'Cowlitz Pgs 22-23'!E39+'Garfield Pgs 24-25'!E39+'Grant Pgs 26-27'!E39+'Grays Harbor Pgs 28-29'!E39+'Island Pgs 30-31'!E39+'Jefferson Pgs 32-33'!E39+'Kitsap Pgs 34-35'!E39+'Kittitas Pgs 36-37'!E39+'Klickitat Pgs 38-39'!E39+'Lewis Pgs 40-41'!E39+'Lincoln Pgs 42-43'!E39+'Mason Pgs 44-45'!E39+'Northeast Tri Pgs 46-47'!E39+'Okanogan Pgs 48-49'!E39+'Pacific Pgs 50-51'!E39+'San Juan Pgs 52-53'!E39+'Seattle-King Pgs 54-55'!E39+'Skagit Pgs 56-57'!E39+'Skamania Pgs 58-59'!E39+'Snohomish Pgs 60-61'!E39+'Spokane Pgs 62-63'!E39+'Tacoma-Pierce Pgs 64-65'!E39+'Thurston Pgs 66-67'!E39+'Wahkiakum Pgs 68-69'!E39+'Walla Walla Pgs 70-71'!E39+'Whatcom Pgs 72-73'!E39+'Whitman Pgs 74-75'!E39+'Yakima Pgs 76-77'!E39</f>
        <v>0</v>
      </c>
      <c r="F39" s="8">
        <f>'Asotin Pgs 10-11'!F39+'Adams Pgs 8-9'!F39+'Benton-Franklin Pgs 12-13'!F39+'Chelan-Douglas Pgs 14-15'!F39+'Clallam Pgs 16-17'!F39+'Clark Pgs 18-19'!F39+'Columbia Pgs 20-21'!F39+'Cowlitz Pgs 22-23'!F39+'Garfield Pgs 24-25'!F39+'Grant Pgs 26-27'!F39+'Grays Harbor Pgs 28-29'!F39+'Island Pgs 30-31'!F39+'Jefferson Pgs 32-33'!F39+'Kitsap Pgs 34-35'!F39+'Kittitas Pgs 36-37'!F39+'Klickitat Pgs 38-39'!F39+'Lewis Pgs 40-41'!F39+'Lincoln Pgs 42-43'!F39+'Mason Pgs 44-45'!F39+'Northeast Tri Pgs 46-47'!F39+'Okanogan Pgs 48-49'!F39+'Pacific Pgs 50-51'!F39+'San Juan Pgs 52-53'!F39+'Seattle-King Pgs 54-55'!F39+'Skagit Pgs 56-57'!F39+'Skamania Pgs 58-59'!F39+'Snohomish Pgs 60-61'!F39+'Spokane Pgs 62-63'!F39+'Tacoma-Pierce Pgs 64-65'!F39+'Thurston Pgs 66-67'!F39+'Wahkiakum Pgs 68-69'!F39+'Walla Walla Pgs 70-71'!F39+'Whatcom Pgs 72-73'!F39+'Whitman Pgs 74-75'!F39+'Yakima Pgs 76-77'!F39</f>
        <v>1505709</v>
      </c>
      <c r="G39" s="7">
        <f>'Asotin Pgs 10-11'!G39+'Adams Pgs 8-9'!G39+'Benton-Franklin Pgs 12-13'!G39+'Chelan-Douglas Pgs 14-15'!G39+'Clallam Pgs 16-17'!G39+'Clark Pgs 18-19'!G39+'Columbia Pgs 20-21'!G39+'Cowlitz Pgs 22-23'!G39+'Garfield Pgs 24-25'!G39+'Grant Pgs 26-27'!G39+'Grays Harbor Pgs 28-29'!G39+'Island Pgs 30-31'!G39+'Jefferson Pgs 32-33'!G39+'Kitsap Pgs 34-35'!G39+'Kittitas Pgs 36-37'!G39+'Klickitat Pgs 38-39'!G39+'Lewis Pgs 40-41'!G39+'Lincoln Pgs 42-43'!G39+'Mason Pgs 44-45'!G39+'Northeast Tri Pgs 46-47'!G39+'Okanogan Pgs 48-49'!G39+'Pacific Pgs 50-51'!G39+'San Juan Pgs 52-53'!G39+'Seattle-King Pgs 54-55'!G39+'Skagit Pgs 56-57'!G39+'Skamania Pgs 58-59'!G39+'Snohomish Pgs 60-61'!G39+'Spokane Pgs 62-63'!G39+'Tacoma-Pierce Pgs 64-65'!G39+'Thurston Pgs 66-67'!G39+'Wahkiakum Pgs 68-69'!G39+'Walla Walla Pgs 70-71'!G39+'Whatcom Pgs 72-73'!G39+'Whitman Pgs 74-75'!G39+'Yakima Pgs 76-77'!G39</f>
        <v>0</v>
      </c>
      <c r="H39" s="15">
        <f>'Asotin Pgs 10-11'!H39+'Adams Pgs 8-9'!H39+'Benton-Franklin Pgs 12-13'!H39+'Chelan-Douglas Pgs 14-15'!H39+'Clallam Pgs 16-17'!H39+'Clark Pgs 18-19'!H39+'Columbia Pgs 20-21'!H39+'Cowlitz Pgs 22-23'!H39+'Garfield Pgs 24-25'!H39+'Grant Pgs 26-27'!H39+'Grays Harbor Pgs 28-29'!H39+'Island Pgs 30-31'!H39+'Jefferson Pgs 32-33'!H39+'Kitsap Pgs 34-35'!H39+'Kittitas Pgs 36-37'!H39+'Klickitat Pgs 38-39'!H39+'Lewis Pgs 40-41'!H39+'Lincoln Pgs 42-43'!H39+'Mason Pgs 44-45'!H39+'Northeast Tri Pgs 46-47'!H39+'Okanogan Pgs 48-49'!H39+'Pacific Pgs 50-51'!H39+'San Juan Pgs 52-53'!H39+'Seattle-King Pgs 54-55'!H39+'Skagit Pgs 56-57'!H39+'Skamania Pgs 58-59'!H39+'Snohomish Pgs 60-61'!H39+'Spokane Pgs 62-63'!H39+'Tacoma-Pierce Pgs 64-65'!H39+'Thurston Pgs 66-67'!H39+'Wahkiakum Pgs 68-69'!H39+'Walla Walla Pgs 70-71'!H39+'Whatcom Pgs 72-73'!H39+'Whitman Pgs 74-75'!H39+'Yakima Pgs 76-77'!H39</f>
        <v>-324314</v>
      </c>
      <c r="I39" s="7">
        <f>'Asotin Pgs 10-11'!I39+'Adams Pgs 8-9'!I39+'Benton-Franklin Pgs 12-13'!I39+'Chelan-Douglas Pgs 14-15'!I39+'Clallam Pgs 16-17'!I39+'Clark Pgs 18-19'!I39+'Columbia Pgs 20-21'!I39+'Cowlitz Pgs 22-23'!I39+'Garfield Pgs 24-25'!I39+'Grant Pgs 26-27'!I39+'Grays Harbor Pgs 28-29'!I39+'Island Pgs 30-31'!I39+'Jefferson Pgs 32-33'!I39+'Kitsap Pgs 34-35'!I39+'Kittitas Pgs 36-37'!I39+'Klickitat Pgs 38-39'!I39+'Lewis Pgs 40-41'!I39+'Lincoln Pgs 42-43'!I39+'Mason Pgs 44-45'!I39+'Northeast Tri Pgs 46-47'!I39+'Okanogan Pgs 48-49'!I39+'Pacific Pgs 50-51'!I39+'San Juan Pgs 52-53'!I39+'Seattle-King Pgs 54-55'!I39+'Skagit Pgs 56-57'!I39+'Skamania Pgs 58-59'!I39+'Snohomish Pgs 60-61'!I39+'Spokane Pgs 62-63'!I39+'Tacoma-Pierce Pgs 64-65'!I39+'Thurston Pgs 66-67'!I39+'Wahkiakum Pgs 68-69'!I39+'Walla Walla Pgs 70-71'!I39+'Whatcom Pgs 72-73'!I39+'Whitman Pgs 74-75'!I39+'Yakima Pgs 76-77'!I39</f>
        <v>0</v>
      </c>
      <c r="J39" s="15">
        <f>'Asotin Pgs 10-11'!M39+'Adams Pgs 8-9'!M39+'Benton-Franklin Pgs 12-13'!M39+'Chelan-Douglas Pgs 14-15'!M39+'Clallam Pgs 16-17'!M39+'Clark Pgs 18-19'!M39+'Columbia Pgs 20-21'!M39+'Cowlitz Pgs 22-23'!M39+'Garfield Pgs 24-25'!M39+'Grant Pgs 26-27'!M39+'Grays Harbor Pgs 28-29'!M39+'Island Pgs 30-31'!M39+'Jefferson Pgs 32-33'!M39+'Kitsap Pgs 34-35'!M39+'Kittitas Pgs 36-37'!M39+'Klickitat Pgs 38-39'!M39+'Lewis Pgs 40-41'!M39+'Lincoln Pgs 42-43'!M39+'Mason Pgs 44-45'!M39+'Northeast Tri Pgs 46-47'!M39+'Okanogan Pgs 48-49'!M39+'Pacific Pgs 50-51'!M39+'San Juan Pgs 52-53'!M39+'Seattle-King Pgs 54-55'!M39+'Skagit Pgs 56-57'!M39+'Skamania Pgs 58-59'!M39+'Snohomish Pgs 60-61'!M39+'Spokane Pgs 62-63'!M39+'Tacoma-Pierce Pgs 64-65'!M39+'Thurston Pgs 66-67'!M39+'Wahkiakum Pgs 68-69'!M39+'Walla Walla Pgs 70-71'!M39+'Whatcom Pgs 72-73'!M39+'Whitman Pgs 74-75'!M39+'Yakima Pgs 76-77'!M39</f>
        <v>1932869</v>
      </c>
      <c r="K39" s="7">
        <f>'Asotin Pgs 10-11'!Q39+'Adams Pgs 8-9'!Q39+'Benton-Franklin Pgs 12-13'!Q39+'Chelan-Douglas Pgs 14-15'!Q39+'Clallam Pgs 16-17'!Q39+'Clark Pgs 18-19'!Q39+'Columbia Pgs 20-21'!Q39+'Cowlitz Pgs 22-23'!Q39+'Garfield Pgs 24-25'!Q39+'Grant Pgs 26-27'!Q39+'Grays Harbor Pgs 28-29'!Q39+'Island Pgs 30-31'!Q39+'Jefferson Pgs 32-33'!Q39+'Kitsap Pgs 34-35'!Q39+'Kittitas Pgs 36-37'!Q39+'Klickitat Pgs 38-39'!Q39+'Lewis Pgs 40-41'!Q39+'Lincoln Pgs 42-43'!Q39+'Mason Pgs 44-45'!Q39+'Northeast Tri Pgs 46-47'!Q39+'Okanogan Pgs 48-49'!Q39+'Pacific Pgs 50-51'!Q39+'San Juan Pgs 52-53'!Q39+'Seattle-King Pgs 54-55'!Q39+'Skagit Pgs 56-57'!Q39+'Skamania Pgs 58-59'!Q39+'Snohomish Pgs 60-61'!Q39+'Spokane Pgs 62-63'!Q39+'Tacoma-Pierce Pgs 64-65'!Q39+'Thurston Pgs 66-67'!Q39+'Wahkiakum Pgs 68-69'!Q39+'Walla Walla Pgs 70-71'!Q39+'Whatcom Pgs 72-73'!Q39+'Whitman Pgs 74-75'!Q39+'Yakima Pgs 76-77'!Q39</f>
        <v>141615</v>
      </c>
      <c r="L39" s="15">
        <f>'Asotin Pgs 10-11'!R39+'Adams Pgs 8-9'!R39+'Benton-Franklin Pgs 12-13'!R39+'Chelan-Douglas Pgs 14-15'!R39+'Clallam Pgs 16-17'!R39+'Clark Pgs 18-19'!R39+'Columbia Pgs 20-21'!R39+'Cowlitz Pgs 22-23'!R39+'Garfield Pgs 24-25'!R39+'Grant Pgs 26-27'!R39+'Grays Harbor Pgs 28-29'!R39+'Island Pgs 30-31'!R39+'Jefferson Pgs 32-33'!R39+'Kitsap Pgs 34-35'!R39+'Kittitas Pgs 36-37'!R39+'Klickitat Pgs 38-39'!R39+'Lewis Pgs 40-41'!R39+'Lincoln Pgs 42-43'!R39+'Mason Pgs 44-45'!R39+'Northeast Tri Pgs 46-47'!R39+'Okanogan Pgs 48-49'!R39+'Pacific Pgs 50-51'!R39+'San Juan Pgs 52-53'!R39+'Seattle-King Pgs 54-55'!R39+'Skagit Pgs 56-57'!R39+'Skamania Pgs 58-59'!R39+'Snohomish Pgs 60-61'!R39+'Spokane Pgs 62-63'!R39+'Tacoma-Pierce Pgs 64-65'!R39+'Thurston Pgs 66-67'!R39+'Wahkiakum Pgs 68-69'!R39+'Walla Walla Pgs 70-71'!R39+'Whatcom Pgs 72-73'!R39+'Whitman Pgs 74-75'!R39+'Yakima Pgs 76-77'!R39</f>
        <v>160</v>
      </c>
    </row>
    <row r="40" spans="1:12" x14ac:dyDescent="0.3">
      <c r="A40" s="39">
        <v>562.79999999999995</v>
      </c>
      <c r="B40" s="40" t="s">
        <v>65</v>
      </c>
      <c r="C40" s="165">
        <f>'Asotin Pgs 10-11'!C40+'Adams Pgs 8-9'!C40+'Benton-Franklin Pgs 12-13'!C40+'Chelan-Douglas Pgs 14-15'!C40+'Clallam Pgs 16-17'!C40+'Clark Pgs 18-19'!C40+'Columbia Pgs 20-21'!C40+'Cowlitz Pgs 22-23'!C40+'Garfield Pgs 24-25'!C40+'Grant Pgs 26-27'!C40+'Grays Harbor Pgs 28-29'!C40+'Island Pgs 30-31'!C40+'Jefferson Pgs 32-33'!C40+'Kitsap Pgs 34-35'!C40+'Kittitas Pgs 36-37'!C40+'Klickitat Pgs 38-39'!C40+'Lewis Pgs 40-41'!C40+'Lincoln Pgs 42-43'!C40+'Mason Pgs 44-45'!C40+'Northeast Tri Pgs 46-47'!C40+'Okanogan Pgs 48-49'!C40+'Pacific Pgs 50-51'!C40+'San Juan Pgs 52-53'!C40+'Seattle-King Pgs 54-55'!C40+'Skagit Pgs 56-57'!C40+'Skamania Pgs 58-59'!C40+'Snohomish Pgs 60-61'!C40+'Spokane Pgs 62-63'!C40+'Tacoma-Pierce Pgs 64-65'!C40+'Thurston Pgs 66-67'!C40+'Wahkiakum Pgs 68-69'!C40+'Walla Walla Pgs 70-71'!C40+'Whatcom Pgs 72-73'!C40+'Whitman Pgs 74-75'!C40+'Yakima Pgs 76-77'!C40</f>
        <v>5749418.3600000003</v>
      </c>
      <c r="D40" s="17">
        <f>'Asotin Pgs 10-11'!D40+'Adams Pgs 8-9'!D40+'Benton-Franklin Pgs 12-13'!D40+'Chelan-Douglas Pgs 14-15'!D40+'Clallam Pgs 16-17'!D40+'Clark Pgs 18-19'!D40+'Columbia Pgs 20-21'!D40+'Cowlitz Pgs 22-23'!D40+'Garfield Pgs 24-25'!D40+'Grant Pgs 26-27'!D40+'Grays Harbor Pgs 28-29'!D40+'Island Pgs 30-31'!D40+'Jefferson Pgs 32-33'!D40+'Kitsap Pgs 34-35'!D40+'Kittitas Pgs 36-37'!D40+'Klickitat Pgs 38-39'!D40+'Lewis Pgs 40-41'!D40+'Lincoln Pgs 42-43'!D40+'Mason Pgs 44-45'!D40+'Northeast Tri Pgs 46-47'!D40+'Okanogan Pgs 48-49'!D40+'Pacific Pgs 50-51'!D40+'San Juan Pgs 52-53'!D40+'Seattle-King Pgs 54-55'!D40+'Skagit Pgs 56-57'!D40+'Skamania Pgs 58-59'!D40+'Snohomish Pgs 60-61'!D40+'Spokane Pgs 62-63'!D40+'Tacoma-Pierce Pgs 64-65'!D40+'Thurston Pgs 66-67'!D40+'Wahkiakum Pgs 68-69'!D40+'Walla Walla Pgs 70-71'!D40+'Whatcom Pgs 72-73'!D40+'Whitman Pgs 74-75'!D40+'Yakima Pgs 76-77'!D40</f>
        <v>6345793.46</v>
      </c>
      <c r="E40" s="165">
        <f>'Asotin Pgs 10-11'!E40+'Adams Pgs 8-9'!E40+'Benton-Franklin Pgs 12-13'!E40+'Chelan-Douglas Pgs 14-15'!E40+'Clallam Pgs 16-17'!E40+'Clark Pgs 18-19'!E40+'Columbia Pgs 20-21'!E40+'Cowlitz Pgs 22-23'!E40+'Garfield Pgs 24-25'!E40+'Grant Pgs 26-27'!E40+'Grays Harbor Pgs 28-29'!E40+'Island Pgs 30-31'!E40+'Jefferson Pgs 32-33'!E40+'Kitsap Pgs 34-35'!E40+'Kittitas Pgs 36-37'!E40+'Klickitat Pgs 38-39'!E40+'Lewis Pgs 40-41'!E40+'Lincoln Pgs 42-43'!E40+'Mason Pgs 44-45'!E40+'Northeast Tri Pgs 46-47'!E40+'Okanogan Pgs 48-49'!E40+'Pacific Pgs 50-51'!E40+'San Juan Pgs 52-53'!E40+'Seattle-King Pgs 54-55'!E40+'Skagit Pgs 56-57'!E40+'Skamania Pgs 58-59'!E40+'Snohomish Pgs 60-61'!E40+'Spokane Pgs 62-63'!E40+'Tacoma-Pierce Pgs 64-65'!E40+'Thurston Pgs 66-67'!E40+'Wahkiakum Pgs 68-69'!E40+'Walla Walla Pgs 70-71'!E40+'Whatcom Pgs 72-73'!E40+'Whitman Pgs 74-75'!E40+'Yakima Pgs 76-77'!E40</f>
        <v>551973</v>
      </c>
      <c r="F40" s="8">
        <f>'Asotin Pgs 10-11'!F40+'Adams Pgs 8-9'!F40+'Benton-Franklin Pgs 12-13'!F40+'Chelan-Douglas Pgs 14-15'!F40+'Clallam Pgs 16-17'!F40+'Clark Pgs 18-19'!F40+'Columbia Pgs 20-21'!F40+'Cowlitz Pgs 22-23'!F40+'Garfield Pgs 24-25'!F40+'Grant Pgs 26-27'!F40+'Grays Harbor Pgs 28-29'!F40+'Island Pgs 30-31'!F40+'Jefferson Pgs 32-33'!F40+'Kitsap Pgs 34-35'!F40+'Kittitas Pgs 36-37'!F40+'Klickitat Pgs 38-39'!F40+'Lewis Pgs 40-41'!F40+'Lincoln Pgs 42-43'!F40+'Mason Pgs 44-45'!F40+'Northeast Tri Pgs 46-47'!F40+'Okanogan Pgs 48-49'!F40+'Pacific Pgs 50-51'!F40+'San Juan Pgs 52-53'!F40+'Seattle-King Pgs 54-55'!F40+'Skagit Pgs 56-57'!F40+'Skamania Pgs 58-59'!F40+'Snohomish Pgs 60-61'!F40+'Spokane Pgs 62-63'!F40+'Tacoma-Pierce Pgs 64-65'!F40+'Thurston Pgs 66-67'!F40+'Wahkiakum Pgs 68-69'!F40+'Walla Walla Pgs 70-71'!F40+'Whatcom Pgs 72-73'!F40+'Whitman Pgs 74-75'!F40+'Yakima Pgs 76-77'!F40</f>
        <v>2641579</v>
      </c>
      <c r="G40" s="7">
        <f>'Asotin Pgs 10-11'!G40+'Adams Pgs 8-9'!G40+'Benton-Franklin Pgs 12-13'!G40+'Chelan-Douglas Pgs 14-15'!G40+'Clallam Pgs 16-17'!G40+'Clark Pgs 18-19'!G40+'Columbia Pgs 20-21'!G40+'Cowlitz Pgs 22-23'!G40+'Garfield Pgs 24-25'!G40+'Grant Pgs 26-27'!G40+'Grays Harbor Pgs 28-29'!G40+'Island Pgs 30-31'!G40+'Jefferson Pgs 32-33'!G40+'Kitsap Pgs 34-35'!G40+'Kittitas Pgs 36-37'!G40+'Klickitat Pgs 38-39'!G40+'Lewis Pgs 40-41'!G40+'Lincoln Pgs 42-43'!G40+'Mason Pgs 44-45'!G40+'Northeast Tri Pgs 46-47'!G40+'Okanogan Pgs 48-49'!G40+'Pacific Pgs 50-51'!G40+'San Juan Pgs 52-53'!G40+'Seattle-King Pgs 54-55'!G40+'Skagit Pgs 56-57'!G40+'Skamania Pgs 58-59'!G40+'Snohomish Pgs 60-61'!G40+'Spokane Pgs 62-63'!G40+'Tacoma-Pierce Pgs 64-65'!G40+'Thurston Pgs 66-67'!G40+'Wahkiakum Pgs 68-69'!G40+'Walla Walla Pgs 70-71'!G40+'Whatcom Pgs 72-73'!G40+'Whitman Pgs 74-75'!G40+'Yakima Pgs 76-77'!G40</f>
        <v>32641</v>
      </c>
      <c r="H40" s="15">
        <f>'Asotin Pgs 10-11'!H40+'Adams Pgs 8-9'!H40+'Benton-Franklin Pgs 12-13'!H40+'Chelan-Douglas Pgs 14-15'!H40+'Clallam Pgs 16-17'!H40+'Clark Pgs 18-19'!H40+'Columbia Pgs 20-21'!H40+'Cowlitz Pgs 22-23'!H40+'Garfield Pgs 24-25'!H40+'Grant Pgs 26-27'!H40+'Grays Harbor Pgs 28-29'!H40+'Island Pgs 30-31'!H40+'Jefferson Pgs 32-33'!H40+'Kitsap Pgs 34-35'!H40+'Kittitas Pgs 36-37'!H40+'Klickitat Pgs 38-39'!H40+'Lewis Pgs 40-41'!H40+'Lincoln Pgs 42-43'!H40+'Mason Pgs 44-45'!H40+'Northeast Tri Pgs 46-47'!H40+'Okanogan Pgs 48-49'!H40+'Pacific Pgs 50-51'!H40+'San Juan Pgs 52-53'!H40+'Seattle-King Pgs 54-55'!H40+'Skagit Pgs 56-57'!H40+'Skamania Pgs 58-59'!H40+'Snohomish Pgs 60-61'!H40+'Spokane Pgs 62-63'!H40+'Tacoma-Pierce Pgs 64-65'!H40+'Thurston Pgs 66-67'!H40+'Wahkiakum Pgs 68-69'!H40+'Walla Walla Pgs 70-71'!H40+'Whatcom Pgs 72-73'!H40+'Whitman Pgs 74-75'!H40+'Yakima Pgs 76-77'!H40</f>
        <v>269748.06</v>
      </c>
      <c r="I40" s="7">
        <f>'Asotin Pgs 10-11'!I40+'Adams Pgs 8-9'!I40+'Benton-Franklin Pgs 12-13'!I40+'Chelan-Douglas Pgs 14-15'!I40+'Clallam Pgs 16-17'!I40+'Clark Pgs 18-19'!I40+'Columbia Pgs 20-21'!I40+'Cowlitz Pgs 22-23'!I40+'Garfield Pgs 24-25'!I40+'Grant Pgs 26-27'!I40+'Grays Harbor Pgs 28-29'!I40+'Island Pgs 30-31'!I40+'Jefferson Pgs 32-33'!I40+'Kitsap Pgs 34-35'!I40+'Kittitas Pgs 36-37'!I40+'Klickitat Pgs 38-39'!I40+'Lewis Pgs 40-41'!I40+'Lincoln Pgs 42-43'!I40+'Mason Pgs 44-45'!I40+'Northeast Tri Pgs 46-47'!I40+'Okanogan Pgs 48-49'!I40+'Pacific Pgs 50-51'!I40+'San Juan Pgs 52-53'!I40+'Seattle-King Pgs 54-55'!I40+'Skagit Pgs 56-57'!I40+'Skamania Pgs 58-59'!I40+'Snohomish Pgs 60-61'!I40+'Spokane Pgs 62-63'!I40+'Tacoma-Pierce Pgs 64-65'!I40+'Thurston Pgs 66-67'!I40+'Wahkiakum Pgs 68-69'!I40+'Walla Walla Pgs 70-71'!I40+'Whatcom Pgs 72-73'!I40+'Whitman Pgs 74-75'!I40+'Yakima Pgs 76-77'!I40</f>
        <v>7417</v>
      </c>
      <c r="J40" s="15">
        <f>'Asotin Pgs 10-11'!M40+'Adams Pgs 8-9'!M40+'Benton-Franklin Pgs 12-13'!M40+'Chelan-Douglas Pgs 14-15'!M40+'Clallam Pgs 16-17'!M40+'Clark Pgs 18-19'!M40+'Columbia Pgs 20-21'!M40+'Cowlitz Pgs 22-23'!M40+'Garfield Pgs 24-25'!M40+'Grant Pgs 26-27'!M40+'Grays Harbor Pgs 28-29'!M40+'Island Pgs 30-31'!M40+'Jefferson Pgs 32-33'!M40+'Kitsap Pgs 34-35'!M40+'Kittitas Pgs 36-37'!M40+'Klickitat Pgs 38-39'!M40+'Lewis Pgs 40-41'!M40+'Lincoln Pgs 42-43'!M40+'Mason Pgs 44-45'!M40+'Northeast Tri Pgs 46-47'!M40+'Okanogan Pgs 48-49'!M40+'Pacific Pgs 50-51'!M40+'San Juan Pgs 52-53'!M40+'Seattle-King Pgs 54-55'!M40+'Skagit Pgs 56-57'!M40+'Skamania Pgs 58-59'!M40+'Snohomish Pgs 60-61'!M40+'Spokane Pgs 62-63'!M40+'Tacoma-Pierce Pgs 64-65'!M40+'Thurston Pgs 66-67'!M40+'Wahkiakum Pgs 68-69'!M40+'Walla Walla Pgs 70-71'!M40+'Whatcom Pgs 72-73'!M40+'Whitman Pgs 74-75'!M40+'Yakima Pgs 76-77'!M40</f>
        <v>2209903</v>
      </c>
      <c r="K40" s="7">
        <f>'Asotin Pgs 10-11'!Q40+'Adams Pgs 8-9'!Q40+'Benton-Franklin Pgs 12-13'!Q40+'Chelan-Douglas Pgs 14-15'!Q40+'Clallam Pgs 16-17'!Q40+'Clark Pgs 18-19'!Q40+'Columbia Pgs 20-21'!Q40+'Cowlitz Pgs 22-23'!Q40+'Garfield Pgs 24-25'!Q40+'Grant Pgs 26-27'!Q40+'Grays Harbor Pgs 28-29'!Q40+'Island Pgs 30-31'!Q40+'Jefferson Pgs 32-33'!Q40+'Kitsap Pgs 34-35'!Q40+'Kittitas Pgs 36-37'!Q40+'Klickitat Pgs 38-39'!Q40+'Lewis Pgs 40-41'!Q40+'Lincoln Pgs 42-43'!Q40+'Mason Pgs 44-45'!Q40+'Northeast Tri Pgs 46-47'!Q40+'Okanogan Pgs 48-49'!Q40+'Pacific Pgs 50-51'!Q40+'San Juan Pgs 52-53'!Q40+'Seattle-King Pgs 54-55'!Q40+'Skagit Pgs 56-57'!Q40+'Skamania Pgs 58-59'!Q40+'Snohomish Pgs 60-61'!Q40+'Spokane Pgs 62-63'!Q40+'Tacoma-Pierce Pgs 64-65'!Q40+'Thurston Pgs 66-67'!Q40+'Wahkiakum Pgs 68-69'!Q40+'Walla Walla Pgs 70-71'!Q40+'Whatcom Pgs 72-73'!Q40+'Whitman Pgs 74-75'!Q40+'Yakima Pgs 76-77'!Q40</f>
        <v>273090.40000000002</v>
      </c>
      <c r="L40" s="15">
        <f>'Asotin Pgs 10-11'!R40+'Adams Pgs 8-9'!R40+'Benton-Franklin Pgs 12-13'!R40+'Chelan-Douglas Pgs 14-15'!R40+'Clallam Pgs 16-17'!R40+'Clark Pgs 18-19'!R40+'Columbia Pgs 20-21'!R40+'Cowlitz Pgs 22-23'!R40+'Garfield Pgs 24-25'!R40+'Grant Pgs 26-27'!R40+'Grays Harbor Pgs 28-29'!R40+'Island Pgs 30-31'!R40+'Jefferson Pgs 32-33'!R40+'Kitsap Pgs 34-35'!R40+'Kittitas Pgs 36-37'!R40+'Klickitat Pgs 38-39'!R40+'Lewis Pgs 40-41'!R40+'Lincoln Pgs 42-43'!R40+'Mason Pgs 44-45'!R40+'Northeast Tri Pgs 46-47'!R40+'Okanogan Pgs 48-49'!R40+'Pacific Pgs 50-51'!R40+'San Juan Pgs 52-53'!R40+'Seattle-King Pgs 54-55'!R40+'Skagit Pgs 56-57'!R40+'Skamania Pgs 58-59'!R40+'Snohomish Pgs 60-61'!R40+'Spokane Pgs 62-63'!R40+'Tacoma-Pierce Pgs 64-65'!R40+'Thurston Pgs 66-67'!R40+'Wahkiakum Pgs 68-69'!R40+'Walla Walla Pgs 70-71'!R40+'Whatcom Pgs 72-73'!R40+'Whitman Pgs 74-75'!R40+'Yakima Pgs 76-77'!R40</f>
        <v>359442</v>
      </c>
    </row>
    <row r="41" spans="1:12" x14ac:dyDescent="0.3">
      <c r="A41" s="39">
        <v>562.88</v>
      </c>
      <c r="B41" s="141" t="s">
        <v>91</v>
      </c>
      <c r="C41" s="165">
        <f>'Asotin Pgs 10-11'!C41+'Adams Pgs 8-9'!C41+'Benton-Franklin Pgs 12-13'!C41+'Chelan-Douglas Pgs 14-15'!C41+'Clallam Pgs 16-17'!C41+'Clark Pgs 18-19'!C41+'Columbia Pgs 20-21'!C41+'Cowlitz Pgs 22-23'!C41+'Garfield Pgs 24-25'!C41+'Grant Pgs 26-27'!C41+'Grays Harbor Pgs 28-29'!C41+'Island Pgs 30-31'!C41+'Jefferson Pgs 32-33'!C41+'Kitsap Pgs 34-35'!C41+'Kittitas Pgs 36-37'!C41+'Klickitat Pgs 38-39'!C41+'Lewis Pgs 40-41'!C41+'Lincoln Pgs 42-43'!C41+'Mason Pgs 44-45'!C41+'Northeast Tri Pgs 46-47'!C41+'Okanogan Pgs 48-49'!C41+'Pacific Pgs 50-51'!C41+'San Juan Pgs 52-53'!C41+'Seattle-King Pgs 54-55'!C41+'Skagit Pgs 56-57'!C41+'Skamania Pgs 58-59'!C41+'Snohomish Pgs 60-61'!C41+'Spokane Pgs 62-63'!C41+'Tacoma-Pierce Pgs 64-65'!C41+'Thurston Pgs 66-67'!C41+'Wahkiakum Pgs 68-69'!C41+'Walla Walla Pgs 70-71'!C41+'Whatcom Pgs 72-73'!C41+'Whitman Pgs 74-75'!C41+'Yakima Pgs 76-77'!C41</f>
        <v>8138103.3700000001</v>
      </c>
      <c r="D41" s="17">
        <f>'Asotin Pgs 10-11'!D41+'Adams Pgs 8-9'!D41+'Benton-Franklin Pgs 12-13'!D41+'Chelan-Douglas Pgs 14-15'!D41+'Clallam Pgs 16-17'!D41+'Clark Pgs 18-19'!D41+'Columbia Pgs 20-21'!D41+'Cowlitz Pgs 22-23'!D41+'Garfield Pgs 24-25'!D41+'Grant Pgs 26-27'!D41+'Grays Harbor Pgs 28-29'!D41+'Island Pgs 30-31'!D41+'Jefferson Pgs 32-33'!D41+'Kitsap Pgs 34-35'!D41+'Kittitas Pgs 36-37'!D41+'Klickitat Pgs 38-39'!D41+'Lewis Pgs 40-41'!D41+'Lincoln Pgs 42-43'!D41+'Mason Pgs 44-45'!D41+'Northeast Tri Pgs 46-47'!D41+'Okanogan Pgs 48-49'!D41+'Pacific Pgs 50-51'!D41+'San Juan Pgs 52-53'!D41+'Seattle-King Pgs 54-55'!D41+'Skagit Pgs 56-57'!D41+'Skamania Pgs 58-59'!D41+'Snohomish Pgs 60-61'!D41+'Spokane Pgs 62-63'!D41+'Tacoma-Pierce Pgs 64-65'!D41+'Thurston Pgs 66-67'!D41+'Wahkiakum Pgs 68-69'!D41+'Walla Walla Pgs 70-71'!D41+'Whatcom Pgs 72-73'!D41+'Whitman Pgs 74-75'!D41+'Yakima Pgs 76-77'!D41</f>
        <v>8226790.9700000007</v>
      </c>
      <c r="E41" s="165">
        <f>'Asotin Pgs 10-11'!E41+'Adams Pgs 8-9'!E41+'Benton-Franklin Pgs 12-13'!E41+'Chelan-Douglas Pgs 14-15'!E41+'Clallam Pgs 16-17'!E41+'Clark Pgs 18-19'!E41+'Columbia Pgs 20-21'!E41+'Cowlitz Pgs 22-23'!E41+'Garfield Pgs 24-25'!E41+'Grant Pgs 26-27'!E41+'Grays Harbor Pgs 28-29'!E41+'Island Pgs 30-31'!E41+'Jefferson Pgs 32-33'!E41+'Kitsap Pgs 34-35'!E41+'Kittitas Pgs 36-37'!E41+'Klickitat Pgs 38-39'!E41+'Lewis Pgs 40-41'!E41+'Lincoln Pgs 42-43'!E41+'Mason Pgs 44-45'!E41+'Northeast Tri Pgs 46-47'!E41+'Okanogan Pgs 48-49'!E41+'Pacific Pgs 50-51'!E41+'San Juan Pgs 52-53'!E41+'Seattle-King Pgs 54-55'!E41+'Skagit Pgs 56-57'!E41+'Skamania Pgs 58-59'!E41+'Snohomish Pgs 60-61'!E41+'Spokane Pgs 62-63'!E41+'Tacoma-Pierce Pgs 64-65'!E41+'Thurston Pgs 66-67'!E41+'Wahkiakum Pgs 68-69'!E41+'Walla Walla Pgs 70-71'!E41+'Whatcom Pgs 72-73'!E41+'Whitman Pgs 74-75'!E41+'Yakima Pgs 76-77'!E41</f>
        <v>0</v>
      </c>
      <c r="F41" s="8">
        <f>'Asotin Pgs 10-11'!F41+'Adams Pgs 8-9'!F41+'Benton-Franklin Pgs 12-13'!F41+'Chelan-Douglas Pgs 14-15'!F41+'Clallam Pgs 16-17'!F41+'Clark Pgs 18-19'!F41+'Columbia Pgs 20-21'!F41+'Cowlitz Pgs 22-23'!F41+'Garfield Pgs 24-25'!F41+'Grant Pgs 26-27'!F41+'Grays Harbor Pgs 28-29'!F41+'Island Pgs 30-31'!F41+'Jefferson Pgs 32-33'!F41+'Kitsap Pgs 34-35'!F41+'Kittitas Pgs 36-37'!F41+'Klickitat Pgs 38-39'!F41+'Lewis Pgs 40-41'!F41+'Lincoln Pgs 42-43'!F41+'Mason Pgs 44-45'!F41+'Northeast Tri Pgs 46-47'!F41+'Okanogan Pgs 48-49'!F41+'Pacific Pgs 50-51'!F41+'San Juan Pgs 52-53'!F41+'Seattle-King Pgs 54-55'!F41+'Skagit Pgs 56-57'!F41+'Skamania Pgs 58-59'!F41+'Snohomish Pgs 60-61'!F41+'Spokane Pgs 62-63'!F41+'Tacoma-Pierce Pgs 64-65'!F41+'Thurston Pgs 66-67'!F41+'Wahkiakum Pgs 68-69'!F41+'Walla Walla Pgs 70-71'!F41+'Whatcom Pgs 72-73'!F41+'Whitman Pgs 74-75'!F41+'Yakima Pgs 76-77'!F41</f>
        <v>202671</v>
      </c>
      <c r="G41" s="7">
        <f>'Asotin Pgs 10-11'!G41+'Adams Pgs 8-9'!G41+'Benton-Franklin Pgs 12-13'!G41+'Chelan-Douglas Pgs 14-15'!G41+'Clallam Pgs 16-17'!G41+'Clark Pgs 18-19'!G41+'Columbia Pgs 20-21'!G41+'Cowlitz Pgs 22-23'!G41+'Garfield Pgs 24-25'!G41+'Grant Pgs 26-27'!G41+'Grays Harbor Pgs 28-29'!G41+'Island Pgs 30-31'!G41+'Jefferson Pgs 32-33'!G41+'Kitsap Pgs 34-35'!G41+'Kittitas Pgs 36-37'!G41+'Klickitat Pgs 38-39'!G41+'Lewis Pgs 40-41'!G41+'Lincoln Pgs 42-43'!G41+'Mason Pgs 44-45'!G41+'Northeast Tri Pgs 46-47'!G41+'Okanogan Pgs 48-49'!G41+'Pacific Pgs 50-51'!G41+'San Juan Pgs 52-53'!G41+'Seattle-King Pgs 54-55'!G41+'Skagit Pgs 56-57'!G41+'Skamania Pgs 58-59'!G41+'Snohomish Pgs 60-61'!G41+'Spokane Pgs 62-63'!G41+'Tacoma-Pierce Pgs 64-65'!G41+'Thurston Pgs 66-67'!G41+'Wahkiakum Pgs 68-69'!G41+'Walla Walla Pgs 70-71'!G41+'Whatcom Pgs 72-73'!G41+'Whitman Pgs 74-75'!G41+'Yakima Pgs 76-77'!G41</f>
        <v>0</v>
      </c>
      <c r="H41" s="15">
        <f>'Asotin Pgs 10-11'!H41+'Adams Pgs 8-9'!H41+'Benton-Franklin Pgs 12-13'!H41+'Chelan-Douglas Pgs 14-15'!H41+'Clallam Pgs 16-17'!H41+'Clark Pgs 18-19'!H41+'Columbia Pgs 20-21'!H41+'Cowlitz Pgs 22-23'!H41+'Garfield Pgs 24-25'!H41+'Grant Pgs 26-27'!H41+'Grays Harbor Pgs 28-29'!H41+'Island Pgs 30-31'!H41+'Jefferson Pgs 32-33'!H41+'Kitsap Pgs 34-35'!H41+'Kittitas Pgs 36-37'!H41+'Klickitat Pgs 38-39'!H41+'Lewis Pgs 40-41'!H41+'Lincoln Pgs 42-43'!H41+'Mason Pgs 44-45'!H41+'Northeast Tri Pgs 46-47'!H41+'Okanogan Pgs 48-49'!H41+'Pacific Pgs 50-51'!H41+'San Juan Pgs 52-53'!H41+'Seattle-King Pgs 54-55'!H41+'Skagit Pgs 56-57'!H41+'Skamania Pgs 58-59'!H41+'Snohomish Pgs 60-61'!H41+'Spokane Pgs 62-63'!H41+'Tacoma-Pierce Pgs 64-65'!H41+'Thurston Pgs 66-67'!H41+'Wahkiakum Pgs 68-69'!H41+'Walla Walla Pgs 70-71'!H41+'Whatcom Pgs 72-73'!H41+'Whitman Pgs 74-75'!H41+'Yakima Pgs 76-77'!H41</f>
        <v>6772838.5999999996</v>
      </c>
      <c r="I41" s="7">
        <f>'Asotin Pgs 10-11'!I41+'Adams Pgs 8-9'!I41+'Benton-Franklin Pgs 12-13'!I41+'Chelan-Douglas Pgs 14-15'!I41+'Clallam Pgs 16-17'!I41+'Clark Pgs 18-19'!I41+'Columbia Pgs 20-21'!I41+'Cowlitz Pgs 22-23'!I41+'Garfield Pgs 24-25'!I41+'Grant Pgs 26-27'!I41+'Grays Harbor Pgs 28-29'!I41+'Island Pgs 30-31'!I41+'Jefferson Pgs 32-33'!I41+'Kitsap Pgs 34-35'!I41+'Kittitas Pgs 36-37'!I41+'Klickitat Pgs 38-39'!I41+'Lewis Pgs 40-41'!I41+'Lincoln Pgs 42-43'!I41+'Mason Pgs 44-45'!I41+'Northeast Tri Pgs 46-47'!I41+'Okanogan Pgs 48-49'!I41+'Pacific Pgs 50-51'!I41+'San Juan Pgs 52-53'!I41+'Seattle-King Pgs 54-55'!I41+'Skagit Pgs 56-57'!I41+'Skamania Pgs 58-59'!I41+'Snohomish Pgs 60-61'!I41+'Spokane Pgs 62-63'!I41+'Tacoma-Pierce Pgs 64-65'!I41+'Thurston Pgs 66-67'!I41+'Wahkiakum Pgs 68-69'!I41+'Walla Walla Pgs 70-71'!I41+'Whatcom Pgs 72-73'!I41+'Whitman Pgs 74-75'!I41+'Yakima Pgs 76-77'!I41</f>
        <v>756159</v>
      </c>
      <c r="J41" s="15">
        <f>'Asotin Pgs 10-11'!M41+'Adams Pgs 8-9'!M41+'Benton-Franklin Pgs 12-13'!M41+'Chelan-Douglas Pgs 14-15'!M41+'Clallam Pgs 16-17'!M41+'Clark Pgs 18-19'!M41+'Columbia Pgs 20-21'!M41+'Cowlitz Pgs 22-23'!M41+'Garfield Pgs 24-25'!M41+'Grant Pgs 26-27'!M41+'Grays Harbor Pgs 28-29'!M41+'Island Pgs 30-31'!M41+'Jefferson Pgs 32-33'!M41+'Kitsap Pgs 34-35'!M41+'Kittitas Pgs 36-37'!M41+'Klickitat Pgs 38-39'!M41+'Lewis Pgs 40-41'!M41+'Lincoln Pgs 42-43'!M41+'Mason Pgs 44-45'!M41+'Northeast Tri Pgs 46-47'!M41+'Okanogan Pgs 48-49'!M41+'Pacific Pgs 50-51'!M41+'San Juan Pgs 52-53'!M41+'Seattle-King Pgs 54-55'!M41+'Skagit Pgs 56-57'!M41+'Skamania Pgs 58-59'!M41+'Snohomish Pgs 60-61'!M41+'Spokane Pgs 62-63'!M41+'Tacoma-Pierce Pgs 64-65'!M41+'Thurston Pgs 66-67'!M41+'Wahkiakum Pgs 68-69'!M41+'Walla Walla Pgs 70-71'!M41+'Whatcom Pgs 72-73'!M41+'Whitman Pgs 74-75'!M41+'Yakima Pgs 76-77'!M41</f>
        <v>308314.96999999997</v>
      </c>
      <c r="K41" s="7">
        <f>'Asotin Pgs 10-11'!Q41+'Adams Pgs 8-9'!Q41+'Benton-Franklin Pgs 12-13'!Q41+'Chelan-Douglas Pgs 14-15'!Q41+'Clallam Pgs 16-17'!Q41+'Clark Pgs 18-19'!Q41+'Columbia Pgs 20-21'!Q41+'Cowlitz Pgs 22-23'!Q41+'Garfield Pgs 24-25'!Q41+'Grant Pgs 26-27'!Q41+'Grays Harbor Pgs 28-29'!Q41+'Island Pgs 30-31'!Q41+'Jefferson Pgs 32-33'!Q41+'Kitsap Pgs 34-35'!Q41+'Kittitas Pgs 36-37'!Q41+'Klickitat Pgs 38-39'!Q41+'Lewis Pgs 40-41'!Q41+'Lincoln Pgs 42-43'!Q41+'Mason Pgs 44-45'!Q41+'Northeast Tri Pgs 46-47'!Q41+'Okanogan Pgs 48-49'!Q41+'Pacific Pgs 50-51'!Q41+'San Juan Pgs 52-53'!Q41+'Seattle-King Pgs 54-55'!Q41+'Skagit Pgs 56-57'!Q41+'Skamania Pgs 58-59'!Q41+'Snohomish Pgs 60-61'!Q41+'Spokane Pgs 62-63'!Q41+'Tacoma-Pierce Pgs 64-65'!Q41+'Thurston Pgs 66-67'!Q41+'Wahkiakum Pgs 68-69'!Q41+'Walla Walla Pgs 70-71'!Q41+'Whatcom Pgs 72-73'!Q41+'Whitman Pgs 74-75'!Q41+'Yakima Pgs 76-77'!Q41</f>
        <v>57323.4</v>
      </c>
      <c r="L41" s="15">
        <f>'Asotin Pgs 10-11'!R41+'Adams Pgs 8-9'!R41+'Benton-Franklin Pgs 12-13'!R41+'Chelan-Douglas Pgs 14-15'!R41+'Clallam Pgs 16-17'!R41+'Clark Pgs 18-19'!R41+'Columbia Pgs 20-21'!R41+'Cowlitz Pgs 22-23'!R41+'Garfield Pgs 24-25'!R41+'Grant Pgs 26-27'!R41+'Grays Harbor Pgs 28-29'!R41+'Island Pgs 30-31'!R41+'Jefferson Pgs 32-33'!R41+'Kitsap Pgs 34-35'!R41+'Kittitas Pgs 36-37'!R41+'Klickitat Pgs 38-39'!R41+'Lewis Pgs 40-41'!R41+'Lincoln Pgs 42-43'!R41+'Mason Pgs 44-45'!R41+'Northeast Tri Pgs 46-47'!R41+'Okanogan Pgs 48-49'!R41+'Pacific Pgs 50-51'!R41+'San Juan Pgs 52-53'!R41+'Seattle-King Pgs 54-55'!R41+'Skagit Pgs 56-57'!R41+'Skamania Pgs 58-59'!R41+'Snohomish Pgs 60-61'!R41+'Spokane Pgs 62-63'!R41+'Tacoma-Pierce Pgs 64-65'!R41+'Thurston Pgs 66-67'!R41+'Wahkiakum Pgs 68-69'!R41+'Walla Walla Pgs 70-71'!R41+'Whatcom Pgs 72-73'!R41+'Whitman Pgs 74-75'!R41+'Yakima Pgs 76-77'!R41</f>
        <v>129484</v>
      </c>
    </row>
    <row r="42" spans="1:12" x14ac:dyDescent="0.3">
      <c r="A42" s="39">
        <v>562.9</v>
      </c>
      <c r="B42" s="40" t="s">
        <v>66</v>
      </c>
      <c r="C42" s="165">
        <f>'Asotin Pgs 10-11'!C42+'Adams Pgs 8-9'!C42+'Benton-Franklin Pgs 12-13'!C42+'Chelan-Douglas Pgs 14-15'!C42+'Clallam Pgs 16-17'!C42+'Clark Pgs 18-19'!C42+'Columbia Pgs 20-21'!C42+'Cowlitz Pgs 22-23'!C42+'Garfield Pgs 24-25'!C42+'Grant Pgs 26-27'!C42+'Grays Harbor Pgs 28-29'!C42+'Island Pgs 30-31'!C42+'Jefferson Pgs 32-33'!C42+'Kitsap Pgs 34-35'!C42+'Kittitas Pgs 36-37'!C42+'Klickitat Pgs 38-39'!C42+'Lewis Pgs 40-41'!C42+'Lincoln Pgs 42-43'!C42+'Mason Pgs 44-45'!C42+'Northeast Tri Pgs 46-47'!C42+'Okanogan Pgs 48-49'!C42+'Pacific Pgs 50-51'!C42+'San Juan Pgs 52-53'!C42+'Seattle-King Pgs 54-55'!C42+'Skagit Pgs 56-57'!C42+'Skamania Pgs 58-59'!C42+'Snohomish Pgs 60-61'!C42+'Spokane Pgs 62-63'!C42+'Tacoma-Pierce Pgs 64-65'!C42+'Thurston Pgs 66-67'!C42+'Wahkiakum Pgs 68-69'!C42+'Walla Walla Pgs 70-71'!C42+'Whatcom Pgs 72-73'!C42+'Whitman Pgs 74-75'!C42+'Yakima Pgs 76-77'!C42</f>
        <v>37326774.009999998</v>
      </c>
      <c r="D42" s="17">
        <f>'Asotin Pgs 10-11'!D42+'Adams Pgs 8-9'!D42+'Benton-Franklin Pgs 12-13'!D42+'Chelan-Douglas Pgs 14-15'!D42+'Clallam Pgs 16-17'!D42+'Clark Pgs 18-19'!D42+'Columbia Pgs 20-21'!D42+'Cowlitz Pgs 22-23'!D42+'Garfield Pgs 24-25'!D42+'Grant Pgs 26-27'!D42+'Grays Harbor Pgs 28-29'!D42+'Island Pgs 30-31'!D42+'Jefferson Pgs 32-33'!D42+'Kitsap Pgs 34-35'!D42+'Kittitas Pgs 36-37'!D42+'Klickitat Pgs 38-39'!D42+'Lewis Pgs 40-41'!D42+'Lincoln Pgs 42-43'!D42+'Mason Pgs 44-45'!D42+'Northeast Tri Pgs 46-47'!D42+'Okanogan Pgs 48-49'!D42+'Pacific Pgs 50-51'!D42+'San Juan Pgs 52-53'!D42+'Seattle-King Pgs 54-55'!D42+'Skagit Pgs 56-57'!D42+'Skamania Pgs 58-59'!D42+'Snohomish Pgs 60-61'!D42+'Spokane Pgs 62-63'!D42+'Tacoma-Pierce Pgs 64-65'!D42+'Thurston Pgs 66-67'!D42+'Wahkiakum Pgs 68-69'!D42+'Walla Walla Pgs 70-71'!D42+'Whatcom Pgs 72-73'!D42+'Whitman Pgs 74-75'!D42+'Yakima Pgs 76-77'!D42</f>
        <v>12746784</v>
      </c>
      <c r="E42" s="165">
        <f>'Asotin Pgs 10-11'!E42+'Adams Pgs 8-9'!E42+'Benton-Franklin Pgs 12-13'!E42+'Chelan-Douglas Pgs 14-15'!E42+'Clallam Pgs 16-17'!E42+'Clark Pgs 18-19'!E42+'Columbia Pgs 20-21'!E42+'Cowlitz Pgs 22-23'!E42+'Garfield Pgs 24-25'!E42+'Grant Pgs 26-27'!E42+'Grays Harbor Pgs 28-29'!E42+'Island Pgs 30-31'!E42+'Jefferson Pgs 32-33'!E42+'Kitsap Pgs 34-35'!E42+'Kittitas Pgs 36-37'!E42+'Klickitat Pgs 38-39'!E42+'Lewis Pgs 40-41'!E42+'Lincoln Pgs 42-43'!E42+'Mason Pgs 44-45'!E42+'Northeast Tri Pgs 46-47'!E42+'Okanogan Pgs 48-49'!E42+'Pacific Pgs 50-51'!E42+'San Juan Pgs 52-53'!E42+'Seattle-King Pgs 54-55'!E42+'Skagit Pgs 56-57'!E42+'Skamania Pgs 58-59'!E42+'Snohomish Pgs 60-61'!E42+'Spokane Pgs 62-63'!E42+'Tacoma-Pierce Pgs 64-65'!E42+'Thurston Pgs 66-67'!E42+'Wahkiakum Pgs 68-69'!E42+'Walla Walla Pgs 70-71'!E42+'Whatcom Pgs 72-73'!E42+'Whitman Pgs 74-75'!E42+'Yakima Pgs 76-77'!E42</f>
        <v>0</v>
      </c>
      <c r="F42" s="8">
        <f>'Asotin Pgs 10-11'!F42+'Adams Pgs 8-9'!F42+'Benton-Franklin Pgs 12-13'!F42+'Chelan-Douglas Pgs 14-15'!F42+'Clallam Pgs 16-17'!F42+'Clark Pgs 18-19'!F42+'Columbia Pgs 20-21'!F42+'Cowlitz Pgs 22-23'!F42+'Garfield Pgs 24-25'!F42+'Grant Pgs 26-27'!F42+'Grays Harbor Pgs 28-29'!F42+'Island Pgs 30-31'!F42+'Jefferson Pgs 32-33'!F42+'Kitsap Pgs 34-35'!F42+'Kittitas Pgs 36-37'!F42+'Klickitat Pgs 38-39'!F42+'Lewis Pgs 40-41'!F42+'Lincoln Pgs 42-43'!F42+'Mason Pgs 44-45'!F42+'Northeast Tri Pgs 46-47'!F42+'Okanogan Pgs 48-49'!F42+'Pacific Pgs 50-51'!F42+'San Juan Pgs 52-53'!F42+'Seattle-King Pgs 54-55'!F42+'Skagit Pgs 56-57'!F42+'Skamania Pgs 58-59'!F42+'Snohomish Pgs 60-61'!F42+'Spokane Pgs 62-63'!F42+'Tacoma-Pierce Pgs 64-65'!F42+'Thurston Pgs 66-67'!F42+'Wahkiakum Pgs 68-69'!F42+'Walla Walla Pgs 70-71'!F42+'Whatcom Pgs 72-73'!F42+'Whitman Pgs 74-75'!F42+'Yakima Pgs 76-77'!F42</f>
        <v>816083</v>
      </c>
      <c r="G42" s="7">
        <f>'Asotin Pgs 10-11'!G42+'Adams Pgs 8-9'!G42+'Benton-Franklin Pgs 12-13'!G42+'Chelan-Douglas Pgs 14-15'!G42+'Clallam Pgs 16-17'!G42+'Clark Pgs 18-19'!G42+'Columbia Pgs 20-21'!G42+'Cowlitz Pgs 22-23'!G42+'Garfield Pgs 24-25'!G42+'Grant Pgs 26-27'!G42+'Grays Harbor Pgs 28-29'!G42+'Island Pgs 30-31'!G42+'Jefferson Pgs 32-33'!G42+'Kitsap Pgs 34-35'!G42+'Kittitas Pgs 36-37'!G42+'Klickitat Pgs 38-39'!G42+'Lewis Pgs 40-41'!G42+'Lincoln Pgs 42-43'!G42+'Mason Pgs 44-45'!G42+'Northeast Tri Pgs 46-47'!G42+'Okanogan Pgs 48-49'!G42+'Pacific Pgs 50-51'!G42+'San Juan Pgs 52-53'!G42+'Seattle-King Pgs 54-55'!G42+'Skagit Pgs 56-57'!G42+'Skamania Pgs 58-59'!G42+'Snohomish Pgs 60-61'!G42+'Spokane Pgs 62-63'!G42+'Tacoma-Pierce Pgs 64-65'!G42+'Thurston Pgs 66-67'!G42+'Wahkiakum Pgs 68-69'!G42+'Walla Walla Pgs 70-71'!G42+'Whatcom Pgs 72-73'!G42+'Whitman Pgs 74-75'!G42+'Yakima Pgs 76-77'!G42</f>
        <v>50000</v>
      </c>
      <c r="H42" s="15">
        <f>'Asotin Pgs 10-11'!H42+'Adams Pgs 8-9'!H42+'Benton-Franklin Pgs 12-13'!H42+'Chelan-Douglas Pgs 14-15'!H42+'Clallam Pgs 16-17'!H42+'Clark Pgs 18-19'!H42+'Columbia Pgs 20-21'!H42+'Cowlitz Pgs 22-23'!H42+'Garfield Pgs 24-25'!H42+'Grant Pgs 26-27'!H42+'Grays Harbor Pgs 28-29'!H42+'Island Pgs 30-31'!H42+'Jefferson Pgs 32-33'!H42+'Kitsap Pgs 34-35'!H42+'Kittitas Pgs 36-37'!H42+'Klickitat Pgs 38-39'!H42+'Lewis Pgs 40-41'!H42+'Lincoln Pgs 42-43'!H42+'Mason Pgs 44-45'!H42+'Northeast Tri Pgs 46-47'!H42+'Okanogan Pgs 48-49'!H42+'Pacific Pgs 50-51'!H42+'San Juan Pgs 52-53'!H42+'Seattle-King Pgs 54-55'!H42+'Skagit Pgs 56-57'!H42+'Skamania Pgs 58-59'!H42+'Snohomish Pgs 60-61'!H42+'Spokane Pgs 62-63'!H42+'Tacoma-Pierce Pgs 64-65'!H42+'Thurston Pgs 66-67'!H42+'Wahkiakum Pgs 68-69'!H42+'Walla Walla Pgs 70-71'!H42+'Whatcom Pgs 72-73'!H42+'Whitman Pgs 74-75'!H42+'Yakima Pgs 76-77'!H42</f>
        <v>332340</v>
      </c>
      <c r="I42" s="7">
        <f>'Asotin Pgs 10-11'!I42+'Adams Pgs 8-9'!I42+'Benton-Franklin Pgs 12-13'!I42+'Chelan-Douglas Pgs 14-15'!I42+'Clallam Pgs 16-17'!I42+'Clark Pgs 18-19'!I42+'Columbia Pgs 20-21'!I42+'Cowlitz Pgs 22-23'!I42+'Garfield Pgs 24-25'!I42+'Grant Pgs 26-27'!I42+'Grays Harbor Pgs 28-29'!I42+'Island Pgs 30-31'!I42+'Jefferson Pgs 32-33'!I42+'Kitsap Pgs 34-35'!I42+'Kittitas Pgs 36-37'!I42+'Klickitat Pgs 38-39'!I42+'Lewis Pgs 40-41'!I42+'Lincoln Pgs 42-43'!I42+'Mason Pgs 44-45'!I42+'Northeast Tri Pgs 46-47'!I42+'Okanogan Pgs 48-49'!I42+'Pacific Pgs 50-51'!I42+'San Juan Pgs 52-53'!I42+'Seattle-King Pgs 54-55'!I42+'Skagit Pgs 56-57'!I42+'Skamania Pgs 58-59'!I42+'Snohomish Pgs 60-61'!I42+'Spokane Pgs 62-63'!I42+'Tacoma-Pierce Pgs 64-65'!I42+'Thurston Pgs 66-67'!I42+'Wahkiakum Pgs 68-69'!I42+'Walla Walla Pgs 70-71'!I42+'Whatcom Pgs 72-73'!I42+'Whitman Pgs 74-75'!I42+'Yakima Pgs 76-77'!I42</f>
        <v>445024</v>
      </c>
      <c r="J42" s="15">
        <f>'Asotin Pgs 10-11'!M42+'Adams Pgs 8-9'!M42+'Benton-Franklin Pgs 12-13'!M42+'Chelan-Douglas Pgs 14-15'!M42+'Clallam Pgs 16-17'!M42+'Clark Pgs 18-19'!M42+'Columbia Pgs 20-21'!M42+'Cowlitz Pgs 22-23'!M42+'Garfield Pgs 24-25'!M42+'Grant Pgs 26-27'!M42+'Grays Harbor Pgs 28-29'!M42+'Island Pgs 30-31'!M42+'Jefferson Pgs 32-33'!M42+'Kitsap Pgs 34-35'!M42+'Kittitas Pgs 36-37'!M42+'Klickitat Pgs 38-39'!M42+'Lewis Pgs 40-41'!M42+'Lincoln Pgs 42-43'!M42+'Mason Pgs 44-45'!M42+'Northeast Tri Pgs 46-47'!M42+'Okanogan Pgs 48-49'!M42+'Pacific Pgs 50-51'!M42+'San Juan Pgs 52-53'!M42+'Seattle-King Pgs 54-55'!M42+'Skagit Pgs 56-57'!M42+'Skamania Pgs 58-59'!M42+'Snohomish Pgs 60-61'!M42+'Spokane Pgs 62-63'!M42+'Tacoma-Pierce Pgs 64-65'!M42+'Thurston Pgs 66-67'!M42+'Wahkiakum Pgs 68-69'!M42+'Walla Walla Pgs 70-71'!M42+'Whatcom Pgs 72-73'!M42+'Whitman Pgs 74-75'!M42+'Yakima Pgs 76-77'!M42</f>
        <v>2092184</v>
      </c>
      <c r="K42" s="7">
        <f>'Asotin Pgs 10-11'!Q42+'Adams Pgs 8-9'!Q42+'Benton-Franklin Pgs 12-13'!Q42+'Chelan-Douglas Pgs 14-15'!Q42+'Clallam Pgs 16-17'!Q42+'Clark Pgs 18-19'!Q42+'Columbia Pgs 20-21'!Q42+'Cowlitz Pgs 22-23'!Q42+'Garfield Pgs 24-25'!Q42+'Grant Pgs 26-27'!Q42+'Grays Harbor Pgs 28-29'!Q42+'Island Pgs 30-31'!Q42+'Jefferson Pgs 32-33'!Q42+'Kitsap Pgs 34-35'!Q42+'Kittitas Pgs 36-37'!Q42+'Klickitat Pgs 38-39'!Q42+'Lewis Pgs 40-41'!Q42+'Lincoln Pgs 42-43'!Q42+'Mason Pgs 44-45'!Q42+'Northeast Tri Pgs 46-47'!Q42+'Okanogan Pgs 48-49'!Q42+'Pacific Pgs 50-51'!Q42+'San Juan Pgs 52-53'!Q42+'Seattle-King Pgs 54-55'!Q42+'Skagit Pgs 56-57'!Q42+'Skamania Pgs 58-59'!Q42+'Snohomish Pgs 60-61'!Q42+'Spokane Pgs 62-63'!Q42+'Tacoma-Pierce Pgs 64-65'!Q42+'Thurston Pgs 66-67'!Q42+'Wahkiakum Pgs 68-69'!Q42+'Walla Walla Pgs 70-71'!Q42+'Whatcom Pgs 72-73'!Q42+'Whitman Pgs 74-75'!Q42+'Yakima Pgs 76-77'!Q42</f>
        <v>508367</v>
      </c>
      <c r="L42" s="15">
        <f>'Asotin Pgs 10-11'!R42+'Adams Pgs 8-9'!R42+'Benton-Franklin Pgs 12-13'!R42+'Chelan-Douglas Pgs 14-15'!R42+'Clallam Pgs 16-17'!R42+'Clark Pgs 18-19'!R42+'Columbia Pgs 20-21'!R42+'Cowlitz Pgs 22-23'!R42+'Garfield Pgs 24-25'!R42+'Grant Pgs 26-27'!R42+'Grays Harbor Pgs 28-29'!R42+'Island Pgs 30-31'!R42+'Jefferson Pgs 32-33'!R42+'Kitsap Pgs 34-35'!R42+'Kittitas Pgs 36-37'!R42+'Klickitat Pgs 38-39'!R42+'Lewis Pgs 40-41'!R42+'Lincoln Pgs 42-43'!R42+'Mason Pgs 44-45'!R42+'Northeast Tri Pgs 46-47'!R42+'Okanogan Pgs 48-49'!R42+'Pacific Pgs 50-51'!R42+'San Juan Pgs 52-53'!R42+'Seattle-King Pgs 54-55'!R42+'Skagit Pgs 56-57'!R42+'Skamania Pgs 58-59'!R42+'Snohomish Pgs 60-61'!R42+'Spokane Pgs 62-63'!R42+'Tacoma-Pierce Pgs 64-65'!R42+'Thurston Pgs 66-67'!R42+'Wahkiakum Pgs 68-69'!R42+'Walla Walla Pgs 70-71'!R42+'Whatcom Pgs 72-73'!R42+'Whitman Pgs 74-75'!R42+'Yakima Pgs 76-77'!R42</f>
        <v>8502786</v>
      </c>
    </row>
    <row r="43" spans="1:12" x14ac:dyDescent="0.3">
      <c r="A43" s="41">
        <v>562.99</v>
      </c>
      <c r="B43" s="32" t="s">
        <v>67</v>
      </c>
      <c r="C43" s="167">
        <f>'Asotin Pgs 10-11'!C43+'Adams Pgs 8-9'!C43+'Benton-Franklin Pgs 12-13'!C43+'Chelan-Douglas Pgs 14-15'!C43+'Clallam Pgs 16-17'!C43+'Clark Pgs 18-19'!C43+'Columbia Pgs 20-21'!C43+'Cowlitz Pgs 22-23'!C43+'Garfield Pgs 24-25'!C43+'Grant Pgs 26-27'!C43+'Grays Harbor Pgs 28-29'!C43+'Island Pgs 30-31'!C43+'Jefferson Pgs 32-33'!C43+'Kitsap Pgs 34-35'!C43+'Kittitas Pgs 36-37'!C43+'Klickitat Pgs 38-39'!C43+'Lewis Pgs 40-41'!C43+'Lincoln Pgs 42-43'!C43+'Mason Pgs 44-45'!C43+'Northeast Tri Pgs 46-47'!C43+'Okanogan Pgs 48-49'!C43+'Pacific Pgs 50-51'!C43+'San Juan Pgs 52-53'!C43+'Seattle-King Pgs 54-55'!C43+'Skagit Pgs 56-57'!C43+'Skamania Pgs 58-59'!C43+'Snohomish Pgs 60-61'!C43+'Spokane Pgs 62-63'!C43+'Tacoma-Pierce Pgs 64-65'!C43+'Thurston Pgs 66-67'!C43+'Wahkiakum Pgs 68-69'!C43+'Walla Walla Pgs 70-71'!C43+'Whatcom Pgs 72-73'!C43+'Whitman Pgs 74-75'!C43+'Yakima Pgs 76-77'!C43</f>
        <v>1778476</v>
      </c>
      <c r="D43" s="20">
        <f>'Asotin Pgs 10-11'!D43+'Adams Pgs 8-9'!D43+'Benton-Franklin Pgs 12-13'!D43+'Chelan-Douglas Pgs 14-15'!D43+'Clallam Pgs 16-17'!D43+'Clark Pgs 18-19'!D43+'Columbia Pgs 20-21'!D43+'Cowlitz Pgs 22-23'!D43+'Garfield Pgs 24-25'!D43+'Grant Pgs 26-27'!D43+'Grays Harbor Pgs 28-29'!D43+'Island Pgs 30-31'!D43+'Jefferson Pgs 32-33'!D43+'Kitsap Pgs 34-35'!D43+'Kittitas Pgs 36-37'!D43+'Klickitat Pgs 38-39'!D43+'Lewis Pgs 40-41'!D43+'Lincoln Pgs 42-43'!D43+'Mason Pgs 44-45'!D43+'Northeast Tri Pgs 46-47'!D43+'Okanogan Pgs 48-49'!D43+'Pacific Pgs 50-51'!D43+'San Juan Pgs 52-53'!D43+'Seattle-King Pgs 54-55'!D43+'Skagit Pgs 56-57'!D43+'Skamania Pgs 58-59'!D43+'Snohomish Pgs 60-61'!D43+'Spokane Pgs 62-63'!D43+'Tacoma-Pierce Pgs 64-65'!D43+'Thurston Pgs 66-67'!D43+'Wahkiakum Pgs 68-69'!D43+'Walla Walla Pgs 70-71'!D43+'Whatcom Pgs 72-73'!D43+'Whitman Pgs 74-75'!D43+'Yakima Pgs 76-77'!D43</f>
        <v>1786852</v>
      </c>
      <c r="E43" s="167">
        <f>'Asotin Pgs 10-11'!E43+'Adams Pgs 8-9'!E43+'Benton-Franklin Pgs 12-13'!E43+'Chelan-Douglas Pgs 14-15'!E43+'Clallam Pgs 16-17'!E43+'Clark Pgs 18-19'!E43+'Columbia Pgs 20-21'!E43+'Cowlitz Pgs 22-23'!E43+'Garfield Pgs 24-25'!E43+'Grant Pgs 26-27'!E43+'Grays Harbor Pgs 28-29'!E43+'Island Pgs 30-31'!E43+'Jefferson Pgs 32-33'!E43+'Kitsap Pgs 34-35'!E43+'Kittitas Pgs 36-37'!E43+'Klickitat Pgs 38-39'!E43+'Lewis Pgs 40-41'!E43+'Lincoln Pgs 42-43'!E43+'Mason Pgs 44-45'!E43+'Northeast Tri Pgs 46-47'!E43+'Okanogan Pgs 48-49'!E43+'Pacific Pgs 50-51'!E43+'San Juan Pgs 52-53'!E43+'Seattle-King Pgs 54-55'!E43+'Skagit Pgs 56-57'!E43+'Skamania Pgs 58-59'!E43+'Snohomish Pgs 60-61'!E43+'Spokane Pgs 62-63'!E43+'Tacoma-Pierce Pgs 64-65'!E43+'Thurston Pgs 66-67'!E43+'Wahkiakum Pgs 68-69'!E43+'Walla Walla Pgs 70-71'!E43+'Whatcom Pgs 72-73'!E43+'Whitman Pgs 74-75'!E43+'Yakima Pgs 76-77'!E43</f>
        <v>462341</v>
      </c>
      <c r="F43" s="19">
        <f>'Asotin Pgs 10-11'!F43+'Adams Pgs 8-9'!F43+'Benton-Franklin Pgs 12-13'!F43+'Chelan-Douglas Pgs 14-15'!F43+'Clallam Pgs 16-17'!F43+'Clark Pgs 18-19'!F43+'Columbia Pgs 20-21'!F43+'Cowlitz Pgs 22-23'!F43+'Garfield Pgs 24-25'!F43+'Grant Pgs 26-27'!F43+'Grays Harbor Pgs 28-29'!F43+'Island Pgs 30-31'!F43+'Jefferson Pgs 32-33'!F43+'Kitsap Pgs 34-35'!F43+'Kittitas Pgs 36-37'!F43+'Klickitat Pgs 38-39'!F43+'Lewis Pgs 40-41'!F43+'Lincoln Pgs 42-43'!F43+'Mason Pgs 44-45'!F43+'Northeast Tri Pgs 46-47'!F43+'Okanogan Pgs 48-49'!F43+'Pacific Pgs 50-51'!F43+'San Juan Pgs 52-53'!F43+'Seattle-King Pgs 54-55'!F43+'Skagit Pgs 56-57'!F43+'Skamania Pgs 58-59'!F43+'Snohomish Pgs 60-61'!F43+'Spokane Pgs 62-63'!F43+'Tacoma-Pierce Pgs 64-65'!F43+'Thurston Pgs 66-67'!F43+'Wahkiakum Pgs 68-69'!F43+'Walla Walla Pgs 70-71'!F43+'Whatcom Pgs 72-73'!F43+'Whitman Pgs 74-75'!F43+'Yakima Pgs 76-77'!F43</f>
        <v>4864</v>
      </c>
      <c r="G43" s="10">
        <f>'Asotin Pgs 10-11'!G43+'Adams Pgs 8-9'!G43+'Benton-Franklin Pgs 12-13'!G43+'Chelan-Douglas Pgs 14-15'!G43+'Clallam Pgs 16-17'!G43+'Clark Pgs 18-19'!G43+'Columbia Pgs 20-21'!G43+'Cowlitz Pgs 22-23'!G43+'Garfield Pgs 24-25'!G43+'Grant Pgs 26-27'!G43+'Grays Harbor Pgs 28-29'!G43+'Island Pgs 30-31'!G43+'Jefferson Pgs 32-33'!G43+'Kitsap Pgs 34-35'!G43+'Kittitas Pgs 36-37'!G43+'Klickitat Pgs 38-39'!G43+'Lewis Pgs 40-41'!G43+'Lincoln Pgs 42-43'!G43+'Mason Pgs 44-45'!G43+'Northeast Tri Pgs 46-47'!G43+'Okanogan Pgs 48-49'!G43+'Pacific Pgs 50-51'!G43+'San Juan Pgs 52-53'!G43+'Seattle-King Pgs 54-55'!G43+'Skagit Pgs 56-57'!G43+'Skamania Pgs 58-59'!G43+'Snohomish Pgs 60-61'!G43+'Spokane Pgs 62-63'!G43+'Tacoma-Pierce Pgs 64-65'!G43+'Thurston Pgs 66-67'!G43+'Wahkiakum Pgs 68-69'!G43+'Walla Walla Pgs 70-71'!G43+'Whatcom Pgs 72-73'!G43+'Whitman Pgs 74-75'!G43+'Yakima Pgs 76-77'!G43</f>
        <v>0</v>
      </c>
      <c r="H43" s="18">
        <f>'Asotin Pgs 10-11'!H43+'Adams Pgs 8-9'!H43+'Benton-Franklin Pgs 12-13'!H43+'Chelan-Douglas Pgs 14-15'!H43+'Clallam Pgs 16-17'!H43+'Clark Pgs 18-19'!H43+'Columbia Pgs 20-21'!H43+'Cowlitz Pgs 22-23'!H43+'Garfield Pgs 24-25'!H43+'Grant Pgs 26-27'!H43+'Grays Harbor Pgs 28-29'!H43+'Island Pgs 30-31'!H43+'Jefferson Pgs 32-33'!H43+'Kitsap Pgs 34-35'!H43+'Kittitas Pgs 36-37'!H43+'Klickitat Pgs 38-39'!H43+'Lewis Pgs 40-41'!H43+'Lincoln Pgs 42-43'!H43+'Mason Pgs 44-45'!H43+'Northeast Tri Pgs 46-47'!H43+'Okanogan Pgs 48-49'!H43+'Pacific Pgs 50-51'!H43+'San Juan Pgs 52-53'!H43+'Seattle-King Pgs 54-55'!H43+'Skagit Pgs 56-57'!H43+'Skamania Pgs 58-59'!H43+'Snohomish Pgs 60-61'!H43+'Spokane Pgs 62-63'!H43+'Tacoma-Pierce Pgs 64-65'!H43+'Thurston Pgs 66-67'!H43+'Wahkiakum Pgs 68-69'!H43+'Walla Walla Pgs 70-71'!H43+'Whatcom Pgs 72-73'!H43+'Whitman Pgs 74-75'!H43+'Yakima Pgs 76-77'!H43</f>
        <v>1291780</v>
      </c>
      <c r="I43" s="10">
        <f>'Asotin Pgs 10-11'!I43+'Adams Pgs 8-9'!I43+'Benton-Franklin Pgs 12-13'!I43+'Chelan-Douglas Pgs 14-15'!I43+'Clallam Pgs 16-17'!I43+'Clark Pgs 18-19'!I43+'Columbia Pgs 20-21'!I43+'Cowlitz Pgs 22-23'!I43+'Garfield Pgs 24-25'!I43+'Grant Pgs 26-27'!I43+'Grays Harbor Pgs 28-29'!I43+'Island Pgs 30-31'!I43+'Jefferson Pgs 32-33'!I43+'Kitsap Pgs 34-35'!I43+'Kittitas Pgs 36-37'!I43+'Klickitat Pgs 38-39'!I43+'Lewis Pgs 40-41'!I43+'Lincoln Pgs 42-43'!I43+'Mason Pgs 44-45'!I43+'Northeast Tri Pgs 46-47'!I43+'Okanogan Pgs 48-49'!I43+'Pacific Pgs 50-51'!I43+'San Juan Pgs 52-53'!I43+'Seattle-King Pgs 54-55'!I43+'Skagit Pgs 56-57'!I43+'Skamania Pgs 58-59'!I43+'Snohomish Pgs 60-61'!I43+'Spokane Pgs 62-63'!I43+'Tacoma-Pierce Pgs 64-65'!I43+'Thurston Pgs 66-67'!I43+'Wahkiakum Pgs 68-69'!I43+'Walla Walla Pgs 70-71'!I43+'Whatcom Pgs 72-73'!I43+'Whitman Pgs 74-75'!I43+'Yakima Pgs 76-77'!I43</f>
        <v>10408</v>
      </c>
      <c r="J43" s="18">
        <f>'Asotin Pgs 10-11'!M43+'Adams Pgs 8-9'!M43+'Benton-Franklin Pgs 12-13'!M43+'Chelan-Douglas Pgs 14-15'!M43+'Clallam Pgs 16-17'!M43+'Clark Pgs 18-19'!M43+'Columbia Pgs 20-21'!M43+'Cowlitz Pgs 22-23'!M43+'Garfield Pgs 24-25'!M43+'Grant Pgs 26-27'!M43+'Grays Harbor Pgs 28-29'!M43+'Island Pgs 30-31'!M43+'Jefferson Pgs 32-33'!M43+'Kitsap Pgs 34-35'!M43+'Kittitas Pgs 36-37'!M43+'Klickitat Pgs 38-39'!M43+'Lewis Pgs 40-41'!M43+'Lincoln Pgs 42-43'!M43+'Mason Pgs 44-45'!M43+'Northeast Tri Pgs 46-47'!M43+'Okanogan Pgs 48-49'!M43+'Pacific Pgs 50-51'!M43+'San Juan Pgs 52-53'!M43+'Seattle-King Pgs 54-55'!M43+'Skagit Pgs 56-57'!M43+'Skamania Pgs 58-59'!M43+'Snohomish Pgs 60-61'!M43+'Spokane Pgs 62-63'!M43+'Tacoma-Pierce Pgs 64-65'!M43+'Thurston Pgs 66-67'!M43+'Wahkiakum Pgs 68-69'!M43+'Walla Walla Pgs 70-71'!M43+'Whatcom Pgs 72-73'!M43+'Whitman Pgs 74-75'!M43+'Yakima Pgs 76-77'!M43</f>
        <v>0</v>
      </c>
      <c r="K43" s="10">
        <f>'Asotin Pgs 10-11'!Q43+'Adams Pgs 8-9'!Q43+'Benton-Franklin Pgs 12-13'!Q43+'Chelan-Douglas Pgs 14-15'!Q43+'Clallam Pgs 16-17'!Q43+'Clark Pgs 18-19'!Q43+'Columbia Pgs 20-21'!Q43+'Cowlitz Pgs 22-23'!Q43+'Garfield Pgs 24-25'!Q43+'Grant Pgs 26-27'!Q43+'Grays Harbor Pgs 28-29'!Q43+'Island Pgs 30-31'!Q43+'Jefferson Pgs 32-33'!Q43+'Kitsap Pgs 34-35'!Q43+'Kittitas Pgs 36-37'!Q43+'Klickitat Pgs 38-39'!Q43+'Lewis Pgs 40-41'!Q43+'Lincoln Pgs 42-43'!Q43+'Mason Pgs 44-45'!Q43+'Northeast Tri Pgs 46-47'!Q43+'Okanogan Pgs 48-49'!Q43+'Pacific Pgs 50-51'!Q43+'San Juan Pgs 52-53'!Q43+'Seattle-King Pgs 54-55'!Q43+'Skagit Pgs 56-57'!Q43+'Skamania Pgs 58-59'!Q43+'Snohomish Pgs 60-61'!Q43+'Spokane Pgs 62-63'!Q43+'Tacoma-Pierce Pgs 64-65'!Q43+'Thurston Pgs 66-67'!Q43+'Wahkiakum Pgs 68-69'!Q43+'Walla Walla Pgs 70-71'!Q43+'Whatcom Pgs 72-73'!Q43+'Whitman Pgs 74-75'!Q43+'Yakima Pgs 76-77'!Q43</f>
        <v>15534</v>
      </c>
      <c r="L43" s="18">
        <f>'Asotin Pgs 10-11'!R43+'Adams Pgs 8-9'!R43+'Benton-Franklin Pgs 12-13'!R43+'Chelan-Douglas Pgs 14-15'!R43+'Clallam Pgs 16-17'!R43+'Clark Pgs 18-19'!R43+'Columbia Pgs 20-21'!R43+'Cowlitz Pgs 22-23'!R43+'Garfield Pgs 24-25'!R43+'Grant Pgs 26-27'!R43+'Grays Harbor Pgs 28-29'!R43+'Island Pgs 30-31'!R43+'Jefferson Pgs 32-33'!R43+'Kitsap Pgs 34-35'!R43+'Kittitas Pgs 36-37'!R43+'Klickitat Pgs 38-39'!R43+'Lewis Pgs 40-41'!R43+'Lincoln Pgs 42-43'!R43+'Mason Pgs 44-45'!R43+'Northeast Tri Pgs 46-47'!R43+'Okanogan Pgs 48-49'!R43+'Pacific Pgs 50-51'!R43+'San Juan Pgs 52-53'!R43+'Seattle-King Pgs 54-55'!R43+'Skagit Pgs 56-57'!R43+'Skamania Pgs 58-59'!R43+'Snohomish Pgs 60-61'!R43+'Spokane Pgs 62-63'!R43+'Tacoma-Pierce Pgs 64-65'!R43+'Thurston Pgs 66-67'!R43+'Wahkiakum Pgs 68-69'!R43+'Walla Walla Pgs 70-71'!R43+'Whatcom Pgs 72-73'!R43+'Whitman Pgs 74-75'!R43+'Yakima Pgs 76-77'!R43</f>
        <v>1925</v>
      </c>
    </row>
    <row r="44" spans="1:12" x14ac:dyDescent="0.3">
      <c r="A44" s="85" t="s">
        <v>110</v>
      </c>
      <c r="B44" s="86" t="s">
        <v>68</v>
      </c>
      <c r="C44" s="166">
        <f>SUM(C5:C43)</f>
        <v>372070275.98000002</v>
      </c>
      <c r="D44" s="90">
        <f>SUM(E44:L44)</f>
        <v>363917394.19000006</v>
      </c>
      <c r="E44" s="166">
        <f t="shared" ref="E44:L44" si="0">SUM(E5:E43)</f>
        <v>9500946.5199999996</v>
      </c>
      <c r="F44" s="169">
        <f t="shared" si="0"/>
        <v>35250898.719999999</v>
      </c>
      <c r="G44" s="89">
        <f t="shared" si="0"/>
        <v>11585508.220000001</v>
      </c>
      <c r="H44" s="88">
        <f t="shared" si="0"/>
        <v>47007915.68</v>
      </c>
      <c r="I44" s="89">
        <f t="shared" si="0"/>
        <v>27699335.640000001</v>
      </c>
      <c r="J44" s="88">
        <f t="shared" si="0"/>
        <v>72020729.960000008</v>
      </c>
      <c r="K44" s="87">
        <f t="shared" si="0"/>
        <v>126321434.66000001</v>
      </c>
      <c r="L44" s="88">
        <f t="shared" si="0"/>
        <v>34530624.789999999</v>
      </c>
    </row>
    <row r="45" spans="1:12" x14ac:dyDescent="0.3">
      <c r="A45" s="39">
        <v>523</v>
      </c>
      <c r="B45" s="40" t="s">
        <v>69</v>
      </c>
      <c r="C45" s="165">
        <f>'Asotin Pgs 10-11'!C45+'Adams Pgs 8-9'!C45+'Benton-Franklin Pgs 12-13'!C45+'Chelan-Douglas Pgs 14-15'!C45+'Clallam Pgs 16-17'!C45+'Clark Pgs 18-19'!C45+'Columbia Pgs 20-21'!C45+'Cowlitz Pgs 22-23'!C45+'Garfield Pgs 24-25'!C45+'Grant Pgs 26-27'!C45+'Grays Harbor Pgs 28-29'!C45+'Island Pgs 30-31'!C45+'Jefferson Pgs 32-33'!C45+'Kitsap Pgs 34-35'!C45+'Kittitas Pgs 36-37'!C45+'Klickitat Pgs 38-39'!C45+'Lewis Pgs 40-41'!C45+'Lincoln Pgs 42-43'!C45+'Mason Pgs 44-45'!C45+'Northeast Tri Pgs 46-47'!C45+'Okanogan Pgs 48-49'!C45+'Pacific Pgs 50-51'!C45+'San Juan Pgs 52-53'!C45+'Seattle-King Pgs 54-55'!C45+'Skagit Pgs 56-57'!C45+'Skamania Pgs 58-59'!C45+'Snohomish Pgs 60-61'!C45+'Spokane Pgs 62-63'!C45+'Tacoma-Pierce Pgs 64-65'!C45+'Thurston Pgs 66-67'!C45+'Wahkiakum Pgs 68-69'!C45+'Walla Walla Pgs 70-71'!C45+'Whatcom Pgs 72-73'!C45+'Whitman Pgs 74-75'!C45+'Yakima Pgs 76-77'!C45</f>
        <v>0</v>
      </c>
      <c r="D45" s="17">
        <f>'Asotin Pgs 10-11'!D45+'Adams Pgs 8-9'!D45+'Benton-Franklin Pgs 12-13'!D45+'Chelan-Douglas Pgs 14-15'!D45+'Clallam Pgs 16-17'!D45+'Clark Pgs 18-19'!D45+'Columbia Pgs 20-21'!D45+'Cowlitz Pgs 22-23'!D45+'Garfield Pgs 24-25'!D45+'Grant Pgs 26-27'!D45+'Grays Harbor Pgs 28-29'!D45+'Island Pgs 30-31'!D45+'Jefferson Pgs 32-33'!D45+'Kitsap Pgs 34-35'!D45+'Kittitas Pgs 36-37'!D45+'Klickitat Pgs 38-39'!D45+'Lewis Pgs 40-41'!D45+'Lincoln Pgs 42-43'!D45+'Mason Pgs 44-45'!D45+'Northeast Tri Pgs 46-47'!D45+'Okanogan Pgs 48-49'!D45+'Pacific Pgs 50-51'!D45+'San Juan Pgs 52-53'!D45+'Seattle-King Pgs 54-55'!D45+'Skagit Pgs 56-57'!D45+'Skamania Pgs 58-59'!D45+'Snohomish Pgs 60-61'!D45+'Spokane Pgs 62-63'!D45+'Tacoma-Pierce Pgs 64-65'!D45+'Thurston Pgs 66-67'!D45+'Wahkiakum Pgs 68-69'!D45+'Walla Walla Pgs 70-71'!D45+'Whatcom Pgs 72-73'!D45+'Whitman Pgs 74-75'!D45+'Yakima Pgs 76-77'!D45</f>
        <v>0</v>
      </c>
      <c r="E45" s="165">
        <f>'Asotin Pgs 10-11'!E45+'Adams Pgs 8-9'!E45+'Benton-Franklin Pgs 12-13'!E45+'Chelan-Douglas Pgs 14-15'!E45+'Clallam Pgs 16-17'!E45+'Clark Pgs 18-19'!E45+'Columbia Pgs 20-21'!E45+'Cowlitz Pgs 22-23'!E45+'Garfield Pgs 24-25'!E45+'Grant Pgs 26-27'!E45+'Grays Harbor Pgs 28-29'!E45+'Island Pgs 30-31'!E45+'Jefferson Pgs 32-33'!E45+'Kitsap Pgs 34-35'!E45+'Kittitas Pgs 36-37'!E45+'Klickitat Pgs 38-39'!E45+'Lewis Pgs 40-41'!E45+'Lincoln Pgs 42-43'!E45+'Mason Pgs 44-45'!E45+'Northeast Tri Pgs 46-47'!E45+'Okanogan Pgs 48-49'!E45+'Pacific Pgs 50-51'!E45+'San Juan Pgs 52-53'!E45+'Seattle-King Pgs 54-55'!E45+'Skagit Pgs 56-57'!E45+'Skamania Pgs 58-59'!E45+'Snohomish Pgs 60-61'!E45+'Spokane Pgs 62-63'!E45+'Tacoma-Pierce Pgs 64-65'!E45+'Thurston Pgs 66-67'!E45+'Wahkiakum Pgs 68-69'!E45+'Walla Walla Pgs 70-71'!E45+'Whatcom Pgs 72-73'!E45+'Whitman Pgs 74-75'!E45+'Yakima Pgs 76-77'!E45</f>
        <v>0</v>
      </c>
      <c r="F45" s="8">
        <f>'Asotin Pgs 10-11'!F45+'Adams Pgs 8-9'!F45+'Benton-Franklin Pgs 12-13'!F45+'Chelan-Douglas Pgs 14-15'!F45+'Clallam Pgs 16-17'!F45+'Clark Pgs 18-19'!F45+'Columbia Pgs 20-21'!F45+'Cowlitz Pgs 22-23'!F45+'Garfield Pgs 24-25'!F45+'Grant Pgs 26-27'!F45+'Grays Harbor Pgs 28-29'!F45+'Island Pgs 30-31'!F45+'Jefferson Pgs 32-33'!F45+'Kitsap Pgs 34-35'!F45+'Kittitas Pgs 36-37'!F45+'Klickitat Pgs 38-39'!F45+'Lewis Pgs 40-41'!F45+'Lincoln Pgs 42-43'!F45+'Mason Pgs 44-45'!F45+'Northeast Tri Pgs 46-47'!F45+'Okanogan Pgs 48-49'!F45+'Pacific Pgs 50-51'!F45+'San Juan Pgs 52-53'!F45+'Seattle-King Pgs 54-55'!F45+'Skagit Pgs 56-57'!F45+'Skamania Pgs 58-59'!F45+'Snohomish Pgs 60-61'!F45+'Spokane Pgs 62-63'!F45+'Tacoma-Pierce Pgs 64-65'!F45+'Thurston Pgs 66-67'!F45+'Wahkiakum Pgs 68-69'!F45+'Walla Walla Pgs 70-71'!F45+'Whatcom Pgs 72-73'!F45+'Whitman Pgs 74-75'!F45+'Yakima Pgs 76-77'!F45</f>
        <v>0</v>
      </c>
      <c r="G45" s="7">
        <f>'Asotin Pgs 10-11'!G45+'Adams Pgs 8-9'!G45+'Benton-Franklin Pgs 12-13'!G45+'Chelan-Douglas Pgs 14-15'!G45+'Clallam Pgs 16-17'!G45+'Clark Pgs 18-19'!G45+'Columbia Pgs 20-21'!G45+'Cowlitz Pgs 22-23'!G45+'Garfield Pgs 24-25'!G45+'Grant Pgs 26-27'!G45+'Grays Harbor Pgs 28-29'!G45+'Island Pgs 30-31'!G45+'Jefferson Pgs 32-33'!G45+'Kitsap Pgs 34-35'!G45+'Kittitas Pgs 36-37'!G45+'Klickitat Pgs 38-39'!G45+'Lewis Pgs 40-41'!G45+'Lincoln Pgs 42-43'!G45+'Mason Pgs 44-45'!G45+'Northeast Tri Pgs 46-47'!G45+'Okanogan Pgs 48-49'!G45+'Pacific Pgs 50-51'!G45+'San Juan Pgs 52-53'!G45+'Seattle-King Pgs 54-55'!G45+'Skagit Pgs 56-57'!G45+'Skamania Pgs 58-59'!G45+'Snohomish Pgs 60-61'!G45+'Spokane Pgs 62-63'!G45+'Tacoma-Pierce Pgs 64-65'!G45+'Thurston Pgs 66-67'!G45+'Wahkiakum Pgs 68-69'!G45+'Walla Walla Pgs 70-71'!G45+'Whatcom Pgs 72-73'!G45+'Whitman Pgs 74-75'!G45+'Yakima Pgs 76-77'!G45</f>
        <v>0</v>
      </c>
      <c r="H45" s="15">
        <f>'Asotin Pgs 10-11'!H45+'Adams Pgs 8-9'!H45+'Benton-Franklin Pgs 12-13'!H45+'Chelan-Douglas Pgs 14-15'!H45+'Clallam Pgs 16-17'!H45+'Clark Pgs 18-19'!H45+'Columbia Pgs 20-21'!H45+'Cowlitz Pgs 22-23'!H45+'Garfield Pgs 24-25'!H45+'Grant Pgs 26-27'!H45+'Grays Harbor Pgs 28-29'!H45+'Island Pgs 30-31'!H45+'Jefferson Pgs 32-33'!H45+'Kitsap Pgs 34-35'!H45+'Kittitas Pgs 36-37'!H45+'Klickitat Pgs 38-39'!H45+'Lewis Pgs 40-41'!H45+'Lincoln Pgs 42-43'!H45+'Mason Pgs 44-45'!H45+'Northeast Tri Pgs 46-47'!H45+'Okanogan Pgs 48-49'!H45+'Pacific Pgs 50-51'!H45+'San Juan Pgs 52-53'!H45+'Seattle-King Pgs 54-55'!H45+'Skagit Pgs 56-57'!H45+'Skamania Pgs 58-59'!H45+'Snohomish Pgs 60-61'!H45+'Spokane Pgs 62-63'!H45+'Tacoma-Pierce Pgs 64-65'!H45+'Thurston Pgs 66-67'!H45+'Wahkiakum Pgs 68-69'!H45+'Walla Walla Pgs 70-71'!H45+'Whatcom Pgs 72-73'!H45+'Whitman Pgs 74-75'!H45+'Yakima Pgs 76-77'!H45</f>
        <v>0</v>
      </c>
      <c r="I45" s="7">
        <f>'Asotin Pgs 10-11'!I45+'Adams Pgs 8-9'!I45+'Benton-Franklin Pgs 12-13'!I45+'Chelan-Douglas Pgs 14-15'!I45+'Clallam Pgs 16-17'!I45+'Clark Pgs 18-19'!I45+'Columbia Pgs 20-21'!I45+'Cowlitz Pgs 22-23'!I45+'Garfield Pgs 24-25'!I45+'Grant Pgs 26-27'!I45+'Grays Harbor Pgs 28-29'!I45+'Island Pgs 30-31'!I45+'Jefferson Pgs 32-33'!I45+'Kitsap Pgs 34-35'!I45+'Kittitas Pgs 36-37'!I45+'Klickitat Pgs 38-39'!I45+'Lewis Pgs 40-41'!I45+'Lincoln Pgs 42-43'!I45+'Mason Pgs 44-45'!I45+'Northeast Tri Pgs 46-47'!I45+'Okanogan Pgs 48-49'!I45+'Pacific Pgs 50-51'!I45+'San Juan Pgs 52-53'!I45+'Seattle-King Pgs 54-55'!I45+'Skagit Pgs 56-57'!I45+'Skamania Pgs 58-59'!I45+'Snohomish Pgs 60-61'!I45+'Spokane Pgs 62-63'!I45+'Tacoma-Pierce Pgs 64-65'!I45+'Thurston Pgs 66-67'!I45+'Wahkiakum Pgs 68-69'!I45+'Walla Walla Pgs 70-71'!I45+'Whatcom Pgs 72-73'!I45+'Whitman Pgs 74-75'!I45+'Yakima Pgs 76-77'!I45</f>
        <v>0</v>
      </c>
      <c r="J45" s="15">
        <f>'Asotin Pgs 10-11'!M45+'Adams Pgs 8-9'!M45+'Benton-Franklin Pgs 12-13'!M45+'Chelan-Douglas Pgs 14-15'!M45+'Clallam Pgs 16-17'!M45+'Clark Pgs 18-19'!M45+'Columbia Pgs 20-21'!M45+'Cowlitz Pgs 22-23'!M45+'Garfield Pgs 24-25'!M45+'Grant Pgs 26-27'!M45+'Grays Harbor Pgs 28-29'!M45+'Island Pgs 30-31'!M45+'Jefferson Pgs 32-33'!M45+'Kitsap Pgs 34-35'!M45+'Kittitas Pgs 36-37'!M45+'Klickitat Pgs 38-39'!M45+'Lewis Pgs 40-41'!M45+'Lincoln Pgs 42-43'!M45+'Mason Pgs 44-45'!M45+'Northeast Tri Pgs 46-47'!M45+'Okanogan Pgs 48-49'!M45+'Pacific Pgs 50-51'!M45+'San Juan Pgs 52-53'!M45+'Seattle-King Pgs 54-55'!M45+'Skagit Pgs 56-57'!M45+'Skamania Pgs 58-59'!M45+'Snohomish Pgs 60-61'!M45+'Spokane Pgs 62-63'!M45+'Tacoma-Pierce Pgs 64-65'!M45+'Thurston Pgs 66-67'!M45+'Wahkiakum Pgs 68-69'!M45+'Walla Walla Pgs 70-71'!M45+'Whatcom Pgs 72-73'!M45+'Whitman Pgs 74-75'!M45+'Yakima Pgs 76-77'!M45</f>
        <v>0</v>
      </c>
      <c r="K45" s="7">
        <f>'Asotin Pgs 10-11'!Q45+'Adams Pgs 8-9'!Q45+'Benton-Franklin Pgs 12-13'!Q45+'Chelan-Douglas Pgs 14-15'!Q45+'Clallam Pgs 16-17'!Q45+'Clark Pgs 18-19'!Q45+'Columbia Pgs 20-21'!Q45+'Cowlitz Pgs 22-23'!Q45+'Garfield Pgs 24-25'!Q45+'Grant Pgs 26-27'!Q45+'Grays Harbor Pgs 28-29'!Q45+'Island Pgs 30-31'!Q45+'Jefferson Pgs 32-33'!Q45+'Kitsap Pgs 34-35'!Q45+'Kittitas Pgs 36-37'!Q45+'Klickitat Pgs 38-39'!Q45+'Lewis Pgs 40-41'!Q45+'Lincoln Pgs 42-43'!Q45+'Mason Pgs 44-45'!Q45+'Northeast Tri Pgs 46-47'!Q45+'Okanogan Pgs 48-49'!Q45+'Pacific Pgs 50-51'!Q45+'San Juan Pgs 52-53'!Q45+'Seattle-King Pgs 54-55'!Q45+'Skagit Pgs 56-57'!Q45+'Skamania Pgs 58-59'!Q45+'Snohomish Pgs 60-61'!Q45+'Spokane Pgs 62-63'!Q45+'Tacoma-Pierce Pgs 64-65'!Q45+'Thurston Pgs 66-67'!Q45+'Wahkiakum Pgs 68-69'!Q45+'Walla Walla Pgs 70-71'!Q45+'Whatcom Pgs 72-73'!Q45+'Whitman Pgs 74-75'!Q45+'Yakima Pgs 76-77'!Q45</f>
        <v>0</v>
      </c>
      <c r="L45" s="15">
        <f>'Asotin Pgs 10-11'!R45+'Adams Pgs 8-9'!R45+'Benton-Franklin Pgs 12-13'!R45+'Chelan-Douglas Pgs 14-15'!R45+'Clallam Pgs 16-17'!R45+'Clark Pgs 18-19'!R45+'Columbia Pgs 20-21'!R45+'Cowlitz Pgs 22-23'!R45+'Garfield Pgs 24-25'!R45+'Grant Pgs 26-27'!R45+'Grays Harbor Pgs 28-29'!R45+'Island Pgs 30-31'!R45+'Jefferson Pgs 32-33'!R45+'Kitsap Pgs 34-35'!R45+'Kittitas Pgs 36-37'!R45+'Klickitat Pgs 38-39'!R45+'Lewis Pgs 40-41'!R45+'Lincoln Pgs 42-43'!R45+'Mason Pgs 44-45'!R45+'Northeast Tri Pgs 46-47'!R45+'Okanogan Pgs 48-49'!R45+'Pacific Pgs 50-51'!R45+'San Juan Pgs 52-53'!R45+'Seattle-King Pgs 54-55'!R45+'Skagit Pgs 56-57'!R45+'Skamania Pgs 58-59'!R45+'Snohomish Pgs 60-61'!R45+'Spokane Pgs 62-63'!R45+'Tacoma-Pierce Pgs 64-65'!R45+'Thurston Pgs 66-67'!R45+'Wahkiakum Pgs 68-69'!R45+'Walla Walla Pgs 70-71'!R45+'Whatcom Pgs 72-73'!R45+'Whitman Pgs 74-75'!R45+'Yakima Pgs 76-77'!R45</f>
        <v>0</v>
      </c>
    </row>
    <row r="46" spans="1:12" x14ac:dyDescent="0.3">
      <c r="A46" s="39">
        <v>526</v>
      </c>
      <c r="B46" s="40" t="s">
        <v>70</v>
      </c>
      <c r="C46" s="165">
        <f>'Asotin Pgs 10-11'!C46+'Adams Pgs 8-9'!C46+'Benton-Franklin Pgs 12-13'!C46+'Chelan-Douglas Pgs 14-15'!C46+'Clallam Pgs 16-17'!C46+'Clark Pgs 18-19'!C46+'Columbia Pgs 20-21'!C46+'Cowlitz Pgs 22-23'!C46+'Garfield Pgs 24-25'!C46+'Grant Pgs 26-27'!C46+'Grays Harbor Pgs 28-29'!C46+'Island Pgs 30-31'!C46+'Jefferson Pgs 32-33'!C46+'Kitsap Pgs 34-35'!C46+'Kittitas Pgs 36-37'!C46+'Klickitat Pgs 38-39'!C46+'Lewis Pgs 40-41'!C46+'Lincoln Pgs 42-43'!C46+'Mason Pgs 44-45'!C46+'Northeast Tri Pgs 46-47'!C46+'Okanogan Pgs 48-49'!C46+'Pacific Pgs 50-51'!C46+'San Juan Pgs 52-53'!C46+'Seattle-King Pgs 54-55'!C46+'Skagit Pgs 56-57'!C46+'Skamania Pgs 58-59'!C46+'Snohomish Pgs 60-61'!C46+'Spokane Pgs 62-63'!C46+'Tacoma-Pierce Pgs 64-65'!C46+'Thurston Pgs 66-67'!C46+'Wahkiakum Pgs 68-69'!C46+'Walla Walla Pgs 70-71'!C46+'Whatcom Pgs 72-73'!C46+'Whitman Pgs 74-75'!C46+'Yakima Pgs 76-77'!C46</f>
        <v>1398277</v>
      </c>
      <c r="D46" s="17">
        <f>'Asotin Pgs 10-11'!D46+'Adams Pgs 8-9'!D46+'Benton-Franklin Pgs 12-13'!D46+'Chelan-Douglas Pgs 14-15'!D46+'Clallam Pgs 16-17'!D46+'Clark Pgs 18-19'!D46+'Columbia Pgs 20-21'!D46+'Cowlitz Pgs 22-23'!D46+'Garfield Pgs 24-25'!D46+'Grant Pgs 26-27'!D46+'Grays Harbor Pgs 28-29'!D46+'Island Pgs 30-31'!D46+'Jefferson Pgs 32-33'!D46+'Kitsap Pgs 34-35'!D46+'Kittitas Pgs 36-37'!D46+'Klickitat Pgs 38-39'!D46+'Lewis Pgs 40-41'!D46+'Lincoln Pgs 42-43'!D46+'Mason Pgs 44-45'!D46+'Northeast Tri Pgs 46-47'!D46+'Okanogan Pgs 48-49'!D46+'Pacific Pgs 50-51'!D46+'San Juan Pgs 52-53'!D46+'Seattle-King Pgs 54-55'!D46+'Skagit Pgs 56-57'!D46+'Skamania Pgs 58-59'!D46+'Snohomish Pgs 60-61'!D46+'Spokane Pgs 62-63'!D46+'Tacoma-Pierce Pgs 64-65'!D46+'Thurston Pgs 66-67'!D46+'Wahkiakum Pgs 68-69'!D46+'Walla Walla Pgs 70-71'!D46+'Whatcom Pgs 72-73'!D46+'Whitman Pgs 74-75'!D46+'Yakima Pgs 76-77'!D46</f>
        <v>1510591</v>
      </c>
      <c r="E46" s="165">
        <f>'Asotin Pgs 10-11'!E46+'Adams Pgs 8-9'!E46+'Benton-Franklin Pgs 12-13'!E46+'Chelan-Douglas Pgs 14-15'!E46+'Clallam Pgs 16-17'!E46+'Clark Pgs 18-19'!E46+'Columbia Pgs 20-21'!E46+'Cowlitz Pgs 22-23'!E46+'Garfield Pgs 24-25'!E46+'Grant Pgs 26-27'!E46+'Grays Harbor Pgs 28-29'!E46+'Island Pgs 30-31'!E46+'Jefferson Pgs 32-33'!E46+'Kitsap Pgs 34-35'!E46+'Kittitas Pgs 36-37'!E46+'Klickitat Pgs 38-39'!E46+'Lewis Pgs 40-41'!E46+'Lincoln Pgs 42-43'!E46+'Mason Pgs 44-45'!E46+'Northeast Tri Pgs 46-47'!E46+'Okanogan Pgs 48-49'!E46+'Pacific Pgs 50-51'!E46+'San Juan Pgs 52-53'!E46+'Seattle-King Pgs 54-55'!E46+'Skagit Pgs 56-57'!E46+'Skamania Pgs 58-59'!E46+'Snohomish Pgs 60-61'!E46+'Spokane Pgs 62-63'!E46+'Tacoma-Pierce Pgs 64-65'!E46+'Thurston Pgs 66-67'!E46+'Wahkiakum Pgs 68-69'!E46+'Walla Walla Pgs 70-71'!E46+'Whatcom Pgs 72-73'!E46+'Whitman Pgs 74-75'!E46+'Yakima Pgs 76-77'!E46</f>
        <v>0</v>
      </c>
      <c r="F46" s="8">
        <f>'Asotin Pgs 10-11'!F46+'Adams Pgs 8-9'!F46+'Benton-Franklin Pgs 12-13'!F46+'Chelan-Douglas Pgs 14-15'!F46+'Clallam Pgs 16-17'!F46+'Clark Pgs 18-19'!F46+'Columbia Pgs 20-21'!F46+'Cowlitz Pgs 22-23'!F46+'Garfield Pgs 24-25'!F46+'Grant Pgs 26-27'!F46+'Grays Harbor Pgs 28-29'!F46+'Island Pgs 30-31'!F46+'Jefferson Pgs 32-33'!F46+'Kitsap Pgs 34-35'!F46+'Kittitas Pgs 36-37'!F46+'Klickitat Pgs 38-39'!F46+'Lewis Pgs 40-41'!F46+'Lincoln Pgs 42-43'!F46+'Mason Pgs 44-45'!F46+'Northeast Tri Pgs 46-47'!F46+'Okanogan Pgs 48-49'!F46+'Pacific Pgs 50-51'!F46+'San Juan Pgs 52-53'!F46+'Seattle-King Pgs 54-55'!F46+'Skagit Pgs 56-57'!F46+'Skamania Pgs 58-59'!F46+'Snohomish Pgs 60-61'!F46+'Spokane Pgs 62-63'!F46+'Tacoma-Pierce Pgs 64-65'!F46+'Thurston Pgs 66-67'!F46+'Wahkiakum Pgs 68-69'!F46+'Walla Walla Pgs 70-71'!F46+'Whatcom Pgs 72-73'!F46+'Whitman Pgs 74-75'!F46+'Yakima Pgs 76-77'!F46</f>
        <v>0</v>
      </c>
      <c r="G46" s="7">
        <f>'Asotin Pgs 10-11'!G46+'Adams Pgs 8-9'!G46+'Benton-Franklin Pgs 12-13'!G46+'Chelan-Douglas Pgs 14-15'!G46+'Clallam Pgs 16-17'!G46+'Clark Pgs 18-19'!G46+'Columbia Pgs 20-21'!G46+'Cowlitz Pgs 22-23'!G46+'Garfield Pgs 24-25'!G46+'Grant Pgs 26-27'!G46+'Grays Harbor Pgs 28-29'!G46+'Island Pgs 30-31'!G46+'Jefferson Pgs 32-33'!G46+'Kitsap Pgs 34-35'!G46+'Kittitas Pgs 36-37'!G46+'Klickitat Pgs 38-39'!G46+'Lewis Pgs 40-41'!G46+'Lincoln Pgs 42-43'!G46+'Mason Pgs 44-45'!G46+'Northeast Tri Pgs 46-47'!G46+'Okanogan Pgs 48-49'!G46+'Pacific Pgs 50-51'!G46+'San Juan Pgs 52-53'!G46+'Seattle-King Pgs 54-55'!G46+'Skagit Pgs 56-57'!G46+'Skamania Pgs 58-59'!G46+'Snohomish Pgs 60-61'!G46+'Spokane Pgs 62-63'!G46+'Tacoma-Pierce Pgs 64-65'!G46+'Thurston Pgs 66-67'!G46+'Wahkiakum Pgs 68-69'!G46+'Walla Walla Pgs 70-71'!G46+'Whatcom Pgs 72-73'!G46+'Whitman Pgs 74-75'!G46+'Yakima Pgs 76-77'!G46</f>
        <v>0</v>
      </c>
      <c r="H46" s="15">
        <f>'Asotin Pgs 10-11'!H46+'Adams Pgs 8-9'!H46+'Benton-Franklin Pgs 12-13'!H46+'Chelan-Douglas Pgs 14-15'!H46+'Clallam Pgs 16-17'!H46+'Clark Pgs 18-19'!H46+'Columbia Pgs 20-21'!H46+'Cowlitz Pgs 22-23'!H46+'Garfield Pgs 24-25'!H46+'Grant Pgs 26-27'!H46+'Grays Harbor Pgs 28-29'!H46+'Island Pgs 30-31'!H46+'Jefferson Pgs 32-33'!H46+'Kitsap Pgs 34-35'!H46+'Kittitas Pgs 36-37'!H46+'Klickitat Pgs 38-39'!H46+'Lewis Pgs 40-41'!H46+'Lincoln Pgs 42-43'!H46+'Mason Pgs 44-45'!H46+'Northeast Tri Pgs 46-47'!H46+'Okanogan Pgs 48-49'!H46+'Pacific Pgs 50-51'!H46+'San Juan Pgs 52-53'!H46+'Seattle-King Pgs 54-55'!H46+'Skagit Pgs 56-57'!H46+'Skamania Pgs 58-59'!H46+'Snohomish Pgs 60-61'!H46+'Spokane Pgs 62-63'!H46+'Tacoma-Pierce Pgs 64-65'!H46+'Thurston Pgs 66-67'!H46+'Wahkiakum Pgs 68-69'!H46+'Walla Walla Pgs 70-71'!H46+'Whatcom Pgs 72-73'!H46+'Whitman Pgs 74-75'!H46+'Yakima Pgs 76-77'!H46</f>
        <v>0</v>
      </c>
      <c r="I46" s="7">
        <f>'Asotin Pgs 10-11'!I46+'Adams Pgs 8-9'!I46+'Benton-Franklin Pgs 12-13'!I46+'Chelan-Douglas Pgs 14-15'!I46+'Clallam Pgs 16-17'!I46+'Clark Pgs 18-19'!I46+'Columbia Pgs 20-21'!I46+'Cowlitz Pgs 22-23'!I46+'Garfield Pgs 24-25'!I46+'Grant Pgs 26-27'!I46+'Grays Harbor Pgs 28-29'!I46+'Island Pgs 30-31'!I46+'Jefferson Pgs 32-33'!I46+'Kitsap Pgs 34-35'!I46+'Kittitas Pgs 36-37'!I46+'Klickitat Pgs 38-39'!I46+'Lewis Pgs 40-41'!I46+'Lincoln Pgs 42-43'!I46+'Mason Pgs 44-45'!I46+'Northeast Tri Pgs 46-47'!I46+'Okanogan Pgs 48-49'!I46+'Pacific Pgs 50-51'!I46+'San Juan Pgs 52-53'!I46+'Seattle-King Pgs 54-55'!I46+'Skagit Pgs 56-57'!I46+'Skamania Pgs 58-59'!I46+'Snohomish Pgs 60-61'!I46+'Spokane Pgs 62-63'!I46+'Tacoma-Pierce Pgs 64-65'!I46+'Thurston Pgs 66-67'!I46+'Wahkiakum Pgs 68-69'!I46+'Walla Walla Pgs 70-71'!I46+'Whatcom Pgs 72-73'!I46+'Whitman Pgs 74-75'!I46+'Yakima Pgs 76-77'!I46</f>
        <v>140120</v>
      </c>
      <c r="J46" s="15">
        <f>'Asotin Pgs 10-11'!M46+'Adams Pgs 8-9'!M46+'Benton-Franklin Pgs 12-13'!M46+'Chelan-Douglas Pgs 14-15'!M46+'Clallam Pgs 16-17'!M46+'Clark Pgs 18-19'!M46+'Columbia Pgs 20-21'!M46+'Cowlitz Pgs 22-23'!M46+'Garfield Pgs 24-25'!M46+'Grant Pgs 26-27'!M46+'Grays Harbor Pgs 28-29'!M46+'Island Pgs 30-31'!M46+'Jefferson Pgs 32-33'!M46+'Kitsap Pgs 34-35'!M46+'Kittitas Pgs 36-37'!M46+'Klickitat Pgs 38-39'!M46+'Lewis Pgs 40-41'!M46+'Lincoln Pgs 42-43'!M46+'Mason Pgs 44-45'!M46+'Northeast Tri Pgs 46-47'!M46+'Okanogan Pgs 48-49'!M46+'Pacific Pgs 50-51'!M46+'San Juan Pgs 52-53'!M46+'Seattle-King Pgs 54-55'!M46+'Skagit Pgs 56-57'!M46+'Skamania Pgs 58-59'!M46+'Snohomish Pgs 60-61'!M46+'Spokane Pgs 62-63'!M46+'Tacoma-Pierce Pgs 64-65'!M46+'Thurston Pgs 66-67'!M46+'Wahkiakum Pgs 68-69'!M46+'Walla Walla Pgs 70-71'!M46+'Whatcom Pgs 72-73'!M46+'Whitman Pgs 74-75'!M46+'Yakima Pgs 76-77'!M46</f>
        <v>599564</v>
      </c>
      <c r="K46" s="7">
        <f>'Asotin Pgs 10-11'!Q46+'Adams Pgs 8-9'!Q46+'Benton-Franklin Pgs 12-13'!Q46+'Chelan-Douglas Pgs 14-15'!Q46+'Clallam Pgs 16-17'!Q46+'Clark Pgs 18-19'!Q46+'Columbia Pgs 20-21'!Q46+'Cowlitz Pgs 22-23'!Q46+'Garfield Pgs 24-25'!Q46+'Grant Pgs 26-27'!Q46+'Grays Harbor Pgs 28-29'!Q46+'Island Pgs 30-31'!Q46+'Jefferson Pgs 32-33'!Q46+'Kitsap Pgs 34-35'!Q46+'Kittitas Pgs 36-37'!Q46+'Klickitat Pgs 38-39'!Q46+'Lewis Pgs 40-41'!Q46+'Lincoln Pgs 42-43'!Q46+'Mason Pgs 44-45'!Q46+'Northeast Tri Pgs 46-47'!Q46+'Okanogan Pgs 48-49'!Q46+'Pacific Pgs 50-51'!Q46+'San Juan Pgs 52-53'!Q46+'Seattle-King Pgs 54-55'!Q46+'Skagit Pgs 56-57'!Q46+'Skamania Pgs 58-59'!Q46+'Snohomish Pgs 60-61'!Q46+'Spokane Pgs 62-63'!Q46+'Tacoma-Pierce Pgs 64-65'!Q46+'Thurston Pgs 66-67'!Q46+'Wahkiakum Pgs 68-69'!Q46+'Walla Walla Pgs 70-71'!Q46+'Whatcom Pgs 72-73'!Q46+'Whitman Pgs 74-75'!Q46+'Yakima Pgs 76-77'!Q46</f>
        <v>169840</v>
      </c>
      <c r="L46" s="15">
        <f>'Asotin Pgs 10-11'!R46+'Adams Pgs 8-9'!R46+'Benton-Franklin Pgs 12-13'!R46+'Chelan-Douglas Pgs 14-15'!R46+'Clallam Pgs 16-17'!R46+'Clark Pgs 18-19'!R46+'Columbia Pgs 20-21'!R46+'Cowlitz Pgs 22-23'!R46+'Garfield Pgs 24-25'!R46+'Grant Pgs 26-27'!R46+'Grays Harbor Pgs 28-29'!R46+'Island Pgs 30-31'!R46+'Jefferson Pgs 32-33'!R46+'Kitsap Pgs 34-35'!R46+'Kittitas Pgs 36-37'!R46+'Klickitat Pgs 38-39'!R46+'Lewis Pgs 40-41'!R46+'Lincoln Pgs 42-43'!R46+'Mason Pgs 44-45'!R46+'Northeast Tri Pgs 46-47'!R46+'Okanogan Pgs 48-49'!R46+'Pacific Pgs 50-51'!R46+'San Juan Pgs 52-53'!R46+'Seattle-King Pgs 54-55'!R46+'Skagit Pgs 56-57'!R46+'Skamania Pgs 58-59'!R46+'Snohomish Pgs 60-61'!R46+'Spokane Pgs 62-63'!R46+'Tacoma-Pierce Pgs 64-65'!R46+'Thurston Pgs 66-67'!R46+'Wahkiakum Pgs 68-69'!R46+'Walla Walla Pgs 70-71'!R46+'Whatcom Pgs 72-73'!R46+'Whitman Pgs 74-75'!R46+'Yakima Pgs 76-77'!R46</f>
        <v>601067</v>
      </c>
    </row>
    <row r="47" spans="1:12" x14ac:dyDescent="0.3">
      <c r="A47" s="39">
        <v>527.70000000000005</v>
      </c>
      <c r="B47" s="40" t="s">
        <v>71</v>
      </c>
      <c r="C47" s="165">
        <f>'Asotin Pgs 10-11'!C47+'Adams Pgs 8-9'!C47+'Benton-Franklin Pgs 12-13'!C47+'Chelan-Douglas Pgs 14-15'!C47+'Clallam Pgs 16-17'!C47+'Clark Pgs 18-19'!C47+'Columbia Pgs 20-21'!C47+'Cowlitz Pgs 22-23'!C47+'Garfield Pgs 24-25'!C47+'Grant Pgs 26-27'!C47+'Grays Harbor Pgs 28-29'!C47+'Island Pgs 30-31'!C47+'Jefferson Pgs 32-33'!C47+'Kitsap Pgs 34-35'!C47+'Kittitas Pgs 36-37'!C47+'Klickitat Pgs 38-39'!C47+'Lewis Pgs 40-41'!C47+'Lincoln Pgs 42-43'!C47+'Mason Pgs 44-45'!C47+'Northeast Tri Pgs 46-47'!C47+'Okanogan Pgs 48-49'!C47+'Pacific Pgs 50-51'!C47+'San Juan Pgs 52-53'!C47+'Seattle-King Pgs 54-55'!C47+'Skagit Pgs 56-57'!C47+'Skamania Pgs 58-59'!C47+'Snohomish Pgs 60-61'!C47+'Spokane Pgs 62-63'!C47+'Tacoma-Pierce Pgs 64-65'!C47+'Thurston Pgs 66-67'!C47+'Wahkiakum Pgs 68-69'!C47+'Walla Walla Pgs 70-71'!C47+'Whatcom Pgs 72-73'!C47+'Whitman Pgs 74-75'!C47+'Yakima Pgs 76-77'!C47</f>
        <v>314103</v>
      </c>
      <c r="D47" s="17">
        <f>'Asotin Pgs 10-11'!D47+'Adams Pgs 8-9'!D47+'Benton-Franklin Pgs 12-13'!D47+'Chelan-Douglas Pgs 14-15'!D47+'Clallam Pgs 16-17'!D47+'Clark Pgs 18-19'!D47+'Columbia Pgs 20-21'!D47+'Cowlitz Pgs 22-23'!D47+'Garfield Pgs 24-25'!D47+'Grant Pgs 26-27'!D47+'Grays Harbor Pgs 28-29'!D47+'Island Pgs 30-31'!D47+'Jefferson Pgs 32-33'!D47+'Kitsap Pgs 34-35'!D47+'Kittitas Pgs 36-37'!D47+'Klickitat Pgs 38-39'!D47+'Lewis Pgs 40-41'!D47+'Lincoln Pgs 42-43'!D47+'Mason Pgs 44-45'!D47+'Northeast Tri Pgs 46-47'!D47+'Okanogan Pgs 48-49'!D47+'Pacific Pgs 50-51'!D47+'San Juan Pgs 52-53'!D47+'Seattle-King Pgs 54-55'!D47+'Skagit Pgs 56-57'!D47+'Skamania Pgs 58-59'!D47+'Snohomish Pgs 60-61'!D47+'Spokane Pgs 62-63'!D47+'Tacoma-Pierce Pgs 64-65'!D47+'Thurston Pgs 66-67'!D47+'Wahkiakum Pgs 68-69'!D47+'Walla Walla Pgs 70-71'!D47+'Whatcom Pgs 72-73'!D47+'Whitman Pgs 74-75'!D47+'Yakima Pgs 76-77'!D47</f>
        <v>312730</v>
      </c>
      <c r="E47" s="165">
        <f>'Asotin Pgs 10-11'!E47+'Adams Pgs 8-9'!E47+'Benton-Franklin Pgs 12-13'!E47+'Chelan-Douglas Pgs 14-15'!E47+'Clallam Pgs 16-17'!E47+'Clark Pgs 18-19'!E47+'Columbia Pgs 20-21'!E47+'Cowlitz Pgs 22-23'!E47+'Garfield Pgs 24-25'!E47+'Grant Pgs 26-27'!E47+'Grays Harbor Pgs 28-29'!E47+'Island Pgs 30-31'!E47+'Jefferson Pgs 32-33'!E47+'Kitsap Pgs 34-35'!E47+'Kittitas Pgs 36-37'!E47+'Klickitat Pgs 38-39'!E47+'Lewis Pgs 40-41'!E47+'Lincoln Pgs 42-43'!E47+'Mason Pgs 44-45'!E47+'Northeast Tri Pgs 46-47'!E47+'Okanogan Pgs 48-49'!E47+'Pacific Pgs 50-51'!E47+'San Juan Pgs 52-53'!E47+'Seattle-King Pgs 54-55'!E47+'Skagit Pgs 56-57'!E47+'Skamania Pgs 58-59'!E47+'Snohomish Pgs 60-61'!E47+'Spokane Pgs 62-63'!E47+'Tacoma-Pierce Pgs 64-65'!E47+'Thurston Pgs 66-67'!E47+'Wahkiakum Pgs 68-69'!E47+'Walla Walla Pgs 70-71'!E47+'Whatcom Pgs 72-73'!E47+'Whitman Pgs 74-75'!E47+'Yakima Pgs 76-77'!E47</f>
        <v>0</v>
      </c>
      <c r="F47" s="8">
        <f>'Asotin Pgs 10-11'!F47+'Adams Pgs 8-9'!F47+'Benton-Franklin Pgs 12-13'!F47+'Chelan-Douglas Pgs 14-15'!F47+'Clallam Pgs 16-17'!F47+'Clark Pgs 18-19'!F47+'Columbia Pgs 20-21'!F47+'Cowlitz Pgs 22-23'!F47+'Garfield Pgs 24-25'!F47+'Grant Pgs 26-27'!F47+'Grays Harbor Pgs 28-29'!F47+'Island Pgs 30-31'!F47+'Jefferson Pgs 32-33'!F47+'Kitsap Pgs 34-35'!F47+'Kittitas Pgs 36-37'!F47+'Klickitat Pgs 38-39'!F47+'Lewis Pgs 40-41'!F47+'Lincoln Pgs 42-43'!F47+'Mason Pgs 44-45'!F47+'Northeast Tri Pgs 46-47'!F47+'Okanogan Pgs 48-49'!F47+'Pacific Pgs 50-51'!F47+'San Juan Pgs 52-53'!F47+'Seattle-King Pgs 54-55'!F47+'Skagit Pgs 56-57'!F47+'Skamania Pgs 58-59'!F47+'Snohomish Pgs 60-61'!F47+'Spokane Pgs 62-63'!F47+'Tacoma-Pierce Pgs 64-65'!F47+'Thurston Pgs 66-67'!F47+'Wahkiakum Pgs 68-69'!F47+'Walla Walla Pgs 70-71'!F47+'Whatcom Pgs 72-73'!F47+'Whitman Pgs 74-75'!F47+'Yakima Pgs 76-77'!F47</f>
        <v>0</v>
      </c>
      <c r="G47" s="7">
        <f>'Asotin Pgs 10-11'!G47+'Adams Pgs 8-9'!G47+'Benton-Franklin Pgs 12-13'!G47+'Chelan-Douglas Pgs 14-15'!G47+'Clallam Pgs 16-17'!G47+'Clark Pgs 18-19'!G47+'Columbia Pgs 20-21'!G47+'Cowlitz Pgs 22-23'!G47+'Garfield Pgs 24-25'!G47+'Grant Pgs 26-27'!G47+'Grays Harbor Pgs 28-29'!G47+'Island Pgs 30-31'!G47+'Jefferson Pgs 32-33'!G47+'Kitsap Pgs 34-35'!G47+'Kittitas Pgs 36-37'!G47+'Klickitat Pgs 38-39'!G47+'Lewis Pgs 40-41'!G47+'Lincoln Pgs 42-43'!G47+'Mason Pgs 44-45'!G47+'Northeast Tri Pgs 46-47'!G47+'Okanogan Pgs 48-49'!G47+'Pacific Pgs 50-51'!G47+'San Juan Pgs 52-53'!G47+'Seattle-King Pgs 54-55'!G47+'Skagit Pgs 56-57'!G47+'Skamania Pgs 58-59'!G47+'Snohomish Pgs 60-61'!G47+'Spokane Pgs 62-63'!G47+'Tacoma-Pierce Pgs 64-65'!G47+'Thurston Pgs 66-67'!G47+'Wahkiakum Pgs 68-69'!G47+'Walla Walla Pgs 70-71'!G47+'Whatcom Pgs 72-73'!G47+'Whitman Pgs 74-75'!G47+'Yakima Pgs 76-77'!G47</f>
        <v>0</v>
      </c>
      <c r="H47" s="15">
        <f>'Asotin Pgs 10-11'!H47+'Adams Pgs 8-9'!H47+'Benton-Franklin Pgs 12-13'!H47+'Chelan-Douglas Pgs 14-15'!H47+'Clallam Pgs 16-17'!H47+'Clark Pgs 18-19'!H47+'Columbia Pgs 20-21'!H47+'Cowlitz Pgs 22-23'!H47+'Garfield Pgs 24-25'!H47+'Grant Pgs 26-27'!H47+'Grays Harbor Pgs 28-29'!H47+'Island Pgs 30-31'!H47+'Jefferson Pgs 32-33'!H47+'Kitsap Pgs 34-35'!H47+'Kittitas Pgs 36-37'!H47+'Klickitat Pgs 38-39'!H47+'Lewis Pgs 40-41'!H47+'Lincoln Pgs 42-43'!H47+'Mason Pgs 44-45'!H47+'Northeast Tri Pgs 46-47'!H47+'Okanogan Pgs 48-49'!H47+'Pacific Pgs 50-51'!H47+'San Juan Pgs 52-53'!H47+'Seattle-King Pgs 54-55'!H47+'Skagit Pgs 56-57'!H47+'Skamania Pgs 58-59'!H47+'Snohomish Pgs 60-61'!H47+'Spokane Pgs 62-63'!H47+'Tacoma-Pierce Pgs 64-65'!H47+'Thurston Pgs 66-67'!H47+'Wahkiakum Pgs 68-69'!H47+'Walla Walla Pgs 70-71'!H47+'Whatcom Pgs 72-73'!H47+'Whitman Pgs 74-75'!H47+'Yakima Pgs 76-77'!H47</f>
        <v>483</v>
      </c>
      <c r="I47" s="7">
        <f>'Asotin Pgs 10-11'!I47+'Adams Pgs 8-9'!I47+'Benton-Franklin Pgs 12-13'!I47+'Chelan-Douglas Pgs 14-15'!I47+'Clallam Pgs 16-17'!I47+'Clark Pgs 18-19'!I47+'Columbia Pgs 20-21'!I47+'Cowlitz Pgs 22-23'!I47+'Garfield Pgs 24-25'!I47+'Grant Pgs 26-27'!I47+'Grays Harbor Pgs 28-29'!I47+'Island Pgs 30-31'!I47+'Jefferson Pgs 32-33'!I47+'Kitsap Pgs 34-35'!I47+'Kittitas Pgs 36-37'!I47+'Klickitat Pgs 38-39'!I47+'Lewis Pgs 40-41'!I47+'Lincoln Pgs 42-43'!I47+'Mason Pgs 44-45'!I47+'Northeast Tri Pgs 46-47'!I47+'Okanogan Pgs 48-49'!I47+'Pacific Pgs 50-51'!I47+'San Juan Pgs 52-53'!I47+'Seattle-King Pgs 54-55'!I47+'Skagit Pgs 56-57'!I47+'Skamania Pgs 58-59'!I47+'Snohomish Pgs 60-61'!I47+'Spokane Pgs 62-63'!I47+'Tacoma-Pierce Pgs 64-65'!I47+'Thurston Pgs 66-67'!I47+'Wahkiakum Pgs 68-69'!I47+'Walla Walla Pgs 70-71'!I47+'Whatcom Pgs 72-73'!I47+'Whitman Pgs 74-75'!I47+'Yakima Pgs 76-77'!I47</f>
        <v>0</v>
      </c>
      <c r="J47" s="15">
        <f>'Asotin Pgs 10-11'!M47+'Adams Pgs 8-9'!M47+'Benton-Franklin Pgs 12-13'!M47+'Chelan-Douglas Pgs 14-15'!M47+'Clallam Pgs 16-17'!M47+'Clark Pgs 18-19'!M47+'Columbia Pgs 20-21'!M47+'Cowlitz Pgs 22-23'!M47+'Garfield Pgs 24-25'!M47+'Grant Pgs 26-27'!M47+'Grays Harbor Pgs 28-29'!M47+'Island Pgs 30-31'!M47+'Jefferson Pgs 32-33'!M47+'Kitsap Pgs 34-35'!M47+'Kittitas Pgs 36-37'!M47+'Klickitat Pgs 38-39'!M47+'Lewis Pgs 40-41'!M47+'Lincoln Pgs 42-43'!M47+'Mason Pgs 44-45'!M47+'Northeast Tri Pgs 46-47'!M47+'Okanogan Pgs 48-49'!M47+'Pacific Pgs 50-51'!M47+'San Juan Pgs 52-53'!M47+'Seattle-King Pgs 54-55'!M47+'Skagit Pgs 56-57'!M47+'Skamania Pgs 58-59'!M47+'Snohomish Pgs 60-61'!M47+'Spokane Pgs 62-63'!M47+'Tacoma-Pierce Pgs 64-65'!M47+'Thurston Pgs 66-67'!M47+'Wahkiakum Pgs 68-69'!M47+'Walla Walla Pgs 70-71'!M47+'Whatcom Pgs 72-73'!M47+'Whitman Pgs 74-75'!M47+'Yakima Pgs 76-77'!M47</f>
        <v>21432</v>
      </c>
      <c r="K47" s="7">
        <f>'Asotin Pgs 10-11'!Q47+'Adams Pgs 8-9'!Q47+'Benton-Franklin Pgs 12-13'!Q47+'Chelan-Douglas Pgs 14-15'!Q47+'Clallam Pgs 16-17'!Q47+'Clark Pgs 18-19'!Q47+'Columbia Pgs 20-21'!Q47+'Cowlitz Pgs 22-23'!Q47+'Garfield Pgs 24-25'!Q47+'Grant Pgs 26-27'!Q47+'Grays Harbor Pgs 28-29'!Q47+'Island Pgs 30-31'!Q47+'Jefferson Pgs 32-33'!Q47+'Kitsap Pgs 34-35'!Q47+'Kittitas Pgs 36-37'!Q47+'Klickitat Pgs 38-39'!Q47+'Lewis Pgs 40-41'!Q47+'Lincoln Pgs 42-43'!Q47+'Mason Pgs 44-45'!Q47+'Northeast Tri Pgs 46-47'!Q47+'Okanogan Pgs 48-49'!Q47+'Pacific Pgs 50-51'!Q47+'San Juan Pgs 52-53'!Q47+'Seattle-King Pgs 54-55'!Q47+'Skagit Pgs 56-57'!Q47+'Skamania Pgs 58-59'!Q47+'Snohomish Pgs 60-61'!Q47+'Spokane Pgs 62-63'!Q47+'Tacoma-Pierce Pgs 64-65'!Q47+'Thurston Pgs 66-67'!Q47+'Wahkiakum Pgs 68-69'!Q47+'Walla Walla Pgs 70-71'!Q47+'Whatcom Pgs 72-73'!Q47+'Whitman Pgs 74-75'!Q47+'Yakima Pgs 76-77'!Q47</f>
        <v>314572</v>
      </c>
      <c r="L47" s="15">
        <f>'Asotin Pgs 10-11'!R47+'Adams Pgs 8-9'!R47+'Benton-Franklin Pgs 12-13'!R47+'Chelan-Douglas Pgs 14-15'!R47+'Clallam Pgs 16-17'!R47+'Clark Pgs 18-19'!R47+'Columbia Pgs 20-21'!R47+'Cowlitz Pgs 22-23'!R47+'Garfield Pgs 24-25'!R47+'Grant Pgs 26-27'!R47+'Grays Harbor Pgs 28-29'!R47+'Island Pgs 30-31'!R47+'Jefferson Pgs 32-33'!R47+'Kitsap Pgs 34-35'!R47+'Kittitas Pgs 36-37'!R47+'Klickitat Pgs 38-39'!R47+'Lewis Pgs 40-41'!R47+'Lincoln Pgs 42-43'!R47+'Mason Pgs 44-45'!R47+'Northeast Tri Pgs 46-47'!R47+'Okanogan Pgs 48-49'!R47+'Pacific Pgs 50-51'!R47+'San Juan Pgs 52-53'!R47+'Seattle-King Pgs 54-55'!R47+'Skagit Pgs 56-57'!R47+'Skamania Pgs 58-59'!R47+'Snohomish Pgs 60-61'!R47+'Spokane Pgs 62-63'!R47+'Tacoma-Pierce Pgs 64-65'!R47+'Thurston Pgs 66-67'!R47+'Wahkiakum Pgs 68-69'!R47+'Walla Walla Pgs 70-71'!R47+'Whatcom Pgs 72-73'!R47+'Whitman Pgs 74-75'!R47+'Yakima Pgs 76-77'!R47</f>
        <v>-23757</v>
      </c>
    </row>
    <row r="48" spans="1:12" x14ac:dyDescent="0.3">
      <c r="A48" s="39">
        <v>551.20000000000005</v>
      </c>
      <c r="B48" s="40" t="s">
        <v>72</v>
      </c>
      <c r="C48" s="165">
        <f>'Asotin Pgs 10-11'!C48+'Adams Pgs 8-9'!C48+'Benton-Franklin Pgs 12-13'!C48+'Chelan-Douglas Pgs 14-15'!C48+'Clallam Pgs 16-17'!C48+'Clark Pgs 18-19'!C48+'Columbia Pgs 20-21'!C48+'Cowlitz Pgs 22-23'!C48+'Garfield Pgs 24-25'!C48+'Grant Pgs 26-27'!C48+'Grays Harbor Pgs 28-29'!C48+'Island Pgs 30-31'!C48+'Jefferson Pgs 32-33'!C48+'Kitsap Pgs 34-35'!C48+'Kittitas Pgs 36-37'!C48+'Klickitat Pgs 38-39'!C48+'Lewis Pgs 40-41'!C48+'Lincoln Pgs 42-43'!C48+'Mason Pgs 44-45'!C48+'Northeast Tri Pgs 46-47'!C48+'Okanogan Pgs 48-49'!C48+'Pacific Pgs 50-51'!C48+'San Juan Pgs 52-53'!C48+'Seattle-King Pgs 54-55'!C48+'Skagit Pgs 56-57'!C48+'Skamania Pgs 58-59'!C48+'Snohomish Pgs 60-61'!C48+'Spokane Pgs 62-63'!C48+'Tacoma-Pierce Pgs 64-65'!C48+'Thurston Pgs 66-67'!C48+'Wahkiakum Pgs 68-69'!C48+'Walla Walla Pgs 70-71'!C48+'Whatcom Pgs 72-73'!C48+'Whitman Pgs 74-75'!C48+'Yakima Pgs 76-77'!C48</f>
        <v>0</v>
      </c>
      <c r="D48" s="17">
        <f>'Asotin Pgs 10-11'!D48+'Adams Pgs 8-9'!D48+'Benton-Franklin Pgs 12-13'!D48+'Chelan-Douglas Pgs 14-15'!D48+'Clallam Pgs 16-17'!D48+'Clark Pgs 18-19'!D48+'Columbia Pgs 20-21'!D48+'Cowlitz Pgs 22-23'!D48+'Garfield Pgs 24-25'!D48+'Grant Pgs 26-27'!D48+'Grays Harbor Pgs 28-29'!D48+'Island Pgs 30-31'!D48+'Jefferson Pgs 32-33'!D48+'Kitsap Pgs 34-35'!D48+'Kittitas Pgs 36-37'!D48+'Klickitat Pgs 38-39'!D48+'Lewis Pgs 40-41'!D48+'Lincoln Pgs 42-43'!D48+'Mason Pgs 44-45'!D48+'Northeast Tri Pgs 46-47'!D48+'Okanogan Pgs 48-49'!D48+'Pacific Pgs 50-51'!D48+'San Juan Pgs 52-53'!D48+'Seattle-King Pgs 54-55'!D48+'Skagit Pgs 56-57'!D48+'Skamania Pgs 58-59'!D48+'Snohomish Pgs 60-61'!D48+'Spokane Pgs 62-63'!D48+'Tacoma-Pierce Pgs 64-65'!D48+'Thurston Pgs 66-67'!D48+'Wahkiakum Pgs 68-69'!D48+'Walla Walla Pgs 70-71'!D48+'Whatcom Pgs 72-73'!D48+'Whitman Pgs 74-75'!D48+'Yakima Pgs 76-77'!D48</f>
        <v>4078</v>
      </c>
      <c r="E48" s="165">
        <f>'Asotin Pgs 10-11'!E48+'Adams Pgs 8-9'!E48+'Benton-Franklin Pgs 12-13'!E48+'Chelan-Douglas Pgs 14-15'!E48+'Clallam Pgs 16-17'!E48+'Clark Pgs 18-19'!E48+'Columbia Pgs 20-21'!E48+'Cowlitz Pgs 22-23'!E48+'Garfield Pgs 24-25'!E48+'Grant Pgs 26-27'!E48+'Grays Harbor Pgs 28-29'!E48+'Island Pgs 30-31'!E48+'Jefferson Pgs 32-33'!E48+'Kitsap Pgs 34-35'!E48+'Kittitas Pgs 36-37'!E48+'Klickitat Pgs 38-39'!E48+'Lewis Pgs 40-41'!E48+'Lincoln Pgs 42-43'!E48+'Mason Pgs 44-45'!E48+'Northeast Tri Pgs 46-47'!E48+'Okanogan Pgs 48-49'!E48+'Pacific Pgs 50-51'!E48+'San Juan Pgs 52-53'!E48+'Seattle-King Pgs 54-55'!E48+'Skagit Pgs 56-57'!E48+'Skamania Pgs 58-59'!E48+'Snohomish Pgs 60-61'!E48+'Spokane Pgs 62-63'!E48+'Tacoma-Pierce Pgs 64-65'!E48+'Thurston Pgs 66-67'!E48+'Wahkiakum Pgs 68-69'!E48+'Walla Walla Pgs 70-71'!E48+'Whatcom Pgs 72-73'!E48+'Whitman Pgs 74-75'!E48+'Yakima Pgs 76-77'!E48</f>
        <v>0</v>
      </c>
      <c r="F48" s="8">
        <f>'Asotin Pgs 10-11'!F48+'Adams Pgs 8-9'!F48+'Benton-Franklin Pgs 12-13'!F48+'Chelan-Douglas Pgs 14-15'!F48+'Clallam Pgs 16-17'!F48+'Clark Pgs 18-19'!F48+'Columbia Pgs 20-21'!F48+'Cowlitz Pgs 22-23'!F48+'Garfield Pgs 24-25'!F48+'Grant Pgs 26-27'!F48+'Grays Harbor Pgs 28-29'!F48+'Island Pgs 30-31'!F48+'Jefferson Pgs 32-33'!F48+'Kitsap Pgs 34-35'!F48+'Kittitas Pgs 36-37'!F48+'Klickitat Pgs 38-39'!F48+'Lewis Pgs 40-41'!F48+'Lincoln Pgs 42-43'!F48+'Mason Pgs 44-45'!F48+'Northeast Tri Pgs 46-47'!F48+'Okanogan Pgs 48-49'!F48+'Pacific Pgs 50-51'!F48+'San Juan Pgs 52-53'!F48+'Seattle-King Pgs 54-55'!F48+'Skagit Pgs 56-57'!F48+'Skamania Pgs 58-59'!F48+'Snohomish Pgs 60-61'!F48+'Spokane Pgs 62-63'!F48+'Tacoma-Pierce Pgs 64-65'!F48+'Thurston Pgs 66-67'!F48+'Wahkiakum Pgs 68-69'!F48+'Walla Walla Pgs 70-71'!F48+'Whatcom Pgs 72-73'!F48+'Whitman Pgs 74-75'!F48+'Yakima Pgs 76-77'!F48</f>
        <v>0</v>
      </c>
      <c r="G48" s="7">
        <f>'Asotin Pgs 10-11'!G48+'Adams Pgs 8-9'!G48+'Benton-Franklin Pgs 12-13'!G48+'Chelan-Douglas Pgs 14-15'!G48+'Clallam Pgs 16-17'!G48+'Clark Pgs 18-19'!G48+'Columbia Pgs 20-21'!G48+'Cowlitz Pgs 22-23'!G48+'Garfield Pgs 24-25'!G48+'Grant Pgs 26-27'!G48+'Grays Harbor Pgs 28-29'!G48+'Island Pgs 30-31'!G48+'Jefferson Pgs 32-33'!G48+'Kitsap Pgs 34-35'!G48+'Kittitas Pgs 36-37'!G48+'Klickitat Pgs 38-39'!G48+'Lewis Pgs 40-41'!G48+'Lincoln Pgs 42-43'!G48+'Mason Pgs 44-45'!G48+'Northeast Tri Pgs 46-47'!G48+'Okanogan Pgs 48-49'!G48+'Pacific Pgs 50-51'!G48+'San Juan Pgs 52-53'!G48+'Seattle-King Pgs 54-55'!G48+'Skagit Pgs 56-57'!G48+'Skamania Pgs 58-59'!G48+'Snohomish Pgs 60-61'!G48+'Spokane Pgs 62-63'!G48+'Tacoma-Pierce Pgs 64-65'!G48+'Thurston Pgs 66-67'!G48+'Wahkiakum Pgs 68-69'!G48+'Walla Walla Pgs 70-71'!G48+'Whatcom Pgs 72-73'!G48+'Whitman Pgs 74-75'!G48+'Yakima Pgs 76-77'!G48</f>
        <v>0</v>
      </c>
      <c r="H48" s="15">
        <f>'Asotin Pgs 10-11'!H48+'Adams Pgs 8-9'!H48+'Benton-Franklin Pgs 12-13'!H48+'Chelan-Douglas Pgs 14-15'!H48+'Clallam Pgs 16-17'!H48+'Clark Pgs 18-19'!H48+'Columbia Pgs 20-21'!H48+'Cowlitz Pgs 22-23'!H48+'Garfield Pgs 24-25'!H48+'Grant Pgs 26-27'!H48+'Grays Harbor Pgs 28-29'!H48+'Island Pgs 30-31'!H48+'Jefferson Pgs 32-33'!H48+'Kitsap Pgs 34-35'!H48+'Kittitas Pgs 36-37'!H48+'Klickitat Pgs 38-39'!H48+'Lewis Pgs 40-41'!H48+'Lincoln Pgs 42-43'!H48+'Mason Pgs 44-45'!H48+'Northeast Tri Pgs 46-47'!H48+'Okanogan Pgs 48-49'!H48+'Pacific Pgs 50-51'!H48+'San Juan Pgs 52-53'!H48+'Seattle-King Pgs 54-55'!H48+'Skagit Pgs 56-57'!H48+'Skamania Pgs 58-59'!H48+'Snohomish Pgs 60-61'!H48+'Spokane Pgs 62-63'!H48+'Tacoma-Pierce Pgs 64-65'!H48+'Thurston Pgs 66-67'!H48+'Wahkiakum Pgs 68-69'!H48+'Walla Walla Pgs 70-71'!H48+'Whatcom Pgs 72-73'!H48+'Whitman Pgs 74-75'!H48+'Yakima Pgs 76-77'!H48</f>
        <v>4078</v>
      </c>
      <c r="I48" s="7">
        <f>'Asotin Pgs 10-11'!I48+'Adams Pgs 8-9'!I48+'Benton-Franklin Pgs 12-13'!I48+'Chelan-Douglas Pgs 14-15'!I48+'Clallam Pgs 16-17'!I48+'Clark Pgs 18-19'!I48+'Columbia Pgs 20-21'!I48+'Cowlitz Pgs 22-23'!I48+'Garfield Pgs 24-25'!I48+'Grant Pgs 26-27'!I48+'Grays Harbor Pgs 28-29'!I48+'Island Pgs 30-31'!I48+'Jefferson Pgs 32-33'!I48+'Kitsap Pgs 34-35'!I48+'Kittitas Pgs 36-37'!I48+'Klickitat Pgs 38-39'!I48+'Lewis Pgs 40-41'!I48+'Lincoln Pgs 42-43'!I48+'Mason Pgs 44-45'!I48+'Northeast Tri Pgs 46-47'!I48+'Okanogan Pgs 48-49'!I48+'Pacific Pgs 50-51'!I48+'San Juan Pgs 52-53'!I48+'Seattle-King Pgs 54-55'!I48+'Skagit Pgs 56-57'!I48+'Skamania Pgs 58-59'!I48+'Snohomish Pgs 60-61'!I48+'Spokane Pgs 62-63'!I48+'Tacoma-Pierce Pgs 64-65'!I48+'Thurston Pgs 66-67'!I48+'Wahkiakum Pgs 68-69'!I48+'Walla Walla Pgs 70-71'!I48+'Whatcom Pgs 72-73'!I48+'Whitman Pgs 74-75'!I48+'Yakima Pgs 76-77'!I48</f>
        <v>0</v>
      </c>
      <c r="J48" s="15">
        <f>'Asotin Pgs 10-11'!M48+'Adams Pgs 8-9'!M48+'Benton-Franklin Pgs 12-13'!M48+'Chelan-Douglas Pgs 14-15'!M48+'Clallam Pgs 16-17'!M48+'Clark Pgs 18-19'!M48+'Columbia Pgs 20-21'!M48+'Cowlitz Pgs 22-23'!M48+'Garfield Pgs 24-25'!M48+'Grant Pgs 26-27'!M48+'Grays Harbor Pgs 28-29'!M48+'Island Pgs 30-31'!M48+'Jefferson Pgs 32-33'!M48+'Kitsap Pgs 34-35'!M48+'Kittitas Pgs 36-37'!M48+'Klickitat Pgs 38-39'!M48+'Lewis Pgs 40-41'!M48+'Lincoln Pgs 42-43'!M48+'Mason Pgs 44-45'!M48+'Northeast Tri Pgs 46-47'!M48+'Okanogan Pgs 48-49'!M48+'Pacific Pgs 50-51'!M48+'San Juan Pgs 52-53'!M48+'Seattle-King Pgs 54-55'!M48+'Skagit Pgs 56-57'!M48+'Skamania Pgs 58-59'!M48+'Snohomish Pgs 60-61'!M48+'Spokane Pgs 62-63'!M48+'Tacoma-Pierce Pgs 64-65'!M48+'Thurston Pgs 66-67'!M48+'Wahkiakum Pgs 68-69'!M48+'Walla Walla Pgs 70-71'!M48+'Whatcom Pgs 72-73'!M48+'Whitman Pgs 74-75'!M48+'Yakima Pgs 76-77'!M48</f>
        <v>0</v>
      </c>
      <c r="K48" s="7">
        <f>'Asotin Pgs 10-11'!Q48+'Adams Pgs 8-9'!Q48+'Benton-Franklin Pgs 12-13'!Q48+'Chelan-Douglas Pgs 14-15'!Q48+'Clallam Pgs 16-17'!Q48+'Clark Pgs 18-19'!Q48+'Columbia Pgs 20-21'!Q48+'Cowlitz Pgs 22-23'!Q48+'Garfield Pgs 24-25'!Q48+'Grant Pgs 26-27'!Q48+'Grays Harbor Pgs 28-29'!Q48+'Island Pgs 30-31'!Q48+'Jefferson Pgs 32-33'!Q48+'Kitsap Pgs 34-35'!Q48+'Kittitas Pgs 36-37'!Q48+'Klickitat Pgs 38-39'!Q48+'Lewis Pgs 40-41'!Q48+'Lincoln Pgs 42-43'!Q48+'Mason Pgs 44-45'!Q48+'Northeast Tri Pgs 46-47'!Q48+'Okanogan Pgs 48-49'!Q48+'Pacific Pgs 50-51'!Q48+'San Juan Pgs 52-53'!Q48+'Seattle-King Pgs 54-55'!Q48+'Skagit Pgs 56-57'!Q48+'Skamania Pgs 58-59'!Q48+'Snohomish Pgs 60-61'!Q48+'Spokane Pgs 62-63'!Q48+'Tacoma-Pierce Pgs 64-65'!Q48+'Thurston Pgs 66-67'!Q48+'Wahkiakum Pgs 68-69'!Q48+'Walla Walla Pgs 70-71'!Q48+'Whatcom Pgs 72-73'!Q48+'Whitman Pgs 74-75'!Q48+'Yakima Pgs 76-77'!Q48</f>
        <v>0</v>
      </c>
      <c r="L48" s="15">
        <f>'Asotin Pgs 10-11'!R48+'Adams Pgs 8-9'!R48+'Benton-Franklin Pgs 12-13'!R48+'Chelan-Douglas Pgs 14-15'!R48+'Clallam Pgs 16-17'!R48+'Clark Pgs 18-19'!R48+'Columbia Pgs 20-21'!R48+'Cowlitz Pgs 22-23'!R48+'Garfield Pgs 24-25'!R48+'Grant Pgs 26-27'!R48+'Grays Harbor Pgs 28-29'!R48+'Island Pgs 30-31'!R48+'Jefferson Pgs 32-33'!R48+'Kitsap Pgs 34-35'!R48+'Kittitas Pgs 36-37'!R48+'Klickitat Pgs 38-39'!R48+'Lewis Pgs 40-41'!R48+'Lincoln Pgs 42-43'!R48+'Mason Pgs 44-45'!R48+'Northeast Tri Pgs 46-47'!R48+'Okanogan Pgs 48-49'!R48+'Pacific Pgs 50-51'!R48+'San Juan Pgs 52-53'!R48+'Seattle-King Pgs 54-55'!R48+'Skagit Pgs 56-57'!R48+'Skamania Pgs 58-59'!R48+'Snohomish Pgs 60-61'!R48+'Spokane Pgs 62-63'!R48+'Tacoma-Pierce Pgs 64-65'!R48+'Thurston Pgs 66-67'!R48+'Wahkiakum Pgs 68-69'!R48+'Walla Walla Pgs 70-71'!R48+'Whatcom Pgs 72-73'!R48+'Whitman Pgs 74-75'!R48+'Yakima Pgs 76-77'!R48</f>
        <v>0</v>
      </c>
    </row>
    <row r="49" spans="1:12" x14ac:dyDescent="0.3">
      <c r="A49" s="39">
        <v>554</v>
      </c>
      <c r="B49" s="141" t="s">
        <v>102</v>
      </c>
      <c r="C49" s="165">
        <f>'Asotin Pgs 10-11'!C49+'Adams Pgs 8-9'!C49+'Benton-Franklin Pgs 12-13'!C49+'Chelan-Douglas Pgs 14-15'!C49+'Clallam Pgs 16-17'!C49+'Clark Pgs 18-19'!C49+'Columbia Pgs 20-21'!C49+'Cowlitz Pgs 22-23'!C49+'Garfield Pgs 24-25'!C49+'Grant Pgs 26-27'!C49+'Grays Harbor Pgs 28-29'!C49+'Island Pgs 30-31'!C49+'Jefferson Pgs 32-33'!C49+'Kitsap Pgs 34-35'!C49+'Kittitas Pgs 36-37'!C49+'Klickitat Pgs 38-39'!C49+'Lewis Pgs 40-41'!C49+'Lincoln Pgs 42-43'!C49+'Mason Pgs 44-45'!C49+'Northeast Tri Pgs 46-47'!C49+'Okanogan Pgs 48-49'!C49+'Pacific Pgs 50-51'!C49+'San Juan Pgs 52-53'!C49+'Seattle-King Pgs 54-55'!C49+'Skagit Pgs 56-57'!C49+'Skamania Pgs 58-59'!C49+'Snohomish Pgs 60-61'!C49+'Spokane Pgs 62-63'!C49+'Tacoma-Pierce Pgs 64-65'!C49+'Thurston Pgs 66-67'!C49+'Wahkiakum Pgs 68-69'!C49+'Walla Walla Pgs 70-71'!C49+'Whatcom Pgs 72-73'!C49+'Whitman Pgs 74-75'!C49+'Yakima Pgs 76-77'!C49</f>
        <v>572253</v>
      </c>
      <c r="D49" s="17">
        <f>'Asotin Pgs 10-11'!D49+'Adams Pgs 8-9'!D49+'Benton-Franklin Pgs 12-13'!D49+'Chelan-Douglas Pgs 14-15'!D49+'Clallam Pgs 16-17'!D49+'Clark Pgs 18-19'!D49+'Columbia Pgs 20-21'!D49+'Cowlitz Pgs 22-23'!D49+'Garfield Pgs 24-25'!D49+'Grant Pgs 26-27'!D49+'Grays Harbor Pgs 28-29'!D49+'Island Pgs 30-31'!D49+'Jefferson Pgs 32-33'!D49+'Kitsap Pgs 34-35'!D49+'Kittitas Pgs 36-37'!D49+'Klickitat Pgs 38-39'!D49+'Lewis Pgs 40-41'!D49+'Lincoln Pgs 42-43'!D49+'Mason Pgs 44-45'!D49+'Northeast Tri Pgs 46-47'!D49+'Okanogan Pgs 48-49'!D49+'Pacific Pgs 50-51'!D49+'San Juan Pgs 52-53'!D49+'Seattle-King Pgs 54-55'!D49+'Skagit Pgs 56-57'!D49+'Skamania Pgs 58-59'!D49+'Snohomish Pgs 60-61'!D49+'Spokane Pgs 62-63'!D49+'Tacoma-Pierce Pgs 64-65'!D49+'Thurston Pgs 66-67'!D49+'Wahkiakum Pgs 68-69'!D49+'Walla Walla Pgs 70-71'!D49+'Whatcom Pgs 72-73'!D49+'Whitman Pgs 74-75'!D49+'Yakima Pgs 76-77'!D49</f>
        <v>561879</v>
      </c>
      <c r="E49" s="165">
        <f>'Asotin Pgs 10-11'!E49+'Adams Pgs 8-9'!E49+'Benton-Franklin Pgs 12-13'!E49+'Chelan-Douglas Pgs 14-15'!E49+'Clallam Pgs 16-17'!E49+'Clark Pgs 18-19'!E49+'Columbia Pgs 20-21'!E49+'Cowlitz Pgs 22-23'!E49+'Garfield Pgs 24-25'!E49+'Grant Pgs 26-27'!E49+'Grays Harbor Pgs 28-29'!E49+'Island Pgs 30-31'!E49+'Jefferson Pgs 32-33'!E49+'Kitsap Pgs 34-35'!E49+'Kittitas Pgs 36-37'!E49+'Klickitat Pgs 38-39'!E49+'Lewis Pgs 40-41'!E49+'Lincoln Pgs 42-43'!E49+'Mason Pgs 44-45'!E49+'Northeast Tri Pgs 46-47'!E49+'Okanogan Pgs 48-49'!E49+'Pacific Pgs 50-51'!E49+'San Juan Pgs 52-53'!E49+'Seattle-King Pgs 54-55'!E49+'Skagit Pgs 56-57'!E49+'Skamania Pgs 58-59'!E49+'Snohomish Pgs 60-61'!E49+'Spokane Pgs 62-63'!E49+'Tacoma-Pierce Pgs 64-65'!E49+'Thurston Pgs 66-67'!E49+'Wahkiakum Pgs 68-69'!E49+'Walla Walla Pgs 70-71'!E49+'Whatcom Pgs 72-73'!E49+'Whitman Pgs 74-75'!E49+'Yakima Pgs 76-77'!E49</f>
        <v>0</v>
      </c>
      <c r="F49" s="8">
        <f>'Asotin Pgs 10-11'!F49+'Adams Pgs 8-9'!F49+'Benton-Franklin Pgs 12-13'!F49+'Chelan-Douglas Pgs 14-15'!F49+'Clallam Pgs 16-17'!F49+'Clark Pgs 18-19'!F49+'Columbia Pgs 20-21'!F49+'Cowlitz Pgs 22-23'!F49+'Garfield Pgs 24-25'!F49+'Grant Pgs 26-27'!F49+'Grays Harbor Pgs 28-29'!F49+'Island Pgs 30-31'!F49+'Jefferson Pgs 32-33'!F49+'Kitsap Pgs 34-35'!F49+'Kittitas Pgs 36-37'!F49+'Klickitat Pgs 38-39'!F49+'Lewis Pgs 40-41'!F49+'Lincoln Pgs 42-43'!F49+'Mason Pgs 44-45'!F49+'Northeast Tri Pgs 46-47'!F49+'Okanogan Pgs 48-49'!F49+'Pacific Pgs 50-51'!F49+'San Juan Pgs 52-53'!F49+'Seattle-King Pgs 54-55'!F49+'Skagit Pgs 56-57'!F49+'Skamania Pgs 58-59'!F49+'Snohomish Pgs 60-61'!F49+'Spokane Pgs 62-63'!F49+'Tacoma-Pierce Pgs 64-65'!F49+'Thurston Pgs 66-67'!F49+'Wahkiakum Pgs 68-69'!F49+'Walla Walla Pgs 70-71'!F49+'Whatcom Pgs 72-73'!F49+'Whitman Pgs 74-75'!F49+'Yakima Pgs 76-77'!F49</f>
        <v>14267</v>
      </c>
      <c r="G49" s="7">
        <f>'Asotin Pgs 10-11'!G49+'Adams Pgs 8-9'!G49+'Benton-Franklin Pgs 12-13'!G49+'Chelan-Douglas Pgs 14-15'!G49+'Clallam Pgs 16-17'!G49+'Clark Pgs 18-19'!G49+'Columbia Pgs 20-21'!G49+'Cowlitz Pgs 22-23'!G49+'Garfield Pgs 24-25'!G49+'Grant Pgs 26-27'!G49+'Grays Harbor Pgs 28-29'!G49+'Island Pgs 30-31'!G49+'Jefferson Pgs 32-33'!G49+'Kitsap Pgs 34-35'!G49+'Kittitas Pgs 36-37'!G49+'Klickitat Pgs 38-39'!G49+'Lewis Pgs 40-41'!G49+'Lincoln Pgs 42-43'!G49+'Mason Pgs 44-45'!G49+'Northeast Tri Pgs 46-47'!G49+'Okanogan Pgs 48-49'!G49+'Pacific Pgs 50-51'!G49+'San Juan Pgs 52-53'!G49+'Seattle-King Pgs 54-55'!G49+'Skagit Pgs 56-57'!G49+'Skamania Pgs 58-59'!G49+'Snohomish Pgs 60-61'!G49+'Spokane Pgs 62-63'!G49+'Tacoma-Pierce Pgs 64-65'!G49+'Thurston Pgs 66-67'!G49+'Wahkiakum Pgs 68-69'!G49+'Walla Walla Pgs 70-71'!G49+'Whatcom Pgs 72-73'!G49+'Whitman Pgs 74-75'!G49+'Yakima Pgs 76-77'!G49</f>
        <v>385348</v>
      </c>
      <c r="H49" s="15">
        <f>'Asotin Pgs 10-11'!H49+'Adams Pgs 8-9'!H49+'Benton-Franklin Pgs 12-13'!H49+'Chelan-Douglas Pgs 14-15'!H49+'Clallam Pgs 16-17'!H49+'Clark Pgs 18-19'!H49+'Columbia Pgs 20-21'!H49+'Cowlitz Pgs 22-23'!H49+'Garfield Pgs 24-25'!H49+'Grant Pgs 26-27'!H49+'Grays Harbor Pgs 28-29'!H49+'Island Pgs 30-31'!H49+'Jefferson Pgs 32-33'!H49+'Kitsap Pgs 34-35'!H49+'Kittitas Pgs 36-37'!H49+'Klickitat Pgs 38-39'!H49+'Lewis Pgs 40-41'!H49+'Lincoln Pgs 42-43'!H49+'Mason Pgs 44-45'!H49+'Northeast Tri Pgs 46-47'!H49+'Okanogan Pgs 48-49'!H49+'Pacific Pgs 50-51'!H49+'San Juan Pgs 52-53'!H49+'Seattle-King Pgs 54-55'!H49+'Skagit Pgs 56-57'!H49+'Skamania Pgs 58-59'!H49+'Snohomish Pgs 60-61'!H49+'Spokane Pgs 62-63'!H49+'Tacoma-Pierce Pgs 64-65'!H49+'Thurston Pgs 66-67'!H49+'Wahkiakum Pgs 68-69'!H49+'Walla Walla Pgs 70-71'!H49+'Whatcom Pgs 72-73'!H49+'Whitman Pgs 74-75'!H49+'Yakima Pgs 76-77'!H49</f>
        <v>67366</v>
      </c>
      <c r="I49" s="7">
        <f>'Asotin Pgs 10-11'!I49+'Adams Pgs 8-9'!I49+'Benton-Franklin Pgs 12-13'!I49+'Chelan-Douglas Pgs 14-15'!I49+'Clallam Pgs 16-17'!I49+'Clark Pgs 18-19'!I49+'Columbia Pgs 20-21'!I49+'Cowlitz Pgs 22-23'!I49+'Garfield Pgs 24-25'!I49+'Grant Pgs 26-27'!I49+'Grays Harbor Pgs 28-29'!I49+'Island Pgs 30-31'!I49+'Jefferson Pgs 32-33'!I49+'Kitsap Pgs 34-35'!I49+'Kittitas Pgs 36-37'!I49+'Klickitat Pgs 38-39'!I49+'Lewis Pgs 40-41'!I49+'Lincoln Pgs 42-43'!I49+'Mason Pgs 44-45'!I49+'Northeast Tri Pgs 46-47'!I49+'Okanogan Pgs 48-49'!I49+'Pacific Pgs 50-51'!I49+'San Juan Pgs 52-53'!I49+'Seattle-King Pgs 54-55'!I49+'Skagit Pgs 56-57'!I49+'Skamania Pgs 58-59'!I49+'Snohomish Pgs 60-61'!I49+'Spokane Pgs 62-63'!I49+'Tacoma-Pierce Pgs 64-65'!I49+'Thurston Pgs 66-67'!I49+'Wahkiakum Pgs 68-69'!I49+'Walla Walla Pgs 70-71'!I49+'Whatcom Pgs 72-73'!I49+'Whitman Pgs 74-75'!I49+'Yakima Pgs 76-77'!I49</f>
        <v>11407</v>
      </c>
      <c r="J49" s="15">
        <f>'Asotin Pgs 10-11'!M49+'Adams Pgs 8-9'!M49+'Benton-Franklin Pgs 12-13'!M49+'Chelan-Douglas Pgs 14-15'!M49+'Clallam Pgs 16-17'!M49+'Clark Pgs 18-19'!M49+'Columbia Pgs 20-21'!M49+'Cowlitz Pgs 22-23'!M49+'Garfield Pgs 24-25'!M49+'Grant Pgs 26-27'!M49+'Grays Harbor Pgs 28-29'!M49+'Island Pgs 30-31'!M49+'Jefferson Pgs 32-33'!M49+'Kitsap Pgs 34-35'!M49+'Kittitas Pgs 36-37'!M49+'Klickitat Pgs 38-39'!M49+'Lewis Pgs 40-41'!M49+'Lincoln Pgs 42-43'!M49+'Mason Pgs 44-45'!M49+'Northeast Tri Pgs 46-47'!M49+'Okanogan Pgs 48-49'!M49+'Pacific Pgs 50-51'!M49+'San Juan Pgs 52-53'!M49+'Seattle-King Pgs 54-55'!M49+'Skagit Pgs 56-57'!M49+'Skamania Pgs 58-59'!M49+'Snohomish Pgs 60-61'!M49+'Spokane Pgs 62-63'!M49+'Tacoma-Pierce Pgs 64-65'!M49+'Thurston Pgs 66-67'!M49+'Wahkiakum Pgs 68-69'!M49+'Walla Walla Pgs 70-71'!M49+'Whatcom Pgs 72-73'!M49+'Whitman Pgs 74-75'!M49+'Yakima Pgs 76-77'!M49</f>
        <v>51769</v>
      </c>
      <c r="K49" s="7">
        <f>'Asotin Pgs 10-11'!Q49+'Adams Pgs 8-9'!Q49+'Benton-Franklin Pgs 12-13'!Q49+'Chelan-Douglas Pgs 14-15'!Q49+'Clallam Pgs 16-17'!Q49+'Clark Pgs 18-19'!Q49+'Columbia Pgs 20-21'!Q49+'Cowlitz Pgs 22-23'!Q49+'Garfield Pgs 24-25'!Q49+'Grant Pgs 26-27'!Q49+'Grays Harbor Pgs 28-29'!Q49+'Island Pgs 30-31'!Q49+'Jefferson Pgs 32-33'!Q49+'Kitsap Pgs 34-35'!Q49+'Kittitas Pgs 36-37'!Q49+'Klickitat Pgs 38-39'!Q49+'Lewis Pgs 40-41'!Q49+'Lincoln Pgs 42-43'!Q49+'Mason Pgs 44-45'!Q49+'Northeast Tri Pgs 46-47'!Q49+'Okanogan Pgs 48-49'!Q49+'Pacific Pgs 50-51'!Q49+'San Juan Pgs 52-53'!Q49+'Seattle-King Pgs 54-55'!Q49+'Skagit Pgs 56-57'!Q49+'Skamania Pgs 58-59'!Q49+'Snohomish Pgs 60-61'!Q49+'Spokane Pgs 62-63'!Q49+'Tacoma-Pierce Pgs 64-65'!Q49+'Thurston Pgs 66-67'!Q49+'Wahkiakum Pgs 68-69'!Q49+'Walla Walla Pgs 70-71'!Q49+'Whatcom Pgs 72-73'!Q49+'Whitman Pgs 74-75'!Q49+'Yakima Pgs 76-77'!Q49</f>
        <v>30440</v>
      </c>
      <c r="L49" s="15">
        <f>'Asotin Pgs 10-11'!R49+'Adams Pgs 8-9'!R49+'Benton-Franklin Pgs 12-13'!R49+'Chelan-Douglas Pgs 14-15'!R49+'Clallam Pgs 16-17'!R49+'Clark Pgs 18-19'!R49+'Columbia Pgs 20-21'!R49+'Cowlitz Pgs 22-23'!R49+'Garfield Pgs 24-25'!R49+'Grant Pgs 26-27'!R49+'Grays Harbor Pgs 28-29'!R49+'Island Pgs 30-31'!R49+'Jefferson Pgs 32-33'!R49+'Kitsap Pgs 34-35'!R49+'Kittitas Pgs 36-37'!R49+'Klickitat Pgs 38-39'!R49+'Lewis Pgs 40-41'!R49+'Lincoln Pgs 42-43'!R49+'Mason Pgs 44-45'!R49+'Northeast Tri Pgs 46-47'!R49+'Okanogan Pgs 48-49'!R49+'Pacific Pgs 50-51'!R49+'San Juan Pgs 52-53'!R49+'Seattle-King Pgs 54-55'!R49+'Skagit Pgs 56-57'!R49+'Skamania Pgs 58-59'!R49+'Snohomish Pgs 60-61'!R49+'Spokane Pgs 62-63'!R49+'Tacoma-Pierce Pgs 64-65'!R49+'Thurston Pgs 66-67'!R49+'Wahkiakum Pgs 68-69'!R49+'Walla Walla Pgs 70-71'!R49+'Whatcom Pgs 72-73'!R49+'Whitman Pgs 74-75'!R49+'Yakima Pgs 76-77'!R49</f>
        <v>1282</v>
      </c>
    </row>
    <row r="50" spans="1:12" x14ac:dyDescent="0.3">
      <c r="A50" s="39">
        <v>555</v>
      </c>
      <c r="B50" s="40" t="s">
        <v>73</v>
      </c>
      <c r="C50" s="165">
        <f>'Asotin Pgs 10-11'!C50+'Adams Pgs 8-9'!C50+'Benton-Franklin Pgs 12-13'!C50+'Chelan-Douglas Pgs 14-15'!C50+'Clallam Pgs 16-17'!C50+'Clark Pgs 18-19'!C50+'Columbia Pgs 20-21'!C50+'Cowlitz Pgs 22-23'!C50+'Garfield Pgs 24-25'!C50+'Grant Pgs 26-27'!C50+'Grays Harbor Pgs 28-29'!C50+'Island Pgs 30-31'!C50+'Jefferson Pgs 32-33'!C50+'Kitsap Pgs 34-35'!C50+'Kittitas Pgs 36-37'!C50+'Klickitat Pgs 38-39'!C50+'Lewis Pgs 40-41'!C50+'Lincoln Pgs 42-43'!C50+'Mason Pgs 44-45'!C50+'Northeast Tri Pgs 46-47'!C50+'Okanogan Pgs 48-49'!C50+'Pacific Pgs 50-51'!C50+'San Juan Pgs 52-53'!C50+'Seattle-King Pgs 54-55'!C50+'Skagit Pgs 56-57'!C50+'Skamania Pgs 58-59'!C50+'Snohomish Pgs 60-61'!C50+'Spokane Pgs 62-63'!C50+'Tacoma-Pierce Pgs 64-65'!C50+'Thurston Pgs 66-67'!C50+'Wahkiakum Pgs 68-69'!C50+'Walla Walla Pgs 70-71'!C50+'Whatcom Pgs 72-73'!C50+'Whitman Pgs 74-75'!C50+'Yakima Pgs 76-77'!C50</f>
        <v>0</v>
      </c>
      <c r="D50" s="17">
        <f>'Asotin Pgs 10-11'!D50+'Adams Pgs 8-9'!D50+'Benton-Franklin Pgs 12-13'!D50+'Chelan-Douglas Pgs 14-15'!D50+'Clallam Pgs 16-17'!D50+'Clark Pgs 18-19'!D50+'Columbia Pgs 20-21'!D50+'Cowlitz Pgs 22-23'!D50+'Garfield Pgs 24-25'!D50+'Grant Pgs 26-27'!D50+'Grays Harbor Pgs 28-29'!D50+'Island Pgs 30-31'!D50+'Jefferson Pgs 32-33'!D50+'Kitsap Pgs 34-35'!D50+'Kittitas Pgs 36-37'!D50+'Klickitat Pgs 38-39'!D50+'Lewis Pgs 40-41'!D50+'Lincoln Pgs 42-43'!D50+'Mason Pgs 44-45'!D50+'Northeast Tri Pgs 46-47'!D50+'Okanogan Pgs 48-49'!D50+'Pacific Pgs 50-51'!D50+'San Juan Pgs 52-53'!D50+'Seattle-King Pgs 54-55'!D50+'Skagit Pgs 56-57'!D50+'Skamania Pgs 58-59'!D50+'Snohomish Pgs 60-61'!D50+'Spokane Pgs 62-63'!D50+'Tacoma-Pierce Pgs 64-65'!D50+'Thurston Pgs 66-67'!D50+'Wahkiakum Pgs 68-69'!D50+'Walla Walla Pgs 70-71'!D50+'Whatcom Pgs 72-73'!D50+'Whitman Pgs 74-75'!D50+'Yakima Pgs 76-77'!D50</f>
        <v>0</v>
      </c>
      <c r="E50" s="165">
        <f>'Asotin Pgs 10-11'!E50+'Adams Pgs 8-9'!E50+'Benton-Franklin Pgs 12-13'!E50+'Chelan-Douglas Pgs 14-15'!E50+'Clallam Pgs 16-17'!E50+'Clark Pgs 18-19'!E50+'Columbia Pgs 20-21'!E50+'Cowlitz Pgs 22-23'!E50+'Garfield Pgs 24-25'!E50+'Grant Pgs 26-27'!E50+'Grays Harbor Pgs 28-29'!E50+'Island Pgs 30-31'!E50+'Jefferson Pgs 32-33'!E50+'Kitsap Pgs 34-35'!E50+'Kittitas Pgs 36-37'!E50+'Klickitat Pgs 38-39'!E50+'Lewis Pgs 40-41'!E50+'Lincoln Pgs 42-43'!E50+'Mason Pgs 44-45'!E50+'Northeast Tri Pgs 46-47'!E50+'Okanogan Pgs 48-49'!E50+'Pacific Pgs 50-51'!E50+'San Juan Pgs 52-53'!E50+'Seattle-King Pgs 54-55'!E50+'Skagit Pgs 56-57'!E50+'Skamania Pgs 58-59'!E50+'Snohomish Pgs 60-61'!E50+'Spokane Pgs 62-63'!E50+'Tacoma-Pierce Pgs 64-65'!E50+'Thurston Pgs 66-67'!E50+'Wahkiakum Pgs 68-69'!E50+'Walla Walla Pgs 70-71'!E50+'Whatcom Pgs 72-73'!E50+'Whitman Pgs 74-75'!E50+'Yakima Pgs 76-77'!E50</f>
        <v>0</v>
      </c>
      <c r="F50" s="8">
        <f>'Asotin Pgs 10-11'!F50+'Adams Pgs 8-9'!F50+'Benton-Franklin Pgs 12-13'!F50+'Chelan-Douglas Pgs 14-15'!F50+'Clallam Pgs 16-17'!F50+'Clark Pgs 18-19'!F50+'Columbia Pgs 20-21'!F50+'Cowlitz Pgs 22-23'!F50+'Garfield Pgs 24-25'!F50+'Grant Pgs 26-27'!F50+'Grays Harbor Pgs 28-29'!F50+'Island Pgs 30-31'!F50+'Jefferson Pgs 32-33'!F50+'Kitsap Pgs 34-35'!F50+'Kittitas Pgs 36-37'!F50+'Klickitat Pgs 38-39'!F50+'Lewis Pgs 40-41'!F50+'Lincoln Pgs 42-43'!F50+'Mason Pgs 44-45'!F50+'Northeast Tri Pgs 46-47'!F50+'Okanogan Pgs 48-49'!F50+'Pacific Pgs 50-51'!F50+'San Juan Pgs 52-53'!F50+'Seattle-King Pgs 54-55'!F50+'Skagit Pgs 56-57'!F50+'Skamania Pgs 58-59'!F50+'Snohomish Pgs 60-61'!F50+'Spokane Pgs 62-63'!F50+'Tacoma-Pierce Pgs 64-65'!F50+'Thurston Pgs 66-67'!F50+'Wahkiakum Pgs 68-69'!F50+'Walla Walla Pgs 70-71'!F50+'Whatcom Pgs 72-73'!F50+'Whitman Pgs 74-75'!F50+'Yakima Pgs 76-77'!F50</f>
        <v>0</v>
      </c>
      <c r="G50" s="7">
        <f>'Asotin Pgs 10-11'!G50+'Adams Pgs 8-9'!G50+'Benton-Franklin Pgs 12-13'!G50+'Chelan-Douglas Pgs 14-15'!G50+'Clallam Pgs 16-17'!G50+'Clark Pgs 18-19'!G50+'Columbia Pgs 20-21'!G50+'Cowlitz Pgs 22-23'!G50+'Garfield Pgs 24-25'!G50+'Grant Pgs 26-27'!G50+'Grays Harbor Pgs 28-29'!G50+'Island Pgs 30-31'!G50+'Jefferson Pgs 32-33'!G50+'Kitsap Pgs 34-35'!G50+'Kittitas Pgs 36-37'!G50+'Klickitat Pgs 38-39'!G50+'Lewis Pgs 40-41'!G50+'Lincoln Pgs 42-43'!G50+'Mason Pgs 44-45'!G50+'Northeast Tri Pgs 46-47'!G50+'Okanogan Pgs 48-49'!G50+'Pacific Pgs 50-51'!G50+'San Juan Pgs 52-53'!G50+'Seattle-King Pgs 54-55'!G50+'Skagit Pgs 56-57'!G50+'Skamania Pgs 58-59'!G50+'Snohomish Pgs 60-61'!G50+'Spokane Pgs 62-63'!G50+'Tacoma-Pierce Pgs 64-65'!G50+'Thurston Pgs 66-67'!G50+'Wahkiakum Pgs 68-69'!G50+'Walla Walla Pgs 70-71'!G50+'Whatcom Pgs 72-73'!G50+'Whitman Pgs 74-75'!G50+'Yakima Pgs 76-77'!G50</f>
        <v>0</v>
      </c>
      <c r="H50" s="15">
        <f>'Asotin Pgs 10-11'!H50+'Adams Pgs 8-9'!H50+'Benton-Franklin Pgs 12-13'!H50+'Chelan-Douglas Pgs 14-15'!H50+'Clallam Pgs 16-17'!H50+'Clark Pgs 18-19'!H50+'Columbia Pgs 20-21'!H50+'Cowlitz Pgs 22-23'!H50+'Garfield Pgs 24-25'!H50+'Grant Pgs 26-27'!H50+'Grays Harbor Pgs 28-29'!H50+'Island Pgs 30-31'!H50+'Jefferson Pgs 32-33'!H50+'Kitsap Pgs 34-35'!H50+'Kittitas Pgs 36-37'!H50+'Klickitat Pgs 38-39'!H50+'Lewis Pgs 40-41'!H50+'Lincoln Pgs 42-43'!H50+'Mason Pgs 44-45'!H50+'Northeast Tri Pgs 46-47'!H50+'Okanogan Pgs 48-49'!H50+'Pacific Pgs 50-51'!H50+'San Juan Pgs 52-53'!H50+'Seattle-King Pgs 54-55'!H50+'Skagit Pgs 56-57'!H50+'Skamania Pgs 58-59'!H50+'Snohomish Pgs 60-61'!H50+'Spokane Pgs 62-63'!H50+'Tacoma-Pierce Pgs 64-65'!H50+'Thurston Pgs 66-67'!H50+'Wahkiakum Pgs 68-69'!H50+'Walla Walla Pgs 70-71'!H50+'Whatcom Pgs 72-73'!H50+'Whitman Pgs 74-75'!H50+'Yakima Pgs 76-77'!H50</f>
        <v>0</v>
      </c>
      <c r="I50" s="7">
        <f>'Asotin Pgs 10-11'!I50+'Adams Pgs 8-9'!I50+'Benton-Franklin Pgs 12-13'!I50+'Chelan-Douglas Pgs 14-15'!I50+'Clallam Pgs 16-17'!I50+'Clark Pgs 18-19'!I50+'Columbia Pgs 20-21'!I50+'Cowlitz Pgs 22-23'!I50+'Garfield Pgs 24-25'!I50+'Grant Pgs 26-27'!I50+'Grays Harbor Pgs 28-29'!I50+'Island Pgs 30-31'!I50+'Jefferson Pgs 32-33'!I50+'Kitsap Pgs 34-35'!I50+'Kittitas Pgs 36-37'!I50+'Klickitat Pgs 38-39'!I50+'Lewis Pgs 40-41'!I50+'Lincoln Pgs 42-43'!I50+'Mason Pgs 44-45'!I50+'Northeast Tri Pgs 46-47'!I50+'Okanogan Pgs 48-49'!I50+'Pacific Pgs 50-51'!I50+'San Juan Pgs 52-53'!I50+'Seattle-King Pgs 54-55'!I50+'Skagit Pgs 56-57'!I50+'Skamania Pgs 58-59'!I50+'Snohomish Pgs 60-61'!I50+'Spokane Pgs 62-63'!I50+'Tacoma-Pierce Pgs 64-65'!I50+'Thurston Pgs 66-67'!I50+'Wahkiakum Pgs 68-69'!I50+'Walla Walla Pgs 70-71'!I50+'Whatcom Pgs 72-73'!I50+'Whitman Pgs 74-75'!I50+'Yakima Pgs 76-77'!I50</f>
        <v>0</v>
      </c>
      <c r="J50" s="15">
        <f>'Asotin Pgs 10-11'!M50+'Adams Pgs 8-9'!M50+'Benton-Franklin Pgs 12-13'!M50+'Chelan-Douglas Pgs 14-15'!M50+'Clallam Pgs 16-17'!M50+'Clark Pgs 18-19'!M50+'Columbia Pgs 20-21'!M50+'Cowlitz Pgs 22-23'!M50+'Garfield Pgs 24-25'!M50+'Grant Pgs 26-27'!M50+'Grays Harbor Pgs 28-29'!M50+'Island Pgs 30-31'!M50+'Jefferson Pgs 32-33'!M50+'Kitsap Pgs 34-35'!M50+'Kittitas Pgs 36-37'!M50+'Klickitat Pgs 38-39'!M50+'Lewis Pgs 40-41'!M50+'Lincoln Pgs 42-43'!M50+'Mason Pgs 44-45'!M50+'Northeast Tri Pgs 46-47'!M50+'Okanogan Pgs 48-49'!M50+'Pacific Pgs 50-51'!M50+'San Juan Pgs 52-53'!M50+'Seattle-King Pgs 54-55'!M50+'Skagit Pgs 56-57'!M50+'Skamania Pgs 58-59'!M50+'Snohomish Pgs 60-61'!M50+'Spokane Pgs 62-63'!M50+'Tacoma-Pierce Pgs 64-65'!M50+'Thurston Pgs 66-67'!M50+'Wahkiakum Pgs 68-69'!M50+'Walla Walla Pgs 70-71'!M50+'Whatcom Pgs 72-73'!M50+'Whitman Pgs 74-75'!M50+'Yakima Pgs 76-77'!M50</f>
        <v>0</v>
      </c>
      <c r="K50" s="7">
        <f>'Asotin Pgs 10-11'!Q50+'Adams Pgs 8-9'!Q50+'Benton-Franklin Pgs 12-13'!Q50+'Chelan-Douglas Pgs 14-15'!Q50+'Clallam Pgs 16-17'!Q50+'Clark Pgs 18-19'!Q50+'Columbia Pgs 20-21'!Q50+'Cowlitz Pgs 22-23'!Q50+'Garfield Pgs 24-25'!Q50+'Grant Pgs 26-27'!Q50+'Grays Harbor Pgs 28-29'!Q50+'Island Pgs 30-31'!Q50+'Jefferson Pgs 32-33'!Q50+'Kitsap Pgs 34-35'!Q50+'Kittitas Pgs 36-37'!Q50+'Klickitat Pgs 38-39'!Q50+'Lewis Pgs 40-41'!Q50+'Lincoln Pgs 42-43'!Q50+'Mason Pgs 44-45'!Q50+'Northeast Tri Pgs 46-47'!Q50+'Okanogan Pgs 48-49'!Q50+'Pacific Pgs 50-51'!Q50+'San Juan Pgs 52-53'!Q50+'Seattle-King Pgs 54-55'!Q50+'Skagit Pgs 56-57'!Q50+'Skamania Pgs 58-59'!Q50+'Snohomish Pgs 60-61'!Q50+'Spokane Pgs 62-63'!Q50+'Tacoma-Pierce Pgs 64-65'!Q50+'Thurston Pgs 66-67'!Q50+'Wahkiakum Pgs 68-69'!Q50+'Walla Walla Pgs 70-71'!Q50+'Whatcom Pgs 72-73'!Q50+'Whitman Pgs 74-75'!Q50+'Yakima Pgs 76-77'!Q50</f>
        <v>0</v>
      </c>
      <c r="L50" s="15">
        <f>'Asotin Pgs 10-11'!R50+'Adams Pgs 8-9'!R50+'Benton-Franklin Pgs 12-13'!R50+'Chelan-Douglas Pgs 14-15'!R50+'Clallam Pgs 16-17'!R50+'Clark Pgs 18-19'!R50+'Columbia Pgs 20-21'!R50+'Cowlitz Pgs 22-23'!R50+'Garfield Pgs 24-25'!R50+'Grant Pgs 26-27'!R50+'Grays Harbor Pgs 28-29'!R50+'Island Pgs 30-31'!R50+'Jefferson Pgs 32-33'!R50+'Kitsap Pgs 34-35'!R50+'Kittitas Pgs 36-37'!R50+'Klickitat Pgs 38-39'!R50+'Lewis Pgs 40-41'!R50+'Lincoln Pgs 42-43'!R50+'Mason Pgs 44-45'!R50+'Northeast Tri Pgs 46-47'!R50+'Okanogan Pgs 48-49'!R50+'Pacific Pgs 50-51'!R50+'San Juan Pgs 52-53'!R50+'Seattle-King Pgs 54-55'!R50+'Skagit Pgs 56-57'!R50+'Skamania Pgs 58-59'!R50+'Snohomish Pgs 60-61'!R50+'Spokane Pgs 62-63'!R50+'Tacoma-Pierce Pgs 64-65'!R50+'Thurston Pgs 66-67'!R50+'Wahkiakum Pgs 68-69'!R50+'Walla Walla Pgs 70-71'!R50+'Whatcom Pgs 72-73'!R50+'Whitman Pgs 74-75'!R50+'Yakima Pgs 76-77'!R50</f>
        <v>0</v>
      </c>
    </row>
    <row r="51" spans="1:12" x14ac:dyDescent="0.3">
      <c r="A51" s="39">
        <v>563</v>
      </c>
      <c r="B51" s="40" t="s">
        <v>74</v>
      </c>
      <c r="C51" s="165">
        <f>'Asotin Pgs 10-11'!C51+'Adams Pgs 8-9'!C51+'Benton-Franklin Pgs 12-13'!C51+'Chelan-Douglas Pgs 14-15'!C51+'Clallam Pgs 16-17'!C51+'Clark Pgs 18-19'!C51+'Columbia Pgs 20-21'!C51+'Cowlitz Pgs 22-23'!C51+'Garfield Pgs 24-25'!C51+'Grant Pgs 26-27'!C51+'Grays Harbor Pgs 28-29'!C51+'Island Pgs 30-31'!C51+'Jefferson Pgs 32-33'!C51+'Kitsap Pgs 34-35'!C51+'Kittitas Pgs 36-37'!C51+'Klickitat Pgs 38-39'!C51+'Lewis Pgs 40-41'!C51+'Lincoln Pgs 42-43'!C51+'Mason Pgs 44-45'!C51+'Northeast Tri Pgs 46-47'!C51+'Okanogan Pgs 48-49'!C51+'Pacific Pgs 50-51'!C51+'San Juan Pgs 52-53'!C51+'Seattle-King Pgs 54-55'!C51+'Skagit Pgs 56-57'!C51+'Skamania Pgs 58-59'!C51+'Snohomish Pgs 60-61'!C51+'Spokane Pgs 62-63'!C51+'Tacoma-Pierce Pgs 64-65'!C51+'Thurston Pgs 66-67'!C51+'Wahkiakum Pgs 68-69'!C51+'Walla Walla Pgs 70-71'!C51+'Whatcom Pgs 72-73'!C51+'Whitman Pgs 74-75'!C51+'Yakima Pgs 76-77'!C51</f>
        <v>5952683</v>
      </c>
      <c r="D51" s="17">
        <f>'Asotin Pgs 10-11'!D51+'Adams Pgs 8-9'!D51+'Benton-Franklin Pgs 12-13'!D51+'Chelan-Douglas Pgs 14-15'!D51+'Clallam Pgs 16-17'!D51+'Clark Pgs 18-19'!D51+'Columbia Pgs 20-21'!D51+'Cowlitz Pgs 22-23'!D51+'Garfield Pgs 24-25'!D51+'Grant Pgs 26-27'!D51+'Grays Harbor Pgs 28-29'!D51+'Island Pgs 30-31'!D51+'Jefferson Pgs 32-33'!D51+'Kitsap Pgs 34-35'!D51+'Kittitas Pgs 36-37'!D51+'Klickitat Pgs 38-39'!D51+'Lewis Pgs 40-41'!D51+'Lincoln Pgs 42-43'!D51+'Mason Pgs 44-45'!D51+'Northeast Tri Pgs 46-47'!D51+'Okanogan Pgs 48-49'!D51+'Pacific Pgs 50-51'!D51+'San Juan Pgs 52-53'!D51+'Seattle-King Pgs 54-55'!D51+'Skagit Pgs 56-57'!D51+'Skamania Pgs 58-59'!D51+'Snohomish Pgs 60-61'!D51+'Spokane Pgs 62-63'!D51+'Tacoma-Pierce Pgs 64-65'!D51+'Thurston Pgs 66-67'!D51+'Wahkiakum Pgs 68-69'!D51+'Walla Walla Pgs 70-71'!D51+'Whatcom Pgs 72-73'!D51+'Whitman Pgs 74-75'!D51+'Yakima Pgs 76-77'!D51</f>
        <v>6268867</v>
      </c>
      <c r="E51" s="165">
        <f>'Asotin Pgs 10-11'!E51+'Adams Pgs 8-9'!E51+'Benton-Franklin Pgs 12-13'!E51+'Chelan-Douglas Pgs 14-15'!E51+'Clallam Pgs 16-17'!E51+'Clark Pgs 18-19'!E51+'Columbia Pgs 20-21'!E51+'Cowlitz Pgs 22-23'!E51+'Garfield Pgs 24-25'!E51+'Grant Pgs 26-27'!E51+'Grays Harbor Pgs 28-29'!E51+'Island Pgs 30-31'!E51+'Jefferson Pgs 32-33'!E51+'Kitsap Pgs 34-35'!E51+'Kittitas Pgs 36-37'!E51+'Klickitat Pgs 38-39'!E51+'Lewis Pgs 40-41'!E51+'Lincoln Pgs 42-43'!E51+'Mason Pgs 44-45'!E51+'Northeast Tri Pgs 46-47'!E51+'Okanogan Pgs 48-49'!E51+'Pacific Pgs 50-51'!E51+'San Juan Pgs 52-53'!E51+'Seattle-King Pgs 54-55'!E51+'Skagit Pgs 56-57'!E51+'Skamania Pgs 58-59'!E51+'Snohomish Pgs 60-61'!E51+'Spokane Pgs 62-63'!E51+'Tacoma-Pierce Pgs 64-65'!E51+'Thurston Pgs 66-67'!E51+'Wahkiakum Pgs 68-69'!E51+'Walla Walla Pgs 70-71'!E51+'Whatcom Pgs 72-73'!E51+'Whitman Pgs 74-75'!E51+'Yakima Pgs 76-77'!E51</f>
        <v>0</v>
      </c>
      <c r="F51" s="8">
        <f>'Asotin Pgs 10-11'!F51+'Adams Pgs 8-9'!F51+'Benton-Franklin Pgs 12-13'!F51+'Chelan-Douglas Pgs 14-15'!F51+'Clallam Pgs 16-17'!F51+'Clark Pgs 18-19'!F51+'Columbia Pgs 20-21'!F51+'Cowlitz Pgs 22-23'!F51+'Garfield Pgs 24-25'!F51+'Grant Pgs 26-27'!F51+'Grays Harbor Pgs 28-29'!F51+'Island Pgs 30-31'!F51+'Jefferson Pgs 32-33'!F51+'Kitsap Pgs 34-35'!F51+'Kittitas Pgs 36-37'!F51+'Klickitat Pgs 38-39'!F51+'Lewis Pgs 40-41'!F51+'Lincoln Pgs 42-43'!F51+'Mason Pgs 44-45'!F51+'Northeast Tri Pgs 46-47'!F51+'Okanogan Pgs 48-49'!F51+'Pacific Pgs 50-51'!F51+'San Juan Pgs 52-53'!F51+'Seattle-King Pgs 54-55'!F51+'Skagit Pgs 56-57'!F51+'Skamania Pgs 58-59'!F51+'Snohomish Pgs 60-61'!F51+'Spokane Pgs 62-63'!F51+'Tacoma-Pierce Pgs 64-65'!F51+'Thurston Pgs 66-67'!F51+'Wahkiakum Pgs 68-69'!F51+'Walla Walla Pgs 70-71'!F51+'Whatcom Pgs 72-73'!F51+'Whitman Pgs 74-75'!F51+'Yakima Pgs 76-77'!F51</f>
        <v>0</v>
      </c>
      <c r="G51" s="7">
        <f>'Asotin Pgs 10-11'!G51+'Adams Pgs 8-9'!G51+'Benton-Franklin Pgs 12-13'!G51+'Chelan-Douglas Pgs 14-15'!G51+'Clallam Pgs 16-17'!G51+'Clark Pgs 18-19'!G51+'Columbia Pgs 20-21'!G51+'Cowlitz Pgs 22-23'!G51+'Garfield Pgs 24-25'!G51+'Grant Pgs 26-27'!G51+'Grays Harbor Pgs 28-29'!G51+'Island Pgs 30-31'!G51+'Jefferson Pgs 32-33'!G51+'Kitsap Pgs 34-35'!G51+'Kittitas Pgs 36-37'!G51+'Klickitat Pgs 38-39'!G51+'Lewis Pgs 40-41'!G51+'Lincoln Pgs 42-43'!G51+'Mason Pgs 44-45'!G51+'Northeast Tri Pgs 46-47'!G51+'Okanogan Pgs 48-49'!G51+'Pacific Pgs 50-51'!G51+'San Juan Pgs 52-53'!G51+'Seattle-King Pgs 54-55'!G51+'Skagit Pgs 56-57'!G51+'Skamania Pgs 58-59'!G51+'Snohomish Pgs 60-61'!G51+'Spokane Pgs 62-63'!G51+'Tacoma-Pierce Pgs 64-65'!G51+'Thurston Pgs 66-67'!G51+'Wahkiakum Pgs 68-69'!G51+'Walla Walla Pgs 70-71'!G51+'Whatcom Pgs 72-73'!G51+'Whitman Pgs 74-75'!G51+'Yakima Pgs 76-77'!G51</f>
        <v>313376</v>
      </c>
      <c r="H51" s="15">
        <f>'Asotin Pgs 10-11'!H51+'Adams Pgs 8-9'!H51+'Benton-Franklin Pgs 12-13'!H51+'Chelan-Douglas Pgs 14-15'!H51+'Clallam Pgs 16-17'!H51+'Clark Pgs 18-19'!H51+'Columbia Pgs 20-21'!H51+'Cowlitz Pgs 22-23'!H51+'Garfield Pgs 24-25'!H51+'Grant Pgs 26-27'!H51+'Grays Harbor Pgs 28-29'!H51+'Island Pgs 30-31'!H51+'Jefferson Pgs 32-33'!H51+'Kitsap Pgs 34-35'!H51+'Kittitas Pgs 36-37'!H51+'Klickitat Pgs 38-39'!H51+'Lewis Pgs 40-41'!H51+'Lincoln Pgs 42-43'!H51+'Mason Pgs 44-45'!H51+'Northeast Tri Pgs 46-47'!H51+'Okanogan Pgs 48-49'!H51+'Pacific Pgs 50-51'!H51+'San Juan Pgs 52-53'!H51+'Seattle-King Pgs 54-55'!H51+'Skagit Pgs 56-57'!H51+'Skamania Pgs 58-59'!H51+'Snohomish Pgs 60-61'!H51+'Spokane Pgs 62-63'!H51+'Tacoma-Pierce Pgs 64-65'!H51+'Thurston Pgs 66-67'!H51+'Wahkiakum Pgs 68-69'!H51+'Walla Walla Pgs 70-71'!H51+'Whatcom Pgs 72-73'!H51+'Whitman Pgs 74-75'!H51+'Yakima Pgs 76-77'!H51</f>
        <v>0</v>
      </c>
      <c r="I51" s="7">
        <f>'Asotin Pgs 10-11'!I51+'Adams Pgs 8-9'!I51+'Benton-Franklin Pgs 12-13'!I51+'Chelan-Douglas Pgs 14-15'!I51+'Clallam Pgs 16-17'!I51+'Clark Pgs 18-19'!I51+'Columbia Pgs 20-21'!I51+'Cowlitz Pgs 22-23'!I51+'Garfield Pgs 24-25'!I51+'Grant Pgs 26-27'!I51+'Grays Harbor Pgs 28-29'!I51+'Island Pgs 30-31'!I51+'Jefferson Pgs 32-33'!I51+'Kitsap Pgs 34-35'!I51+'Kittitas Pgs 36-37'!I51+'Klickitat Pgs 38-39'!I51+'Lewis Pgs 40-41'!I51+'Lincoln Pgs 42-43'!I51+'Mason Pgs 44-45'!I51+'Northeast Tri Pgs 46-47'!I51+'Okanogan Pgs 48-49'!I51+'Pacific Pgs 50-51'!I51+'San Juan Pgs 52-53'!I51+'Seattle-King Pgs 54-55'!I51+'Skagit Pgs 56-57'!I51+'Skamania Pgs 58-59'!I51+'Snohomish Pgs 60-61'!I51+'Spokane Pgs 62-63'!I51+'Tacoma-Pierce Pgs 64-65'!I51+'Thurston Pgs 66-67'!I51+'Wahkiakum Pgs 68-69'!I51+'Walla Walla Pgs 70-71'!I51+'Whatcom Pgs 72-73'!I51+'Whitman Pgs 74-75'!I51+'Yakima Pgs 76-77'!I51</f>
        <v>0</v>
      </c>
      <c r="J51" s="15">
        <f>'Asotin Pgs 10-11'!M51+'Adams Pgs 8-9'!M51+'Benton-Franklin Pgs 12-13'!M51+'Chelan-Douglas Pgs 14-15'!M51+'Clallam Pgs 16-17'!M51+'Clark Pgs 18-19'!M51+'Columbia Pgs 20-21'!M51+'Cowlitz Pgs 22-23'!M51+'Garfield Pgs 24-25'!M51+'Grant Pgs 26-27'!M51+'Grays Harbor Pgs 28-29'!M51+'Island Pgs 30-31'!M51+'Jefferson Pgs 32-33'!M51+'Kitsap Pgs 34-35'!M51+'Kittitas Pgs 36-37'!M51+'Klickitat Pgs 38-39'!M51+'Lewis Pgs 40-41'!M51+'Lincoln Pgs 42-43'!M51+'Mason Pgs 44-45'!M51+'Northeast Tri Pgs 46-47'!M51+'Okanogan Pgs 48-49'!M51+'Pacific Pgs 50-51'!M51+'San Juan Pgs 52-53'!M51+'Seattle-King Pgs 54-55'!M51+'Skagit Pgs 56-57'!M51+'Skamania Pgs 58-59'!M51+'Snohomish Pgs 60-61'!M51+'Spokane Pgs 62-63'!M51+'Tacoma-Pierce Pgs 64-65'!M51+'Thurston Pgs 66-67'!M51+'Wahkiakum Pgs 68-69'!M51+'Walla Walla Pgs 70-71'!M51+'Whatcom Pgs 72-73'!M51+'Whitman Pgs 74-75'!M51+'Yakima Pgs 76-77'!M51</f>
        <v>3665877</v>
      </c>
      <c r="K51" s="7">
        <f>'Asotin Pgs 10-11'!Q51+'Adams Pgs 8-9'!Q51+'Benton-Franklin Pgs 12-13'!Q51+'Chelan-Douglas Pgs 14-15'!Q51+'Clallam Pgs 16-17'!Q51+'Clark Pgs 18-19'!Q51+'Columbia Pgs 20-21'!Q51+'Cowlitz Pgs 22-23'!Q51+'Garfield Pgs 24-25'!Q51+'Grant Pgs 26-27'!Q51+'Grays Harbor Pgs 28-29'!Q51+'Island Pgs 30-31'!Q51+'Jefferson Pgs 32-33'!Q51+'Kitsap Pgs 34-35'!Q51+'Kittitas Pgs 36-37'!Q51+'Klickitat Pgs 38-39'!Q51+'Lewis Pgs 40-41'!Q51+'Lincoln Pgs 42-43'!Q51+'Mason Pgs 44-45'!Q51+'Northeast Tri Pgs 46-47'!Q51+'Okanogan Pgs 48-49'!Q51+'Pacific Pgs 50-51'!Q51+'San Juan Pgs 52-53'!Q51+'Seattle-King Pgs 54-55'!Q51+'Skagit Pgs 56-57'!Q51+'Skamania Pgs 58-59'!Q51+'Snohomish Pgs 60-61'!Q51+'Spokane Pgs 62-63'!Q51+'Tacoma-Pierce Pgs 64-65'!Q51+'Thurston Pgs 66-67'!Q51+'Wahkiakum Pgs 68-69'!Q51+'Walla Walla Pgs 70-71'!Q51+'Whatcom Pgs 72-73'!Q51+'Whitman Pgs 74-75'!Q51+'Yakima Pgs 76-77'!Q51</f>
        <v>1021769</v>
      </c>
      <c r="L51" s="15">
        <f>'Asotin Pgs 10-11'!R51+'Adams Pgs 8-9'!R51+'Benton-Franklin Pgs 12-13'!R51+'Chelan-Douglas Pgs 14-15'!R51+'Clallam Pgs 16-17'!R51+'Clark Pgs 18-19'!R51+'Columbia Pgs 20-21'!R51+'Cowlitz Pgs 22-23'!R51+'Garfield Pgs 24-25'!R51+'Grant Pgs 26-27'!R51+'Grays Harbor Pgs 28-29'!R51+'Island Pgs 30-31'!R51+'Jefferson Pgs 32-33'!R51+'Kitsap Pgs 34-35'!R51+'Kittitas Pgs 36-37'!R51+'Klickitat Pgs 38-39'!R51+'Lewis Pgs 40-41'!R51+'Lincoln Pgs 42-43'!R51+'Mason Pgs 44-45'!R51+'Northeast Tri Pgs 46-47'!R51+'Okanogan Pgs 48-49'!R51+'Pacific Pgs 50-51'!R51+'San Juan Pgs 52-53'!R51+'Seattle-King Pgs 54-55'!R51+'Skagit Pgs 56-57'!R51+'Skamania Pgs 58-59'!R51+'Snohomish Pgs 60-61'!R51+'Spokane Pgs 62-63'!R51+'Tacoma-Pierce Pgs 64-65'!R51+'Thurston Pgs 66-67'!R51+'Wahkiakum Pgs 68-69'!R51+'Walla Walla Pgs 70-71'!R51+'Whatcom Pgs 72-73'!R51+'Whitman Pgs 74-75'!R51+'Yakima Pgs 76-77'!R51</f>
        <v>1267845</v>
      </c>
    </row>
    <row r="52" spans="1:12" x14ac:dyDescent="0.3">
      <c r="A52" s="39">
        <v>564</v>
      </c>
      <c r="B52" s="40" t="s">
        <v>75</v>
      </c>
      <c r="C52" s="165">
        <f>'Asotin Pgs 10-11'!C52+'Adams Pgs 8-9'!C52+'Benton-Franklin Pgs 12-13'!C52+'Chelan-Douglas Pgs 14-15'!C52+'Clallam Pgs 16-17'!C52+'Clark Pgs 18-19'!C52+'Columbia Pgs 20-21'!C52+'Cowlitz Pgs 22-23'!C52+'Garfield Pgs 24-25'!C52+'Grant Pgs 26-27'!C52+'Grays Harbor Pgs 28-29'!C52+'Island Pgs 30-31'!C52+'Jefferson Pgs 32-33'!C52+'Kitsap Pgs 34-35'!C52+'Kittitas Pgs 36-37'!C52+'Klickitat Pgs 38-39'!C52+'Lewis Pgs 40-41'!C52+'Lincoln Pgs 42-43'!C52+'Mason Pgs 44-45'!C52+'Northeast Tri Pgs 46-47'!C52+'Okanogan Pgs 48-49'!C52+'Pacific Pgs 50-51'!C52+'San Juan Pgs 52-53'!C52+'Seattle-King Pgs 54-55'!C52+'Skagit Pgs 56-57'!C52+'Skamania Pgs 58-59'!C52+'Snohomish Pgs 60-61'!C52+'Spokane Pgs 62-63'!C52+'Tacoma-Pierce Pgs 64-65'!C52+'Thurston Pgs 66-67'!C52+'Wahkiakum Pgs 68-69'!C52+'Walla Walla Pgs 70-71'!C52+'Whatcom Pgs 72-73'!C52+'Whitman Pgs 74-75'!C52+'Yakima Pgs 76-77'!C52</f>
        <v>4198012</v>
      </c>
      <c r="D52" s="17">
        <f>'Asotin Pgs 10-11'!D52+'Adams Pgs 8-9'!D52+'Benton-Franklin Pgs 12-13'!D52+'Chelan-Douglas Pgs 14-15'!D52+'Clallam Pgs 16-17'!D52+'Clark Pgs 18-19'!D52+'Columbia Pgs 20-21'!D52+'Cowlitz Pgs 22-23'!D52+'Garfield Pgs 24-25'!D52+'Grant Pgs 26-27'!D52+'Grays Harbor Pgs 28-29'!D52+'Island Pgs 30-31'!D52+'Jefferson Pgs 32-33'!D52+'Kitsap Pgs 34-35'!D52+'Kittitas Pgs 36-37'!D52+'Klickitat Pgs 38-39'!D52+'Lewis Pgs 40-41'!D52+'Lincoln Pgs 42-43'!D52+'Mason Pgs 44-45'!D52+'Northeast Tri Pgs 46-47'!D52+'Okanogan Pgs 48-49'!D52+'Pacific Pgs 50-51'!D52+'San Juan Pgs 52-53'!D52+'Seattle-King Pgs 54-55'!D52+'Skagit Pgs 56-57'!D52+'Skamania Pgs 58-59'!D52+'Snohomish Pgs 60-61'!D52+'Spokane Pgs 62-63'!D52+'Tacoma-Pierce Pgs 64-65'!D52+'Thurston Pgs 66-67'!D52+'Wahkiakum Pgs 68-69'!D52+'Walla Walla Pgs 70-71'!D52+'Whatcom Pgs 72-73'!D52+'Whitman Pgs 74-75'!D52+'Yakima Pgs 76-77'!D52</f>
        <v>5211602</v>
      </c>
      <c r="E52" s="165">
        <f>'Asotin Pgs 10-11'!E52+'Adams Pgs 8-9'!E52+'Benton-Franklin Pgs 12-13'!E52+'Chelan-Douglas Pgs 14-15'!E52+'Clallam Pgs 16-17'!E52+'Clark Pgs 18-19'!E52+'Columbia Pgs 20-21'!E52+'Cowlitz Pgs 22-23'!E52+'Garfield Pgs 24-25'!E52+'Grant Pgs 26-27'!E52+'Grays Harbor Pgs 28-29'!E52+'Island Pgs 30-31'!E52+'Jefferson Pgs 32-33'!E52+'Kitsap Pgs 34-35'!E52+'Kittitas Pgs 36-37'!E52+'Klickitat Pgs 38-39'!E52+'Lewis Pgs 40-41'!E52+'Lincoln Pgs 42-43'!E52+'Mason Pgs 44-45'!E52+'Northeast Tri Pgs 46-47'!E52+'Okanogan Pgs 48-49'!E52+'Pacific Pgs 50-51'!E52+'San Juan Pgs 52-53'!E52+'Seattle-King Pgs 54-55'!E52+'Skagit Pgs 56-57'!E52+'Skamania Pgs 58-59'!E52+'Snohomish Pgs 60-61'!E52+'Spokane Pgs 62-63'!E52+'Tacoma-Pierce Pgs 64-65'!E52+'Thurston Pgs 66-67'!E52+'Wahkiakum Pgs 68-69'!E52+'Walla Walla Pgs 70-71'!E52+'Whatcom Pgs 72-73'!E52+'Whitman Pgs 74-75'!E52+'Yakima Pgs 76-77'!E52</f>
        <v>0</v>
      </c>
      <c r="F52" s="8">
        <f>'Asotin Pgs 10-11'!F52+'Adams Pgs 8-9'!F52+'Benton-Franklin Pgs 12-13'!F52+'Chelan-Douglas Pgs 14-15'!F52+'Clallam Pgs 16-17'!F52+'Clark Pgs 18-19'!F52+'Columbia Pgs 20-21'!F52+'Cowlitz Pgs 22-23'!F52+'Garfield Pgs 24-25'!F52+'Grant Pgs 26-27'!F52+'Grays Harbor Pgs 28-29'!F52+'Island Pgs 30-31'!F52+'Jefferson Pgs 32-33'!F52+'Kitsap Pgs 34-35'!F52+'Kittitas Pgs 36-37'!F52+'Klickitat Pgs 38-39'!F52+'Lewis Pgs 40-41'!F52+'Lincoln Pgs 42-43'!F52+'Mason Pgs 44-45'!F52+'Northeast Tri Pgs 46-47'!F52+'Okanogan Pgs 48-49'!F52+'Pacific Pgs 50-51'!F52+'San Juan Pgs 52-53'!F52+'Seattle-King Pgs 54-55'!F52+'Skagit Pgs 56-57'!F52+'Skamania Pgs 58-59'!F52+'Snohomish Pgs 60-61'!F52+'Spokane Pgs 62-63'!F52+'Tacoma-Pierce Pgs 64-65'!F52+'Thurston Pgs 66-67'!F52+'Wahkiakum Pgs 68-69'!F52+'Walla Walla Pgs 70-71'!F52+'Whatcom Pgs 72-73'!F52+'Whitman Pgs 74-75'!F52+'Yakima Pgs 76-77'!F52</f>
        <v>0</v>
      </c>
      <c r="G52" s="7">
        <f>'Asotin Pgs 10-11'!G52+'Adams Pgs 8-9'!G52+'Benton-Franklin Pgs 12-13'!G52+'Chelan-Douglas Pgs 14-15'!G52+'Clallam Pgs 16-17'!G52+'Clark Pgs 18-19'!G52+'Columbia Pgs 20-21'!G52+'Cowlitz Pgs 22-23'!G52+'Garfield Pgs 24-25'!G52+'Grant Pgs 26-27'!G52+'Grays Harbor Pgs 28-29'!G52+'Island Pgs 30-31'!G52+'Jefferson Pgs 32-33'!G52+'Kitsap Pgs 34-35'!G52+'Kittitas Pgs 36-37'!G52+'Klickitat Pgs 38-39'!G52+'Lewis Pgs 40-41'!G52+'Lincoln Pgs 42-43'!G52+'Mason Pgs 44-45'!G52+'Northeast Tri Pgs 46-47'!G52+'Okanogan Pgs 48-49'!G52+'Pacific Pgs 50-51'!G52+'San Juan Pgs 52-53'!G52+'Seattle-King Pgs 54-55'!G52+'Skagit Pgs 56-57'!G52+'Skamania Pgs 58-59'!G52+'Snohomish Pgs 60-61'!G52+'Spokane Pgs 62-63'!G52+'Tacoma-Pierce Pgs 64-65'!G52+'Thurston Pgs 66-67'!G52+'Wahkiakum Pgs 68-69'!G52+'Walla Walla Pgs 70-71'!G52+'Whatcom Pgs 72-73'!G52+'Whitman Pgs 74-75'!G52+'Yakima Pgs 76-77'!G52</f>
        <v>334125</v>
      </c>
      <c r="H52" s="15">
        <f>'Asotin Pgs 10-11'!H52+'Adams Pgs 8-9'!H52+'Benton-Franklin Pgs 12-13'!H52+'Chelan-Douglas Pgs 14-15'!H52+'Clallam Pgs 16-17'!H52+'Clark Pgs 18-19'!H52+'Columbia Pgs 20-21'!H52+'Cowlitz Pgs 22-23'!H52+'Garfield Pgs 24-25'!H52+'Grant Pgs 26-27'!H52+'Grays Harbor Pgs 28-29'!H52+'Island Pgs 30-31'!H52+'Jefferson Pgs 32-33'!H52+'Kitsap Pgs 34-35'!H52+'Kittitas Pgs 36-37'!H52+'Klickitat Pgs 38-39'!H52+'Lewis Pgs 40-41'!H52+'Lincoln Pgs 42-43'!H52+'Mason Pgs 44-45'!H52+'Northeast Tri Pgs 46-47'!H52+'Okanogan Pgs 48-49'!H52+'Pacific Pgs 50-51'!H52+'San Juan Pgs 52-53'!H52+'Seattle-King Pgs 54-55'!H52+'Skagit Pgs 56-57'!H52+'Skamania Pgs 58-59'!H52+'Snohomish Pgs 60-61'!H52+'Spokane Pgs 62-63'!H52+'Tacoma-Pierce Pgs 64-65'!H52+'Thurston Pgs 66-67'!H52+'Wahkiakum Pgs 68-69'!H52+'Walla Walla Pgs 70-71'!H52+'Whatcom Pgs 72-73'!H52+'Whitman Pgs 74-75'!H52+'Yakima Pgs 76-77'!H52</f>
        <v>0</v>
      </c>
      <c r="I52" s="7">
        <f>'Asotin Pgs 10-11'!I52+'Adams Pgs 8-9'!I52+'Benton-Franklin Pgs 12-13'!I52+'Chelan-Douglas Pgs 14-15'!I52+'Clallam Pgs 16-17'!I52+'Clark Pgs 18-19'!I52+'Columbia Pgs 20-21'!I52+'Cowlitz Pgs 22-23'!I52+'Garfield Pgs 24-25'!I52+'Grant Pgs 26-27'!I52+'Grays Harbor Pgs 28-29'!I52+'Island Pgs 30-31'!I52+'Jefferson Pgs 32-33'!I52+'Kitsap Pgs 34-35'!I52+'Kittitas Pgs 36-37'!I52+'Klickitat Pgs 38-39'!I52+'Lewis Pgs 40-41'!I52+'Lincoln Pgs 42-43'!I52+'Mason Pgs 44-45'!I52+'Northeast Tri Pgs 46-47'!I52+'Okanogan Pgs 48-49'!I52+'Pacific Pgs 50-51'!I52+'San Juan Pgs 52-53'!I52+'Seattle-King Pgs 54-55'!I52+'Skagit Pgs 56-57'!I52+'Skamania Pgs 58-59'!I52+'Snohomish Pgs 60-61'!I52+'Spokane Pgs 62-63'!I52+'Tacoma-Pierce Pgs 64-65'!I52+'Thurston Pgs 66-67'!I52+'Wahkiakum Pgs 68-69'!I52+'Walla Walla Pgs 70-71'!I52+'Whatcom Pgs 72-73'!I52+'Whitman Pgs 74-75'!I52+'Yakima Pgs 76-77'!I52</f>
        <v>4659</v>
      </c>
      <c r="J52" s="15">
        <f>'Asotin Pgs 10-11'!M52+'Adams Pgs 8-9'!M52+'Benton-Franklin Pgs 12-13'!M52+'Chelan-Douglas Pgs 14-15'!M52+'Clallam Pgs 16-17'!M52+'Clark Pgs 18-19'!M52+'Columbia Pgs 20-21'!M52+'Cowlitz Pgs 22-23'!M52+'Garfield Pgs 24-25'!M52+'Grant Pgs 26-27'!M52+'Grays Harbor Pgs 28-29'!M52+'Island Pgs 30-31'!M52+'Jefferson Pgs 32-33'!M52+'Kitsap Pgs 34-35'!M52+'Kittitas Pgs 36-37'!M52+'Klickitat Pgs 38-39'!M52+'Lewis Pgs 40-41'!M52+'Lincoln Pgs 42-43'!M52+'Mason Pgs 44-45'!M52+'Northeast Tri Pgs 46-47'!M52+'Okanogan Pgs 48-49'!M52+'Pacific Pgs 50-51'!M52+'San Juan Pgs 52-53'!M52+'Seattle-King Pgs 54-55'!M52+'Skagit Pgs 56-57'!M52+'Skamania Pgs 58-59'!M52+'Snohomish Pgs 60-61'!M52+'Spokane Pgs 62-63'!M52+'Tacoma-Pierce Pgs 64-65'!M52+'Thurston Pgs 66-67'!M52+'Wahkiakum Pgs 68-69'!M52+'Walla Walla Pgs 70-71'!M52+'Whatcom Pgs 72-73'!M52+'Whitman Pgs 74-75'!M52+'Yakima Pgs 76-77'!M52</f>
        <v>4526426</v>
      </c>
      <c r="K52" s="7">
        <f>'Asotin Pgs 10-11'!Q52+'Adams Pgs 8-9'!Q52+'Benton-Franklin Pgs 12-13'!Q52+'Chelan-Douglas Pgs 14-15'!Q52+'Clallam Pgs 16-17'!Q52+'Clark Pgs 18-19'!Q52+'Columbia Pgs 20-21'!Q52+'Cowlitz Pgs 22-23'!Q52+'Garfield Pgs 24-25'!Q52+'Grant Pgs 26-27'!Q52+'Grays Harbor Pgs 28-29'!Q52+'Island Pgs 30-31'!Q52+'Jefferson Pgs 32-33'!Q52+'Kitsap Pgs 34-35'!Q52+'Kittitas Pgs 36-37'!Q52+'Klickitat Pgs 38-39'!Q52+'Lewis Pgs 40-41'!Q52+'Lincoln Pgs 42-43'!Q52+'Mason Pgs 44-45'!Q52+'Northeast Tri Pgs 46-47'!Q52+'Okanogan Pgs 48-49'!Q52+'Pacific Pgs 50-51'!Q52+'San Juan Pgs 52-53'!Q52+'Seattle-King Pgs 54-55'!Q52+'Skagit Pgs 56-57'!Q52+'Skamania Pgs 58-59'!Q52+'Snohomish Pgs 60-61'!Q52+'Spokane Pgs 62-63'!Q52+'Tacoma-Pierce Pgs 64-65'!Q52+'Thurston Pgs 66-67'!Q52+'Wahkiakum Pgs 68-69'!Q52+'Walla Walla Pgs 70-71'!Q52+'Whatcom Pgs 72-73'!Q52+'Whitman Pgs 74-75'!Q52+'Yakima Pgs 76-77'!Q52</f>
        <v>307955</v>
      </c>
      <c r="L52" s="15">
        <f>'Asotin Pgs 10-11'!R52+'Adams Pgs 8-9'!R52+'Benton-Franklin Pgs 12-13'!R52+'Chelan-Douglas Pgs 14-15'!R52+'Clallam Pgs 16-17'!R52+'Clark Pgs 18-19'!R52+'Columbia Pgs 20-21'!R52+'Cowlitz Pgs 22-23'!R52+'Garfield Pgs 24-25'!R52+'Grant Pgs 26-27'!R52+'Grays Harbor Pgs 28-29'!R52+'Island Pgs 30-31'!R52+'Jefferson Pgs 32-33'!R52+'Kitsap Pgs 34-35'!R52+'Kittitas Pgs 36-37'!R52+'Klickitat Pgs 38-39'!R52+'Lewis Pgs 40-41'!R52+'Lincoln Pgs 42-43'!R52+'Mason Pgs 44-45'!R52+'Northeast Tri Pgs 46-47'!R52+'Okanogan Pgs 48-49'!R52+'Pacific Pgs 50-51'!R52+'San Juan Pgs 52-53'!R52+'Seattle-King Pgs 54-55'!R52+'Skagit Pgs 56-57'!R52+'Skamania Pgs 58-59'!R52+'Snohomish Pgs 60-61'!R52+'Spokane Pgs 62-63'!R52+'Tacoma-Pierce Pgs 64-65'!R52+'Thurston Pgs 66-67'!R52+'Wahkiakum Pgs 68-69'!R52+'Walla Walla Pgs 70-71'!R52+'Whatcom Pgs 72-73'!R52+'Whitman Pgs 74-75'!R52+'Yakima Pgs 76-77'!R52</f>
        <v>38437</v>
      </c>
    </row>
    <row r="53" spans="1:12" x14ac:dyDescent="0.3">
      <c r="A53" s="39">
        <v>566</v>
      </c>
      <c r="B53" s="40" t="s">
        <v>76</v>
      </c>
      <c r="C53" s="165">
        <f>'Asotin Pgs 10-11'!C53+'Adams Pgs 8-9'!C53+'Benton-Franklin Pgs 12-13'!C53+'Chelan-Douglas Pgs 14-15'!C53+'Clallam Pgs 16-17'!C53+'Clark Pgs 18-19'!C53+'Columbia Pgs 20-21'!C53+'Cowlitz Pgs 22-23'!C53+'Garfield Pgs 24-25'!C53+'Grant Pgs 26-27'!C53+'Grays Harbor Pgs 28-29'!C53+'Island Pgs 30-31'!C53+'Jefferson Pgs 32-33'!C53+'Kitsap Pgs 34-35'!C53+'Kittitas Pgs 36-37'!C53+'Klickitat Pgs 38-39'!C53+'Lewis Pgs 40-41'!C53+'Lincoln Pgs 42-43'!C53+'Mason Pgs 44-45'!C53+'Northeast Tri Pgs 46-47'!C53+'Okanogan Pgs 48-49'!C53+'Pacific Pgs 50-51'!C53+'San Juan Pgs 52-53'!C53+'Seattle-King Pgs 54-55'!C53+'Skagit Pgs 56-57'!C53+'Skamania Pgs 58-59'!C53+'Snohomish Pgs 60-61'!C53+'Spokane Pgs 62-63'!C53+'Tacoma-Pierce Pgs 64-65'!C53+'Thurston Pgs 66-67'!C53+'Wahkiakum Pgs 68-69'!C53+'Walla Walla Pgs 70-71'!C53+'Whatcom Pgs 72-73'!C53+'Whitman Pgs 74-75'!C53+'Yakima Pgs 76-77'!C53</f>
        <v>9524483.4100000001</v>
      </c>
      <c r="D53" s="17">
        <f>'Asotin Pgs 10-11'!D53+'Adams Pgs 8-9'!D53+'Benton-Franklin Pgs 12-13'!D53+'Chelan-Douglas Pgs 14-15'!D53+'Clallam Pgs 16-17'!D53+'Clark Pgs 18-19'!D53+'Columbia Pgs 20-21'!D53+'Cowlitz Pgs 22-23'!D53+'Garfield Pgs 24-25'!D53+'Grant Pgs 26-27'!D53+'Grays Harbor Pgs 28-29'!D53+'Island Pgs 30-31'!D53+'Jefferson Pgs 32-33'!D53+'Kitsap Pgs 34-35'!D53+'Kittitas Pgs 36-37'!D53+'Klickitat Pgs 38-39'!D53+'Lewis Pgs 40-41'!D53+'Lincoln Pgs 42-43'!D53+'Mason Pgs 44-45'!D53+'Northeast Tri Pgs 46-47'!D53+'Okanogan Pgs 48-49'!D53+'Pacific Pgs 50-51'!D53+'San Juan Pgs 52-53'!D53+'Seattle-King Pgs 54-55'!D53+'Skagit Pgs 56-57'!D53+'Skamania Pgs 58-59'!D53+'Snohomish Pgs 60-61'!D53+'Spokane Pgs 62-63'!D53+'Tacoma-Pierce Pgs 64-65'!D53+'Thurston Pgs 66-67'!D53+'Wahkiakum Pgs 68-69'!D53+'Walla Walla Pgs 70-71'!D53+'Whatcom Pgs 72-73'!D53+'Whitman Pgs 74-75'!D53+'Yakima Pgs 76-77'!D53</f>
        <v>10018490.84</v>
      </c>
      <c r="E53" s="165">
        <f>'Asotin Pgs 10-11'!E53+'Adams Pgs 8-9'!E53+'Benton-Franklin Pgs 12-13'!E53+'Chelan-Douglas Pgs 14-15'!E53+'Clallam Pgs 16-17'!E53+'Clark Pgs 18-19'!E53+'Columbia Pgs 20-21'!E53+'Cowlitz Pgs 22-23'!E53+'Garfield Pgs 24-25'!E53+'Grant Pgs 26-27'!E53+'Grays Harbor Pgs 28-29'!E53+'Island Pgs 30-31'!E53+'Jefferson Pgs 32-33'!E53+'Kitsap Pgs 34-35'!E53+'Kittitas Pgs 36-37'!E53+'Klickitat Pgs 38-39'!E53+'Lewis Pgs 40-41'!E53+'Lincoln Pgs 42-43'!E53+'Mason Pgs 44-45'!E53+'Northeast Tri Pgs 46-47'!E53+'Okanogan Pgs 48-49'!E53+'Pacific Pgs 50-51'!E53+'San Juan Pgs 52-53'!E53+'Seattle-King Pgs 54-55'!E53+'Skagit Pgs 56-57'!E53+'Skamania Pgs 58-59'!E53+'Snohomish Pgs 60-61'!E53+'Spokane Pgs 62-63'!E53+'Tacoma-Pierce Pgs 64-65'!E53+'Thurston Pgs 66-67'!E53+'Wahkiakum Pgs 68-69'!E53+'Walla Walla Pgs 70-71'!E53+'Whatcom Pgs 72-73'!E53+'Whitman Pgs 74-75'!E53+'Yakima Pgs 76-77'!E53</f>
        <v>0</v>
      </c>
      <c r="F53" s="8">
        <f>'Asotin Pgs 10-11'!F53+'Adams Pgs 8-9'!F53+'Benton-Franklin Pgs 12-13'!F53+'Chelan-Douglas Pgs 14-15'!F53+'Clallam Pgs 16-17'!F53+'Clark Pgs 18-19'!F53+'Columbia Pgs 20-21'!F53+'Cowlitz Pgs 22-23'!F53+'Garfield Pgs 24-25'!F53+'Grant Pgs 26-27'!F53+'Grays Harbor Pgs 28-29'!F53+'Island Pgs 30-31'!F53+'Jefferson Pgs 32-33'!F53+'Kitsap Pgs 34-35'!F53+'Kittitas Pgs 36-37'!F53+'Klickitat Pgs 38-39'!F53+'Lewis Pgs 40-41'!F53+'Lincoln Pgs 42-43'!F53+'Mason Pgs 44-45'!F53+'Northeast Tri Pgs 46-47'!F53+'Okanogan Pgs 48-49'!F53+'Pacific Pgs 50-51'!F53+'San Juan Pgs 52-53'!F53+'Seattle-King Pgs 54-55'!F53+'Skagit Pgs 56-57'!F53+'Skamania Pgs 58-59'!F53+'Snohomish Pgs 60-61'!F53+'Spokane Pgs 62-63'!F53+'Tacoma-Pierce Pgs 64-65'!F53+'Thurston Pgs 66-67'!F53+'Wahkiakum Pgs 68-69'!F53+'Walla Walla Pgs 70-71'!F53+'Whatcom Pgs 72-73'!F53+'Whitman Pgs 74-75'!F53+'Yakima Pgs 76-77'!F53</f>
        <v>130475</v>
      </c>
      <c r="G53" s="7">
        <f>'Asotin Pgs 10-11'!G53+'Adams Pgs 8-9'!G53+'Benton-Franklin Pgs 12-13'!G53+'Chelan-Douglas Pgs 14-15'!G53+'Clallam Pgs 16-17'!G53+'Clark Pgs 18-19'!G53+'Columbia Pgs 20-21'!G53+'Cowlitz Pgs 22-23'!G53+'Garfield Pgs 24-25'!G53+'Grant Pgs 26-27'!G53+'Grays Harbor Pgs 28-29'!G53+'Island Pgs 30-31'!G53+'Jefferson Pgs 32-33'!G53+'Kitsap Pgs 34-35'!G53+'Kittitas Pgs 36-37'!G53+'Klickitat Pgs 38-39'!G53+'Lewis Pgs 40-41'!G53+'Lincoln Pgs 42-43'!G53+'Mason Pgs 44-45'!G53+'Northeast Tri Pgs 46-47'!G53+'Okanogan Pgs 48-49'!G53+'Pacific Pgs 50-51'!G53+'San Juan Pgs 52-53'!G53+'Seattle-King Pgs 54-55'!G53+'Skagit Pgs 56-57'!G53+'Skamania Pgs 58-59'!G53+'Snohomish Pgs 60-61'!G53+'Spokane Pgs 62-63'!G53+'Tacoma-Pierce Pgs 64-65'!G53+'Thurston Pgs 66-67'!G53+'Wahkiakum Pgs 68-69'!G53+'Walla Walla Pgs 70-71'!G53+'Whatcom Pgs 72-73'!G53+'Whitman Pgs 74-75'!G53+'Yakima Pgs 76-77'!G53</f>
        <v>1213767</v>
      </c>
      <c r="H53" s="15">
        <f>'Asotin Pgs 10-11'!H53+'Adams Pgs 8-9'!H53+'Benton-Franklin Pgs 12-13'!H53+'Chelan-Douglas Pgs 14-15'!H53+'Clallam Pgs 16-17'!H53+'Clark Pgs 18-19'!H53+'Columbia Pgs 20-21'!H53+'Cowlitz Pgs 22-23'!H53+'Garfield Pgs 24-25'!H53+'Grant Pgs 26-27'!H53+'Grays Harbor Pgs 28-29'!H53+'Island Pgs 30-31'!H53+'Jefferson Pgs 32-33'!H53+'Kitsap Pgs 34-35'!H53+'Kittitas Pgs 36-37'!H53+'Klickitat Pgs 38-39'!H53+'Lewis Pgs 40-41'!H53+'Lincoln Pgs 42-43'!H53+'Mason Pgs 44-45'!H53+'Northeast Tri Pgs 46-47'!H53+'Okanogan Pgs 48-49'!H53+'Pacific Pgs 50-51'!H53+'San Juan Pgs 52-53'!H53+'Seattle-King Pgs 54-55'!H53+'Skagit Pgs 56-57'!H53+'Skamania Pgs 58-59'!H53+'Snohomish Pgs 60-61'!H53+'Spokane Pgs 62-63'!H53+'Tacoma-Pierce Pgs 64-65'!H53+'Thurston Pgs 66-67'!H53+'Wahkiakum Pgs 68-69'!H53+'Walla Walla Pgs 70-71'!H53+'Whatcom Pgs 72-73'!H53+'Whitman Pgs 74-75'!H53+'Yakima Pgs 76-77'!H53</f>
        <v>345255.25</v>
      </c>
      <c r="I53" s="7">
        <f>'Asotin Pgs 10-11'!I53+'Adams Pgs 8-9'!I53+'Benton-Franklin Pgs 12-13'!I53+'Chelan-Douglas Pgs 14-15'!I53+'Clallam Pgs 16-17'!I53+'Clark Pgs 18-19'!I53+'Columbia Pgs 20-21'!I53+'Cowlitz Pgs 22-23'!I53+'Garfield Pgs 24-25'!I53+'Grant Pgs 26-27'!I53+'Grays Harbor Pgs 28-29'!I53+'Island Pgs 30-31'!I53+'Jefferson Pgs 32-33'!I53+'Kitsap Pgs 34-35'!I53+'Kittitas Pgs 36-37'!I53+'Klickitat Pgs 38-39'!I53+'Lewis Pgs 40-41'!I53+'Lincoln Pgs 42-43'!I53+'Mason Pgs 44-45'!I53+'Northeast Tri Pgs 46-47'!I53+'Okanogan Pgs 48-49'!I53+'Pacific Pgs 50-51'!I53+'San Juan Pgs 52-53'!I53+'Seattle-King Pgs 54-55'!I53+'Skagit Pgs 56-57'!I53+'Skamania Pgs 58-59'!I53+'Snohomish Pgs 60-61'!I53+'Spokane Pgs 62-63'!I53+'Tacoma-Pierce Pgs 64-65'!I53+'Thurston Pgs 66-67'!I53+'Wahkiakum Pgs 68-69'!I53+'Walla Walla Pgs 70-71'!I53+'Whatcom Pgs 72-73'!I53+'Whitman Pgs 74-75'!I53+'Yakima Pgs 76-77'!I53</f>
        <v>834155.59000000008</v>
      </c>
      <c r="J53" s="15">
        <f>'Asotin Pgs 10-11'!M53+'Adams Pgs 8-9'!M53+'Benton-Franklin Pgs 12-13'!M53+'Chelan-Douglas Pgs 14-15'!M53+'Clallam Pgs 16-17'!M53+'Clark Pgs 18-19'!M53+'Columbia Pgs 20-21'!M53+'Cowlitz Pgs 22-23'!M53+'Garfield Pgs 24-25'!M53+'Grant Pgs 26-27'!M53+'Grays Harbor Pgs 28-29'!M53+'Island Pgs 30-31'!M53+'Jefferson Pgs 32-33'!M53+'Kitsap Pgs 34-35'!M53+'Kittitas Pgs 36-37'!M53+'Klickitat Pgs 38-39'!M53+'Lewis Pgs 40-41'!M53+'Lincoln Pgs 42-43'!M53+'Mason Pgs 44-45'!M53+'Northeast Tri Pgs 46-47'!M53+'Okanogan Pgs 48-49'!M53+'Pacific Pgs 50-51'!M53+'San Juan Pgs 52-53'!M53+'Seattle-King Pgs 54-55'!M53+'Skagit Pgs 56-57'!M53+'Skamania Pgs 58-59'!M53+'Snohomish Pgs 60-61'!M53+'Spokane Pgs 62-63'!M53+'Tacoma-Pierce Pgs 64-65'!M53+'Thurston Pgs 66-67'!M53+'Wahkiakum Pgs 68-69'!M53+'Walla Walla Pgs 70-71'!M53+'Whatcom Pgs 72-73'!M53+'Whitman Pgs 74-75'!M53+'Yakima Pgs 76-77'!M53</f>
        <v>1130254</v>
      </c>
      <c r="K53" s="7">
        <f>'Asotin Pgs 10-11'!Q53+'Adams Pgs 8-9'!Q53+'Benton-Franklin Pgs 12-13'!Q53+'Chelan-Douglas Pgs 14-15'!Q53+'Clallam Pgs 16-17'!Q53+'Clark Pgs 18-19'!Q53+'Columbia Pgs 20-21'!Q53+'Cowlitz Pgs 22-23'!Q53+'Garfield Pgs 24-25'!Q53+'Grant Pgs 26-27'!Q53+'Grays Harbor Pgs 28-29'!Q53+'Island Pgs 30-31'!Q53+'Jefferson Pgs 32-33'!Q53+'Kitsap Pgs 34-35'!Q53+'Kittitas Pgs 36-37'!Q53+'Klickitat Pgs 38-39'!Q53+'Lewis Pgs 40-41'!Q53+'Lincoln Pgs 42-43'!Q53+'Mason Pgs 44-45'!Q53+'Northeast Tri Pgs 46-47'!Q53+'Okanogan Pgs 48-49'!Q53+'Pacific Pgs 50-51'!Q53+'San Juan Pgs 52-53'!Q53+'Seattle-King Pgs 54-55'!Q53+'Skagit Pgs 56-57'!Q53+'Skamania Pgs 58-59'!Q53+'Snohomish Pgs 60-61'!Q53+'Spokane Pgs 62-63'!Q53+'Tacoma-Pierce Pgs 64-65'!Q53+'Thurston Pgs 66-67'!Q53+'Wahkiakum Pgs 68-69'!Q53+'Walla Walla Pgs 70-71'!Q53+'Whatcom Pgs 72-73'!Q53+'Whitman Pgs 74-75'!Q53+'Yakima Pgs 76-77'!Q53</f>
        <v>6198470</v>
      </c>
      <c r="L53" s="15">
        <f>'Asotin Pgs 10-11'!R53+'Adams Pgs 8-9'!R53+'Benton-Franklin Pgs 12-13'!R53+'Chelan-Douglas Pgs 14-15'!R53+'Clallam Pgs 16-17'!R53+'Clark Pgs 18-19'!R53+'Columbia Pgs 20-21'!R53+'Cowlitz Pgs 22-23'!R53+'Garfield Pgs 24-25'!R53+'Grant Pgs 26-27'!R53+'Grays Harbor Pgs 28-29'!R53+'Island Pgs 30-31'!R53+'Jefferson Pgs 32-33'!R53+'Kitsap Pgs 34-35'!R53+'Kittitas Pgs 36-37'!R53+'Klickitat Pgs 38-39'!R53+'Lewis Pgs 40-41'!R53+'Lincoln Pgs 42-43'!R53+'Mason Pgs 44-45'!R53+'Northeast Tri Pgs 46-47'!R53+'Okanogan Pgs 48-49'!R53+'Pacific Pgs 50-51'!R53+'San Juan Pgs 52-53'!R53+'Seattle-King Pgs 54-55'!R53+'Skagit Pgs 56-57'!R53+'Skamania Pgs 58-59'!R53+'Snohomish Pgs 60-61'!R53+'Spokane Pgs 62-63'!R53+'Tacoma-Pierce Pgs 64-65'!R53+'Thurston Pgs 66-67'!R53+'Wahkiakum Pgs 68-69'!R53+'Walla Walla Pgs 70-71'!R53+'Whatcom Pgs 72-73'!R53+'Whitman Pgs 74-75'!R53+'Yakima Pgs 76-77'!R53</f>
        <v>166114</v>
      </c>
    </row>
    <row r="54" spans="1:12" x14ac:dyDescent="0.3">
      <c r="A54" s="39">
        <v>568</v>
      </c>
      <c r="B54" s="40" t="s">
        <v>77</v>
      </c>
      <c r="C54" s="165">
        <f>'Asotin Pgs 10-11'!C54+'Adams Pgs 8-9'!C54+'Benton-Franklin Pgs 12-13'!C54+'Chelan-Douglas Pgs 14-15'!C54+'Clallam Pgs 16-17'!C54+'Clark Pgs 18-19'!C54+'Columbia Pgs 20-21'!C54+'Cowlitz Pgs 22-23'!C54+'Garfield Pgs 24-25'!C54+'Grant Pgs 26-27'!C54+'Grays Harbor Pgs 28-29'!C54+'Island Pgs 30-31'!C54+'Jefferson Pgs 32-33'!C54+'Kitsap Pgs 34-35'!C54+'Kittitas Pgs 36-37'!C54+'Klickitat Pgs 38-39'!C54+'Lewis Pgs 40-41'!C54+'Lincoln Pgs 42-43'!C54+'Mason Pgs 44-45'!C54+'Northeast Tri Pgs 46-47'!C54+'Okanogan Pgs 48-49'!C54+'Pacific Pgs 50-51'!C54+'San Juan Pgs 52-53'!C54+'Seattle-King Pgs 54-55'!C54+'Skagit Pgs 56-57'!C54+'Skamania Pgs 58-59'!C54+'Snohomish Pgs 60-61'!C54+'Spokane Pgs 62-63'!C54+'Tacoma-Pierce Pgs 64-65'!C54+'Thurston Pgs 66-67'!C54+'Wahkiakum Pgs 68-69'!C54+'Walla Walla Pgs 70-71'!C54+'Whatcom Pgs 72-73'!C54+'Whitman Pgs 74-75'!C54+'Yakima Pgs 76-77'!C54</f>
        <v>5067684.78</v>
      </c>
      <c r="D54" s="17">
        <f>'Asotin Pgs 10-11'!D54+'Adams Pgs 8-9'!D54+'Benton-Franklin Pgs 12-13'!D54+'Chelan-Douglas Pgs 14-15'!D54+'Clallam Pgs 16-17'!D54+'Clark Pgs 18-19'!D54+'Columbia Pgs 20-21'!D54+'Cowlitz Pgs 22-23'!D54+'Garfield Pgs 24-25'!D54+'Grant Pgs 26-27'!D54+'Grays Harbor Pgs 28-29'!D54+'Island Pgs 30-31'!D54+'Jefferson Pgs 32-33'!D54+'Kitsap Pgs 34-35'!D54+'Kittitas Pgs 36-37'!D54+'Klickitat Pgs 38-39'!D54+'Lewis Pgs 40-41'!D54+'Lincoln Pgs 42-43'!D54+'Mason Pgs 44-45'!D54+'Northeast Tri Pgs 46-47'!D54+'Okanogan Pgs 48-49'!D54+'Pacific Pgs 50-51'!D54+'San Juan Pgs 52-53'!D54+'Seattle-King Pgs 54-55'!D54+'Skagit Pgs 56-57'!D54+'Skamania Pgs 58-59'!D54+'Snohomish Pgs 60-61'!D54+'Spokane Pgs 62-63'!D54+'Tacoma-Pierce Pgs 64-65'!D54+'Thurston Pgs 66-67'!D54+'Wahkiakum Pgs 68-69'!D54+'Walla Walla Pgs 70-71'!D54+'Whatcom Pgs 72-73'!D54+'Whitman Pgs 74-75'!D54+'Yakima Pgs 76-77'!D54</f>
        <v>5085733</v>
      </c>
      <c r="E54" s="165">
        <f>'Asotin Pgs 10-11'!E54+'Adams Pgs 8-9'!E54+'Benton-Franklin Pgs 12-13'!E54+'Chelan-Douglas Pgs 14-15'!E54+'Clallam Pgs 16-17'!E54+'Clark Pgs 18-19'!E54+'Columbia Pgs 20-21'!E54+'Cowlitz Pgs 22-23'!E54+'Garfield Pgs 24-25'!E54+'Grant Pgs 26-27'!E54+'Grays Harbor Pgs 28-29'!E54+'Island Pgs 30-31'!E54+'Jefferson Pgs 32-33'!E54+'Kitsap Pgs 34-35'!E54+'Kittitas Pgs 36-37'!E54+'Klickitat Pgs 38-39'!E54+'Lewis Pgs 40-41'!E54+'Lincoln Pgs 42-43'!E54+'Mason Pgs 44-45'!E54+'Northeast Tri Pgs 46-47'!E54+'Okanogan Pgs 48-49'!E54+'Pacific Pgs 50-51'!E54+'San Juan Pgs 52-53'!E54+'Seattle-King Pgs 54-55'!E54+'Skagit Pgs 56-57'!E54+'Skamania Pgs 58-59'!E54+'Snohomish Pgs 60-61'!E54+'Spokane Pgs 62-63'!E54+'Tacoma-Pierce Pgs 64-65'!E54+'Thurston Pgs 66-67'!E54+'Wahkiakum Pgs 68-69'!E54+'Walla Walla Pgs 70-71'!E54+'Whatcom Pgs 72-73'!E54+'Whitman Pgs 74-75'!E54+'Yakima Pgs 76-77'!E54</f>
        <v>0</v>
      </c>
      <c r="F54" s="8">
        <f>'Asotin Pgs 10-11'!F54+'Adams Pgs 8-9'!F54+'Benton-Franklin Pgs 12-13'!F54+'Chelan-Douglas Pgs 14-15'!F54+'Clallam Pgs 16-17'!F54+'Clark Pgs 18-19'!F54+'Columbia Pgs 20-21'!F54+'Cowlitz Pgs 22-23'!F54+'Garfield Pgs 24-25'!F54+'Grant Pgs 26-27'!F54+'Grays Harbor Pgs 28-29'!F54+'Island Pgs 30-31'!F54+'Jefferson Pgs 32-33'!F54+'Kitsap Pgs 34-35'!F54+'Kittitas Pgs 36-37'!F54+'Klickitat Pgs 38-39'!F54+'Lewis Pgs 40-41'!F54+'Lincoln Pgs 42-43'!F54+'Mason Pgs 44-45'!F54+'Northeast Tri Pgs 46-47'!F54+'Okanogan Pgs 48-49'!F54+'Pacific Pgs 50-51'!F54+'San Juan Pgs 52-53'!F54+'Seattle-King Pgs 54-55'!F54+'Skagit Pgs 56-57'!F54+'Skamania Pgs 58-59'!F54+'Snohomish Pgs 60-61'!F54+'Spokane Pgs 62-63'!F54+'Tacoma-Pierce Pgs 64-65'!F54+'Thurston Pgs 66-67'!F54+'Wahkiakum Pgs 68-69'!F54+'Walla Walla Pgs 70-71'!F54+'Whatcom Pgs 72-73'!F54+'Whitman Pgs 74-75'!F54+'Yakima Pgs 76-77'!F54</f>
        <v>0</v>
      </c>
      <c r="G54" s="7">
        <f>'Asotin Pgs 10-11'!G54+'Adams Pgs 8-9'!G54+'Benton-Franklin Pgs 12-13'!G54+'Chelan-Douglas Pgs 14-15'!G54+'Clallam Pgs 16-17'!G54+'Clark Pgs 18-19'!G54+'Columbia Pgs 20-21'!G54+'Cowlitz Pgs 22-23'!G54+'Garfield Pgs 24-25'!G54+'Grant Pgs 26-27'!G54+'Grays Harbor Pgs 28-29'!G54+'Island Pgs 30-31'!G54+'Jefferson Pgs 32-33'!G54+'Kitsap Pgs 34-35'!G54+'Kittitas Pgs 36-37'!G54+'Klickitat Pgs 38-39'!G54+'Lewis Pgs 40-41'!G54+'Lincoln Pgs 42-43'!G54+'Mason Pgs 44-45'!G54+'Northeast Tri Pgs 46-47'!G54+'Okanogan Pgs 48-49'!G54+'Pacific Pgs 50-51'!G54+'San Juan Pgs 52-53'!G54+'Seattle-King Pgs 54-55'!G54+'Skagit Pgs 56-57'!G54+'Skamania Pgs 58-59'!G54+'Snohomish Pgs 60-61'!G54+'Spokane Pgs 62-63'!G54+'Tacoma-Pierce Pgs 64-65'!G54+'Thurston Pgs 66-67'!G54+'Wahkiakum Pgs 68-69'!G54+'Walla Walla Pgs 70-71'!G54+'Whatcom Pgs 72-73'!G54+'Whitman Pgs 74-75'!G54+'Yakima Pgs 76-77'!G54</f>
        <v>3288827</v>
      </c>
      <c r="H54" s="15">
        <f>'Asotin Pgs 10-11'!H54+'Adams Pgs 8-9'!H54+'Benton-Franklin Pgs 12-13'!H54+'Chelan-Douglas Pgs 14-15'!H54+'Clallam Pgs 16-17'!H54+'Clark Pgs 18-19'!H54+'Columbia Pgs 20-21'!H54+'Cowlitz Pgs 22-23'!H54+'Garfield Pgs 24-25'!H54+'Grant Pgs 26-27'!H54+'Grays Harbor Pgs 28-29'!H54+'Island Pgs 30-31'!H54+'Jefferson Pgs 32-33'!H54+'Kitsap Pgs 34-35'!H54+'Kittitas Pgs 36-37'!H54+'Klickitat Pgs 38-39'!H54+'Lewis Pgs 40-41'!H54+'Lincoln Pgs 42-43'!H54+'Mason Pgs 44-45'!H54+'Northeast Tri Pgs 46-47'!H54+'Okanogan Pgs 48-49'!H54+'Pacific Pgs 50-51'!H54+'San Juan Pgs 52-53'!H54+'Seattle-King Pgs 54-55'!H54+'Skagit Pgs 56-57'!H54+'Skamania Pgs 58-59'!H54+'Snohomish Pgs 60-61'!H54+'Spokane Pgs 62-63'!H54+'Tacoma-Pierce Pgs 64-65'!H54+'Thurston Pgs 66-67'!H54+'Wahkiakum Pgs 68-69'!H54+'Walla Walla Pgs 70-71'!H54+'Whatcom Pgs 72-73'!H54+'Whitman Pgs 74-75'!H54+'Yakima Pgs 76-77'!H54</f>
        <v>0</v>
      </c>
      <c r="I54" s="7">
        <f>'Asotin Pgs 10-11'!I54+'Adams Pgs 8-9'!I54+'Benton-Franklin Pgs 12-13'!I54+'Chelan-Douglas Pgs 14-15'!I54+'Clallam Pgs 16-17'!I54+'Clark Pgs 18-19'!I54+'Columbia Pgs 20-21'!I54+'Cowlitz Pgs 22-23'!I54+'Garfield Pgs 24-25'!I54+'Grant Pgs 26-27'!I54+'Grays Harbor Pgs 28-29'!I54+'Island Pgs 30-31'!I54+'Jefferson Pgs 32-33'!I54+'Kitsap Pgs 34-35'!I54+'Kittitas Pgs 36-37'!I54+'Klickitat Pgs 38-39'!I54+'Lewis Pgs 40-41'!I54+'Lincoln Pgs 42-43'!I54+'Mason Pgs 44-45'!I54+'Northeast Tri Pgs 46-47'!I54+'Okanogan Pgs 48-49'!I54+'Pacific Pgs 50-51'!I54+'San Juan Pgs 52-53'!I54+'Seattle-King Pgs 54-55'!I54+'Skagit Pgs 56-57'!I54+'Skamania Pgs 58-59'!I54+'Snohomish Pgs 60-61'!I54+'Spokane Pgs 62-63'!I54+'Tacoma-Pierce Pgs 64-65'!I54+'Thurston Pgs 66-67'!I54+'Wahkiakum Pgs 68-69'!I54+'Walla Walla Pgs 70-71'!I54+'Whatcom Pgs 72-73'!I54+'Whitman Pgs 74-75'!I54+'Yakima Pgs 76-77'!I54</f>
        <v>0</v>
      </c>
      <c r="J54" s="15">
        <f>'Asotin Pgs 10-11'!M54+'Adams Pgs 8-9'!M54+'Benton-Franklin Pgs 12-13'!M54+'Chelan-Douglas Pgs 14-15'!M54+'Clallam Pgs 16-17'!M54+'Clark Pgs 18-19'!M54+'Columbia Pgs 20-21'!M54+'Cowlitz Pgs 22-23'!M54+'Garfield Pgs 24-25'!M54+'Grant Pgs 26-27'!M54+'Grays Harbor Pgs 28-29'!M54+'Island Pgs 30-31'!M54+'Jefferson Pgs 32-33'!M54+'Kitsap Pgs 34-35'!M54+'Kittitas Pgs 36-37'!M54+'Klickitat Pgs 38-39'!M54+'Lewis Pgs 40-41'!M54+'Lincoln Pgs 42-43'!M54+'Mason Pgs 44-45'!M54+'Northeast Tri Pgs 46-47'!M54+'Okanogan Pgs 48-49'!M54+'Pacific Pgs 50-51'!M54+'San Juan Pgs 52-53'!M54+'Seattle-King Pgs 54-55'!M54+'Skagit Pgs 56-57'!M54+'Skamania Pgs 58-59'!M54+'Snohomish Pgs 60-61'!M54+'Spokane Pgs 62-63'!M54+'Tacoma-Pierce Pgs 64-65'!M54+'Thurston Pgs 66-67'!M54+'Wahkiakum Pgs 68-69'!M54+'Walla Walla Pgs 70-71'!M54+'Whatcom Pgs 72-73'!M54+'Whitman Pgs 74-75'!M54+'Yakima Pgs 76-77'!M54</f>
        <v>521986</v>
      </c>
      <c r="K54" s="7">
        <f>'Asotin Pgs 10-11'!Q54+'Adams Pgs 8-9'!Q54+'Benton-Franklin Pgs 12-13'!Q54+'Chelan-Douglas Pgs 14-15'!Q54+'Clallam Pgs 16-17'!Q54+'Clark Pgs 18-19'!Q54+'Columbia Pgs 20-21'!Q54+'Cowlitz Pgs 22-23'!Q54+'Garfield Pgs 24-25'!Q54+'Grant Pgs 26-27'!Q54+'Grays Harbor Pgs 28-29'!Q54+'Island Pgs 30-31'!Q54+'Jefferson Pgs 32-33'!Q54+'Kitsap Pgs 34-35'!Q54+'Kittitas Pgs 36-37'!Q54+'Klickitat Pgs 38-39'!Q54+'Lewis Pgs 40-41'!Q54+'Lincoln Pgs 42-43'!Q54+'Mason Pgs 44-45'!Q54+'Northeast Tri Pgs 46-47'!Q54+'Okanogan Pgs 48-49'!Q54+'Pacific Pgs 50-51'!Q54+'San Juan Pgs 52-53'!Q54+'Seattle-King Pgs 54-55'!Q54+'Skagit Pgs 56-57'!Q54+'Skamania Pgs 58-59'!Q54+'Snohomish Pgs 60-61'!Q54+'Spokane Pgs 62-63'!Q54+'Tacoma-Pierce Pgs 64-65'!Q54+'Thurston Pgs 66-67'!Q54+'Wahkiakum Pgs 68-69'!Q54+'Walla Walla Pgs 70-71'!Q54+'Whatcom Pgs 72-73'!Q54+'Whitman Pgs 74-75'!Q54+'Yakima Pgs 76-77'!Q54</f>
        <v>1274807</v>
      </c>
      <c r="L54" s="15">
        <f>'Asotin Pgs 10-11'!R54+'Adams Pgs 8-9'!R54+'Benton-Franklin Pgs 12-13'!R54+'Chelan-Douglas Pgs 14-15'!R54+'Clallam Pgs 16-17'!R54+'Clark Pgs 18-19'!R54+'Columbia Pgs 20-21'!R54+'Cowlitz Pgs 22-23'!R54+'Garfield Pgs 24-25'!R54+'Grant Pgs 26-27'!R54+'Grays Harbor Pgs 28-29'!R54+'Island Pgs 30-31'!R54+'Jefferson Pgs 32-33'!R54+'Kitsap Pgs 34-35'!R54+'Kittitas Pgs 36-37'!R54+'Klickitat Pgs 38-39'!R54+'Lewis Pgs 40-41'!R54+'Lincoln Pgs 42-43'!R54+'Mason Pgs 44-45'!R54+'Northeast Tri Pgs 46-47'!R54+'Okanogan Pgs 48-49'!R54+'Pacific Pgs 50-51'!R54+'San Juan Pgs 52-53'!R54+'Seattle-King Pgs 54-55'!R54+'Skagit Pgs 56-57'!R54+'Skamania Pgs 58-59'!R54+'Snohomish Pgs 60-61'!R54+'Spokane Pgs 62-63'!R54+'Tacoma-Pierce Pgs 64-65'!R54+'Thurston Pgs 66-67'!R54+'Wahkiakum Pgs 68-69'!R54+'Walla Walla Pgs 70-71'!R54+'Whatcom Pgs 72-73'!R54+'Whitman Pgs 74-75'!R54+'Yakima Pgs 76-77'!R54</f>
        <v>113</v>
      </c>
    </row>
    <row r="55" spans="1:12" x14ac:dyDescent="0.3">
      <c r="A55" s="41">
        <v>500</v>
      </c>
      <c r="B55" s="32" t="s">
        <v>118</v>
      </c>
      <c r="C55" s="167">
        <f>'Asotin Pgs 10-11'!C55+'Adams Pgs 8-9'!C55+'Benton-Franklin Pgs 12-13'!C55+'Chelan-Douglas Pgs 14-15'!C55+'Clallam Pgs 16-17'!C55+'Clark Pgs 18-19'!C55+'Columbia Pgs 20-21'!C55+'Cowlitz Pgs 22-23'!C55+'Garfield Pgs 24-25'!C55+'Grant Pgs 26-27'!C55+'Grays Harbor Pgs 28-29'!C55+'Island Pgs 30-31'!C55+'Jefferson Pgs 32-33'!C55+'Kitsap Pgs 34-35'!C55+'Kittitas Pgs 36-37'!C55+'Klickitat Pgs 38-39'!C55+'Lewis Pgs 40-41'!C55+'Lincoln Pgs 42-43'!C55+'Mason Pgs 44-45'!C55+'Northeast Tri Pgs 46-47'!C55+'Okanogan Pgs 48-49'!C55+'Pacific Pgs 50-51'!C55+'San Juan Pgs 52-53'!C55+'Seattle-King Pgs 54-55'!C55+'Skagit Pgs 56-57'!C55+'Skamania Pgs 58-59'!C55+'Snohomish Pgs 60-61'!C55+'Spokane Pgs 62-63'!C55+'Tacoma-Pierce Pgs 64-65'!C55+'Thurston Pgs 66-67'!C55+'Wahkiakum Pgs 68-69'!C55+'Walla Walla Pgs 70-71'!C55+'Whatcom Pgs 72-73'!C55+'Whitman Pgs 74-75'!C55+'Yakima Pgs 76-77'!C55</f>
        <v>8206977.3700000001</v>
      </c>
      <c r="D55" s="20">
        <f>'Asotin Pgs 10-11'!D55+'Adams Pgs 8-9'!D55+'Benton-Franklin Pgs 12-13'!D55+'Chelan-Douglas Pgs 14-15'!D55+'Clallam Pgs 16-17'!D55+'Clark Pgs 18-19'!D55+'Columbia Pgs 20-21'!D55+'Cowlitz Pgs 22-23'!D55+'Garfield Pgs 24-25'!D55+'Grant Pgs 26-27'!D55+'Grays Harbor Pgs 28-29'!D55+'Island Pgs 30-31'!D55+'Jefferson Pgs 32-33'!D55+'Kitsap Pgs 34-35'!D55+'Kittitas Pgs 36-37'!D55+'Klickitat Pgs 38-39'!D55+'Lewis Pgs 40-41'!D55+'Lincoln Pgs 42-43'!D55+'Mason Pgs 44-45'!D55+'Northeast Tri Pgs 46-47'!D55+'Okanogan Pgs 48-49'!D55+'Pacific Pgs 50-51'!D55+'San Juan Pgs 52-53'!D55+'Seattle-King Pgs 54-55'!D55+'Skagit Pgs 56-57'!D55+'Skamania Pgs 58-59'!D55+'Snohomish Pgs 60-61'!D55+'Spokane Pgs 62-63'!D55+'Tacoma-Pierce Pgs 64-65'!D55+'Thurston Pgs 66-67'!D55+'Wahkiakum Pgs 68-69'!D55+'Walla Walla Pgs 70-71'!D55+'Whatcom Pgs 72-73'!D55+'Whitman Pgs 74-75'!D55+'Yakima Pgs 76-77'!D55</f>
        <v>7576787.0099999998</v>
      </c>
      <c r="E55" s="167">
        <f>'Asotin Pgs 10-11'!E55+'Adams Pgs 8-9'!E55+'Benton-Franklin Pgs 12-13'!E55+'Chelan-Douglas Pgs 14-15'!E55+'Clallam Pgs 16-17'!E55+'Clark Pgs 18-19'!E55+'Columbia Pgs 20-21'!E55+'Cowlitz Pgs 22-23'!E55+'Garfield Pgs 24-25'!E55+'Grant Pgs 26-27'!E55+'Grays Harbor Pgs 28-29'!E55+'Island Pgs 30-31'!E55+'Jefferson Pgs 32-33'!E55+'Kitsap Pgs 34-35'!E55+'Kittitas Pgs 36-37'!E55+'Klickitat Pgs 38-39'!E55+'Lewis Pgs 40-41'!E55+'Lincoln Pgs 42-43'!E55+'Mason Pgs 44-45'!E55+'Northeast Tri Pgs 46-47'!E55+'Okanogan Pgs 48-49'!E55+'Pacific Pgs 50-51'!E55+'San Juan Pgs 52-53'!E55+'Seattle-King Pgs 54-55'!E55+'Skagit Pgs 56-57'!E55+'Skamania Pgs 58-59'!E55+'Snohomish Pgs 60-61'!E55+'Spokane Pgs 62-63'!E55+'Tacoma-Pierce Pgs 64-65'!E55+'Thurston Pgs 66-67'!E55+'Wahkiakum Pgs 68-69'!E55+'Walla Walla Pgs 70-71'!E55+'Whatcom Pgs 72-73'!E55+'Whitman Pgs 74-75'!E55+'Yakima Pgs 76-77'!E55</f>
        <v>63415</v>
      </c>
      <c r="F55" s="19">
        <f>'Asotin Pgs 10-11'!F55+'Adams Pgs 8-9'!F55+'Benton-Franklin Pgs 12-13'!F55+'Chelan-Douglas Pgs 14-15'!F55+'Clallam Pgs 16-17'!F55+'Clark Pgs 18-19'!F55+'Columbia Pgs 20-21'!F55+'Cowlitz Pgs 22-23'!F55+'Garfield Pgs 24-25'!F55+'Grant Pgs 26-27'!F55+'Grays Harbor Pgs 28-29'!F55+'Island Pgs 30-31'!F55+'Jefferson Pgs 32-33'!F55+'Kitsap Pgs 34-35'!F55+'Kittitas Pgs 36-37'!F55+'Klickitat Pgs 38-39'!F55+'Lewis Pgs 40-41'!F55+'Lincoln Pgs 42-43'!F55+'Mason Pgs 44-45'!F55+'Northeast Tri Pgs 46-47'!F55+'Okanogan Pgs 48-49'!F55+'Pacific Pgs 50-51'!F55+'San Juan Pgs 52-53'!F55+'Seattle-King Pgs 54-55'!F55+'Skagit Pgs 56-57'!F55+'Skamania Pgs 58-59'!F55+'Snohomish Pgs 60-61'!F55+'Spokane Pgs 62-63'!F55+'Tacoma-Pierce Pgs 64-65'!F55+'Thurston Pgs 66-67'!F55+'Wahkiakum Pgs 68-69'!F55+'Walla Walla Pgs 70-71'!F55+'Whatcom Pgs 72-73'!F55+'Whitman Pgs 74-75'!F55+'Yakima Pgs 76-77'!F55</f>
        <v>0</v>
      </c>
      <c r="G55" s="10">
        <f>'Asotin Pgs 10-11'!G55+'Adams Pgs 8-9'!G55+'Benton-Franklin Pgs 12-13'!G55+'Chelan-Douglas Pgs 14-15'!G55+'Clallam Pgs 16-17'!G55+'Clark Pgs 18-19'!G55+'Columbia Pgs 20-21'!G55+'Cowlitz Pgs 22-23'!G55+'Garfield Pgs 24-25'!G55+'Grant Pgs 26-27'!G55+'Grays Harbor Pgs 28-29'!G55+'Island Pgs 30-31'!G55+'Jefferson Pgs 32-33'!G55+'Kitsap Pgs 34-35'!G55+'Kittitas Pgs 36-37'!G55+'Klickitat Pgs 38-39'!G55+'Lewis Pgs 40-41'!G55+'Lincoln Pgs 42-43'!G55+'Mason Pgs 44-45'!G55+'Northeast Tri Pgs 46-47'!G55+'Okanogan Pgs 48-49'!G55+'Pacific Pgs 50-51'!G55+'San Juan Pgs 52-53'!G55+'Seattle-King Pgs 54-55'!G55+'Skagit Pgs 56-57'!G55+'Skamania Pgs 58-59'!G55+'Snohomish Pgs 60-61'!G55+'Spokane Pgs 62-63'!G55+'Tacoma-Pierce Pgs 64-65'!G55+'Thurston Pgs 66-67'!G55+'Wahkiakum Pgs 68-69'!G55+'Walla Walla Pgs 70-71'!G55+'Whatcom Pgs 72-73'!G55+'Whitman Pgs 74-75'!G55+'Yakima Pgs 76-77'!G55</f>
        <v>3134244.01</v>
      </c>
      <c r="H55" s="18">
        <f>'Asotin Pgs 10-11'!H55+'Adams Pgs 8-9'!H55+'Benton-Franklin Pgs 12-13'!H55+'Chelan-Douglas Pgs 14-15'!H55+'Clallam Pgs 16-17'!H55+'Clark Pgs 18-19'!H55+'Columbia Pgs 20-21'!H55+'Cowlitz Pgs 22-23'!H55+'Garfield Pgs 24-25'!H55+'Grant Pgs 26-27'!H55+'Grays Harbor Pgs 28-29'!H55+'Island Pgs 30-31'!H55+'Jefferson Pgs 32-33'!H55+'Kitsap Pgs 34-35'!H55+'Kittitas Pgs 36-37'!H55+'Klickitat Pgs 38-39'!H55+'Lewis Pgs 40-41'!H55+'Lincoln Pgs 42-43'!H55+'Mason Pgs 44-45'!H55+'Northeast Tri Pgs 46-47'!H55+'Okanogan Pgs 48-49'!H55+'Pacific Pgs 50-51'!H55+'San Juan Pgs 52-53'!H55+'Seattle-King Pgs 54-55'!H55+'Skagit Pgs 56-57'!H55+'Skamania Pgs 58-59'!H55+'Snohomish Pgs 60-61'!H55+'Spokane Pgs 62-63'!H55+'Tacoma-Pierce Pgs 64-65'!H55+'Thurston Pgs 66-67'!H55+'Wahkiakum Pgs 68-69'!H55+'Walla Walla Pgs 70-71'!H55+'Whatcom Pgs 72-73'!H55+'Whitman Pgs 74-75'!H55+'Yakima Pgs 76-77'!H55</f>
        <v>837668</v>
      </c>
      <c r="I55" s="10">
        <f>'Asotin Pgs 10-11'!I55+'Adams Pgs 8-9'!I55+'Benton-Franklin Pgs 12-13'!I55+'Chelan-Douglas Pgs 14-15'!I55+'Clallam Pgs 16-17'!I55+'Clark Pgs 18-19'!I55+'Columbia Pgs 20-21'!I55+'Cowlitz Pgs 22-23'!I55+'Garfield Pgs 24-25'!I55+'Grant Pgs 26-27'!I55+'Grays Harbor Pgs 28-29'!I55+'Island Pgs 30-31'!I55+'Jefferson Pgs 32-33'!I55+'Kitsap Pgs 34-35'!I55+'Kittitas Pgs 36-37'!I55+'Klickitat Pgs 38-39'!I55+'Lewis Pgs 40-41'!I55+'Lincoln Pgs 42-43'!I55+'Mason Pgs 44-45'!I55+'Northeast Tri Pgs 46-47'!I55+'Okanogan Pgs 48-49'!I55+'Pacific Pgs 50-51'!I55+'San Juan Pgs 52-53'!I55+'Seattle-King Pgs 54-55'!I55+'Skagit Pgs 56-57'!I55+'Skamania Pgs 58-59'!I55+'Snohomish Pgs 60-61'!I55+'Spokane Pgs 62-63'!I55+'Tacoma-Pierce Pgs 64-65'!I55+'Thurston Pgs 66-67'!I55+'Wahkiakum Pgs 68-69'!I55+'Walla Walla Pgs 70-71'!I55+'Whatcom Pgs 72-73'!I55+'Whitman Pgs 74-75'!I55+'Yakima Pgs 76-77'!I55</f>
        <v>786879</v>
      </c>
      <c r="J55" s="18">
        <f>'Asotin Pgs 10-11'!M55+'Adams Pgs 8-9'!M55+'Benton-Franklin Pgs 12-13'!M55+'Chelan-Douglas Pgs 14-15'!M55+'Clallam Pgs 16-17'!M55+'Clark Pgs 18-19'!M55+'Columbia Pgs 20-21'!M55+'Cowlitz Pgs 22-23'!M55+'Garfield Pgs 24-25'!M55+'Grant Pgs 26-27'!M55+'Grays Harbor Pgs 28-29'!M55+'Island Pgs 30-31'!M55+'Jefferson Pgs 32-33'!M55+'Kitsap Pgs 34-35'!M55+'Kittitas Pgs 36-37'!M55+'Klickitat Pgs 38-39'!M55+'Lewis Pgs 40-41'!M55+'Lincoln Pgs 42-43'!M55+'Mason Pgs 44-45'!M55+'Northeast Tri Pgs 46-47'!M55+'Okanogan Pgs 48-49'!M55+'Pacific Pgs 50-51'!M55+'San Juan Pgs 52-53'!M55+'Seattle-King Pgs 54-55'!M55+'Skagit Pgs 56-57'!M55+'Skamania Pgs 58-59'!M55+'Snohomish Pgs 60-61'!M55+'Spokane Pgs 62-63'!M55+'Tacoma-Pierce Pgs 64-65'!M55+'Thurston Pgs 66-67'!M55+'Wahkiakum Pgs 68-69'!M55+'Walla Walla Pgs 70-71'!M55+'Whatcom Pgs 72-73'!M55+'Whitman Pgs 74-75'!M55+'Yakima Pgs 76-77'!M55</f>
        <v>697519</v>
      </c>
      <c r="K55" s="10">
        <f>'Asotin Pgs 10-11'!Q55+'Adams Pgs 8-9'!Q55+'Benton-Franklin Pgs 12-13'!Q55+'Chelan-Douglas Pgs 14-15'!Q55+'Clallam Pgs 16-17'!Q55+'Clark Pgs 18-19'!Q55+'Columbia Pgs 20-21'!Q55+'Cowlitz Pgs 22-23'!Q55+'Garfield Pgs 24-25'!Q55+'Grant Pgs 26-27'!Q55+'Grays Harbor Pgs 28-29'!Q55+'Island Pgs 30-31'!Q55+'Jefferson Pgs 32-33'!Q55+'Kitsap Pgs 34-35'!Q55+'Kittitas Pgs 36-37'!Q55+'Klickitat Pgs 38-39'!Q55+'Lewis Pgs 40-41'!Q55+'Lincoln Pgs 42-43'!Q55+'Mason Pgs 44-45'!Q55+'Northeast Tri Pgs 46-47'!Q55+'Okanogan Pgs 48-49'!Q55+'Pacific Pgs 50-51'!Q55+'San Juan Pgs 52-53'!Q55+'Seattle-King Pgs 54-55'!Q55+'Skagit Pgs 56-57'!Q55+'Skamania Pgs 58-59'!Q55+'Snohomish Pgs 60-61'!Q55+'Spokane Pgs 62-63'!Q55+'Tacoma-Pierce Pgs 64-65'!Q55+'Thurston Pgs 66-67'!Q55+'Wahkiakum Pgs 68-69'!Q55+'Walla Walla Pgs 70-71'!Q55+'Whatcom Pgs 72-73'!Q55+'Whitman Pgs 74-75'!Q55+'Yakima Pgs 76-77'!Q55</f>
        <v>1797404</v>
      </c>
      <c r="L55" s="18">
        <f>'Asotin Pgs 10-11'!R55+'Adams Pgs 8-9'!R55+'Benton-Franklin Pgs 12-13'!R55+'Chelan-Douglas Pgs 14-15'!R55+'Clallam Pgs 16-17'!R55+'Clark Pgs 18-19'!R55+'Columbia Pgs 20-21'!R55+'Cowlitz Pgs 22-23'!R55+'Garfield Pgs 24-25'!R55+'Grant Pgs 26-27'!R55+'Grays Harbor Pgs 28-29'!R55+'Island Pgs 30-31'!R55+'Jefferson Pgs 32-33'!R55+'Kitsap Pgs 34-35'!R55+'Kittitas Pgs 36-37'!R55+'Klickitat Pgs 38-39'!R55+'Lewis Pgs 40-41'!R55+'Lincoln Pgs 42-43'!R55+'Mason Pgs 44-45'!R55+'Northeast Tri Pgs 46-47'!R55+'Okanogan Pgs 48-49'!R55+'Pacific Pgs 50-51'!R55+'San Juan Pgs 52-53'!R55+'Seattle-King Pgs 54-55'!R55+'Skagit Pgs 56-57'!R55+'Skamania Pgs 58-59'!R55+'Snohomish Pgs 60-61'!R55+'Spokane Pgs 62-63'!R55+'Tacoma-Pierce Pgs 64-65'!R55+'Thurston Pgs 66-67'!R55+'Wahkiakum Pgs 68-69'!R55+'Walla Walla Pgs 70-71'!R55+'Whatcom Pgs 72-73'!R55+'Whitman Pgs 74-75'!R55+'Yakima Pgs 76-77'!R55</f>
        <v>259658</v>
      </c>
    </row>
    <row r="56" spans="1:12" ht="15" thickBot="1" x14ac:dyDescent="0.35">
      <c r="A56" s="107"/>
      <c r="B56" s="108" t="s">
        <v>80</v>
      </c>
      <c r="C56" s="111">
        <f>SUM(C44:C55)</f>
        <v>407304749.54000002</v>
      </c>
      <c r="D56" s="111">
        <f>SUM(D44:D55)</f>
        <v>400468152.04000002</v>
      </c>
      <c r="E56" s="111">
        <f t="shared" ref="E56:L56" si="1">SUM(E44:E55)</f>
        <v>9564361.5199999996</v>
      </c>
      <c r="F56" s="112">
        <f t="shared" si="1"/>
        <v>35395640.719999999</v>
      </c>
      <c r="G56" s="113">
        <f t="shared" si="1"/>
        <v>20255195.229999997</v>
      </c>
      <c r="H56" s="111">
        <f t="shared" si="1"/>
        <v>48262765.93</v>
      </c>
      <c r="I56" s="114">
        <f t="shared" si="1"/>
        <v>29476556.23</v>
      </c>
      <c r="J56" s="109">
        <f t="shared" si="1"/>
        <v>83235556.960000008</v>
      </c>
      <c r="K56" s="131">
        <f t="shared" si="1"/>
        <v>137436691.66000003</v>
      </c>
      <c r="L56" s="111">
        <f t="shared" si="1"/>
        <v>36841383.789999999</v>
      </c>
    </row>
    <row r="57" spans="1:12" ht="15" thickTop="1" x14ac:dyDescent="0.3"/>
    <row r="58" spans="1:12" ht="15" thickBot="1" x14ac:dyDescent="0.35"/>
    <row r="59" spans="1:12" ht="15" thickBot="1" x14ac:dyDescent="0.35">
      <c r="B59" s="42" t="s">
        <v>109</v>
      </c>
      <c r="C59" s="43"/>
      <c r="D59" s="44"/>
    </row>
    <row r="60" spans="1:12" ht="15" thickTop="1" x14ac:dyDescent="0.3">
      <c r="B60" s="115"/>
      <c r="C60" s="116" t="s">
        <v>82</v>
      </c>
      <c r="D60" s="117" t="s">
        <v>78</v>
      </c>
    </row>
    <row r="61" spans="1:12" x14ac:dyDescent="0.3">
      <c r="B61" s="153" t="s">
        <v>108</v>
      </c>
      <c r="C61" s="45"/>
      <c r="D61" s="46"/>
    </row>
    <row r="62" spans="1:12" x14ac:dyDescent="0.3">
      <c r="B62" s="139" t="s">
        <v>3</v>
      </c>
      <c r="C62" s="140">
        <f>E56</f>
        <v>9564361.5199999996</v>
      </c>
      <c r="D62" s="48">
        <f>E56/D56</f>
        <v>2.3882951668637763E-2</v>
      </c>
    </row>
    <row r="63" spans="1:12" x14ac:dyDescent="0.3">
      <c r="B63" s="139" t="s">
        <v>4</v>
      </c>
      <c r="C63" s="49">
        <f>F56</f>
        <v>35395640.719999999</v>
      </c>
      <c r="D63" s="48">
        <f>F56/D56</f>
        <v>8.8385656985938227E-2</v>
      </c>
    </row>
    <row r="64" spans="1:12" x14ac:dyDescent="0.3">
      <c r="B64" s="138" t="s">
        <v>79</v>
      </c>
      <c r="C64" s="50">
        <f>G56</f>
        <v>20255195.229999997</v>
      </c>
      <c r="D64" s="51">
        <f>G56/D56</f>
        <v>5.0578791663754688E-2</v>
      </c>
    </row>
    <row r="65" spans="2:4" ht="15" thickBot="1" x14ac:dyDescent="0.35">
      <c r="B65" s="146" t="s">
        <v>115</v>
      </c>
      <c r="C65" s="52">
        <f>SUM(C62:C64)</f>
        <v>65215197.469999991</v>
      </c>
      <c r="D65" s="53">
        <f>SUM(D62:D64)</f>
        <v>0.16284740031833067</v>
      </c>
    </row>
    <row r="66" spans="2:4" x14ac:dyDescent="0.3">
      <c r="B66" s="154" t="s">
        <v>107</v>
      </c>
      <c r="C66" s="29"/>
      <c r="D66" s="30"/>
    </row>
    <row r="67" spans="2:4" x14ac:dyDescent="0.3">
      <c r="B67" s="136" t="s">
        <v>6</v>
      </c>
      <c r="C67" s="23">
        <f>H56</f>
        <v>48262765.93</v>
      </c>
      <c r="D67" s="25">
        <f>H56/D56</f>
        <v>0.12051586545433796</v>
      </c>
    </row>
    <row r="68" spans="2:4" x14ac:dyDescent="0.3">
      <c r="B68" s="137" t="s">
        <v>7</v>
      </c>
      <c r="C68" s="27">
        <f>I56</f>
        <v>29476556.23</v>
      </c>
      <c r="D68" s="28">
        <f>I56/D56</f>
        <v>7.3605244461626473E-2</v>
      </c>
    </row>
    <row r="69" spans="2:4" ht="15" thickBot="1" x14ac:dyDescent="0.35">
      <c r="B69" s="146" t="s">
        <v>116</v>
      </c>
      <c r="C69" s="52">
        <f>SUM(C67:C68)</f>
        <v>77739322.159999996</v>
      </c>
      <c r="D69" s="53">
        <f>SUM(D67:D68)</f>
        <v>0.19412110991596443</v>
      </c>
    </row>
    <row r="70" spans="2:4" x14ac:dyDescent="0.3">
      <c r="B70" s="154" t="s">
        <v>106</v>
      </c>
      <c r="C70" s="54"/>
      <c r="D70" s="55"/>
    </row>
    <row r="71" spans="2:4" x14ac:dyDescent="0.3">
      <c r="B71" s="136" t="s">
        <v>103</v>
      </c>
      <c r="C71" s="23">
        <f>J56</f>
        <v>83235556.960000008</v>
      </c>
      <c r="D71" s="25">
        <f>J56/D56</f>
        <v>0.20784563400608741</v>
      </c>
    </row>
    <row r="72" spans="2:4" x14ac:dyDescent="0.3">
      <c r="B72" s="136" t="s">
        <v>8</v>
      </c>
      <c r="C72" s="23">
        <f>K56</f>
        <v>137436691.66000003</v>
      </c>
      <c r="D72" s="25">
        <f>K56/D56</f>
        <v>0.34319006632585458</v>
      </c>
    </row>
    <row r="73" spans="2:4" x14ac:dyDescent="0.3">
      <c r="B73" s="162" t="s">
        <v>83</v>
      </c>
      <c r="C73" s="27">
        <f>L56</f>
        <v>36841383.789999999</v>
      </c>
      <c r="D73" s="28">
        <f>L56/D56</f>
        <v>9.1995789433762923E-2</v>
      </c>
    </row>
    <row r="74" spans="2:4" ht="15" thickBot="1" x14ac:dyDescent="0.35">
      <c r="B74" s="146" t="s">
        <v>117</v>
      </c>
      <c r="C74" s="52">
        <f>SUM(C71:C73)</f>
        <v>257513632.41000003</v>
      </c>
      <c r="D74" s="53">
        <f>SUM(D71:D73)</f>
        <v>0.6430314897657049</v>
      </c>
    </row>
    <row r="75" spans="2:4" ht="15" thickBot="1" x14ac:dyDescent="0.35">
      <c r="B75" s="157" t="s">
        <v>80</v>
      </c>
      <c r="C75" s="158">
        <f>C65+C69+C74</f>
        <v>400468152.04000002</v>
      </c>
      <c r="D75" s="159">
        <f>D65+D69+D74</f>
        <v>1</v>
      </c>
    </row>
    <row r="86" spans="12:12" x14ac:dyDescent="0.3">
      <c r="L86" s="78"/>
    </row>
    <row r="87" spans="12:12" x14ac:dyDescent="0.3">
      <c r="L87" s="78"/>
    </row>
    <row r="88" spans="12:12" x14ac:dyDescent="0.3">
      <c r="L88" s="78"/>
    </row>
  </sheetData>
  <mergeCells count="3">
    <mergeCell ref="E3:G3"/>
    <mergeCell ref="H3:I3"/>
    <mergeCell ref="J3:K3"/>
  </mergeCells>
  <conditionalFormatting sqref="A55:B55 A46:B53 C46:L55 A5:L45">
    <cfRule type="expression" dxfId="185" priority="2">
      <formula>ROW()=EVEN(ROW())</formula>
    </cfRule>
  </conditionalFormatting>
  <conditionalFormatting sqref="A54:B54">
    <cfRule type="expression" dxfId="184" priority="1">
      <formula>ROW()=EVEN(ROW())</formula>
    </cfRule>
  </conditionalFormatting>
  <printOptions horizontalCentered="1"/>
  <pageMargins left="0" right="0" top="1.25" bottom="0.65" header="0.3" footer="0.3"/>
  <pageSetup scale="68" fitToHeight="2" orientation="landscape" r:id="rId1"/>
  <headerFooter>
    <oddHeader>&amp;C&amp;"-,Bold"&amp;20Funding by Expenditure Code and Revenue Source&amp;"-,Regular"&amp;11
&amp;"-,Bold"&amp;20 2014&amp;"-,Regular"&amp;11
&amp;"-,Bold"&amp;20All Local Health Jurisdictions</oddHeader>
    <oddFooter>&amp;CPage &amp;P&amp;RSOURCE:  BARS A Reports
Compiled by DOH</oddFooter>
  </headerFooter>
  <rowBreaks count="1" manualBreakCount="1">
    <brk id="44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8"/>
  <sheetViews>
    <sheetView showZeros="0" topLeftCell="A61" zoomScaleNormal="100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8.88671875" style="199" customWidth="1"/>
    <col min="20" max="20" width="8.88671875" style="200" customWidth="1"/>
  </cols>
  <sheetData>
    <row r="1" spans="1:20" x14ac:dyDescent="0.3">
      <c r="A1" s="22" t="s">
        <v>150</v>
      </c>
      <c r="B1" s="6"/>
      <c r="C1" s="31">
        <v>19400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0" x14ac:dyDescent="0.3">
      <c r="A2" s="80" t="s">
        <v>44</v>
      </c>
      <c r="B2" s="5"/>
      <c r="C2" s="83">
        <v>8.75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145</v>
      </c>
    </row>
    <row r="3" spans="1:20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0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3" t="s">
        <v>124</v>
      </c>
      <c r="O4" s="243" t="s">
        <v>129</v>
      </c>
      <c r="P4" s="243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</row>
    <row r="5" spans="1:20" x14ac:dyDescent="0.3">
      <c r="A5" s="36">
        <v>562.1</v>
      </c>
      <c r="B5" s="37" t="s">
        <v>47</v>
      </c>
      <c r="C5" s="16">
        <v>172262</v>
      </c>
      <c r="D5" s="14">
        <f>E5+F5+G5+H5+I5+M5+Q5+R5</f>
        <v>172262</v>
      </c>
      <c r="E5" s="231"/>
      <c r="F5" s="257">
        <v>79627</v>
      </c>
      <c r="G5" s="219"/>
      <c r="H5" s="231">
        <v>18068</v>
      </c>
      <c r="I5" s="219">
        <v>0</v>
      </c>
      <c r="J5" s="217">
        <v>62076</v>
      </c>
      <c r="K5" s="217"/>
      <c r="L5" s="217">
        <v>0</v>
      </c>
      <c r="M5" s="15">
        <f>SUM(J5:L5)</f>
        <v>62076</v>
      </c>
      <c r="N5" s="217"/>
      <c r="O5" s="217">
        <v>11774</v>
      </c>
      <c r="P5" s="217">
        <v>0</v>
      </c>
      <c r="Q5" s="219">
        <f>SUM(N5:P5)</f>
        <v>11774</v>
      </c>
      <c r="R5" s="231">
        <v>717</v>
      </c>
      <c r="S5" s="199">
        <v>369.9</v>
      </c>
      <c r="T5" s="200">
        <v>717</v>
      </c>
    </row>
    <row r="6" spans="1:20" x14ac:dyDescent="0.3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19"/>
      <c r="H6" s="231"/>
      <c r="I6" s="219"/>
      <c r="J6" s="217"/>
      <c r="K6" s="217"/>
      <c r="L6" s="217">
        <v>0</v>
      </c>
      <c r="M6" s="15">
        <f t="shared" ref="M6:M55" si="0">SUM(J6:L6)</f>
        <v>0</v>
      </c>
      <c r="N6" s="217"/>
      <c r="O6" s="217"/>
      <c r="P6" s="217">
        <v>0</v>
      </c>
      <c r="Q6" s="219">
        <f t="shared" ref="Q6:Q55" si="1">SUM(N6:P6)</f>
        <v>0</v>
      </c>
      <c r="R6" s="231"/>
    </row>
    <row r="7" spans="1:20" x14ac:dyDescent="0.3">
      <c r="A7" s="39">
        <v>562.22</v>
      </c>
      <c r="B7" s="82" t="s">
        <v>92</v>
      </c>
      <c r="C7" s="15">
        <v>15123</v>
      </c>
      <c r="D7" s="14">
        <f t="shared" ref="D7:D55" si="2">E7+F7+G7+H7+I7+M7+Q7+R7</f>
        <v>90</v>
      </c>
      <c r="E7" s="231"/>
      <c r="F7" s="257"/>
      <c r="G7" s="219"/>
      <c r="H7" s="231"/>
      <c r="I7" s="219"/>
      <c r="J7" s="217"/>
      <c r="K7" s="217"/>
      <c r="L7" s="217">
        <v>0</v>
      </c>
      <c r="M7" s="15">
        <f t="shared" si="0"/>
        <v>0</v>
      </c>
      <c r="N7" s="217"/>
      <c r="O7" s="217">
        <v>90</v>
      </c>
      <c r="P7" s="217">
        <v>0</v>
      </c>
      <c r="Q7" s="219">
        <f t="shared" si="1"/>
        <v>90</v>
      </c>
      <c r="R7" s="231"/>
    </row>
    <row r="8" spans="1:20" x14ac:dyDescent="0.3">
      <c r="A8" s="39">
        <v>562.24</v>
      </c>
      <c r="B8" s="40" t="s">
        <v>49</v>
      </c>
      <c r="C8" s="15">
        <v>18248</v>
      </c>
      <c r="D8" s="14">
        <f>E8+F8+G8+I8+M8+Q8+R8</f>
        <v>19630</v>
      </c>
      <c r="E8" s="231">
        <v>0</v>
      </c>
      <c r="F8" s="257"/>
      <c r="G8" s="219">
        <v>0</v>
      </c>
      <c r="H8" s="264"/>
      <c r="I8" s="231">
        <v>19600</v>
      </c>
      <c r="J8" s="217"/>
      <c r="K8" s="217"/>
      <c r="L8" s="217"/>
      <c r="M8" s="15">
        <f t="shared" si="0"/>
        <v>0</v>
      </c>
      <c r="N8" s="217"/>
      <c r="O8" s="217">
        <v>30</v>
      </c>
      <c r="P8" s="217"/>
      <c r="Q8" s="219">
        <f t="shared" si="1"/>
        <v>30</v>
      </c>
      <c r="R8" s="231"/>
    </row>
    <row r="9" spans="1:20" x14ac:dyDescent="0.3">
      <c r="A9" s="39">
        <v>562.25</v>
      </c>
      <c r="B9" s="82" t="s">
        <v>93</v>
      </c>
      <c r="C9" s="15">
        <v>54135</v>
      </c>
      <c r="D9" s="14">
        <f t="shared" si="2"/>
        <v>61398</v>
      </c>
      <c r="E9" s="231"/>
      <c r="F9" s="257"/>
      <c r="G9" s="219"/>
      <c r="H9" s="231">
        <v>61048</v>
      </c>
      <c r="I9" s="219"/>
      <c r="J9" s="217"/>
      <c r="K9" s="217"/>
      <c r="L9" s="217"/>
      <c r="M9" s="15">
        <f t="shared" si="0"/>
        <v>0</v>
      </c>
      <c r="N9" s="217"/>
      <c r="O9" s="217"/>
      <c r="P9" s="217"/>
      <c r="Q9" s="219">
        <f t="shared" si="1"/>
        <v>0</v>
      </c>
      <c r="R9" s="231">
        <v>350</v>
      </c>
      <c r="S9" s="199">
        <v>367</v>
      </c>
      <c r="T9" s="200">
        <v>350</v>
      </c>
    </row>
    <row r="10" spans="1:20" x14ac:dyDescent="0.3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19"/>
      <c r="H10" s="231"/>
      <c r="I10" s="219"/>
      <c r="J10" s="217"/>
      <c r="K10" s="217"/>
      <c r="L10" s="217"/>
      <c r="M10" s="15">
        <f t="shared" si="0"/>
        <v>0</v>
      </c>
      <c r="N10" s="217"/>
      <c r="O10" s="217"/>
      <c r="P10" s="217"/>
      <c r="Q10" s="219">
        <f t="shared" si="1"/>
        <v>0</v>
      </c>
      <c r="R10" s="231"/>
    </row>
    <row r="11" spans="1:20" x14ac:dyDescent="0.3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19"/>
      <c r="H11" s="231"/>
      <c r="I11" s="219"/>
      <c r="J11" s="217"/>
      <c r="K11" s="217"/>
      <c r="L11" s="217"/>
      <c r="M11" s="15">
        <f t="shared" si="0"/>
        <v>0</v>
      </c>
      <c r="N11" s="217"/>
      <c r="O11" s="217"/>
      <c r="P11" s="217"/>
      <c r="Q11" s="219">
        <f t="shared" si="1"/>
        <v>0</v>
      </c>
      <c r="R11" s="231"/>
    </row>
    <row r="12" spans="1:20" x14ac:dyDescent="0.3">
      <c r="A12" s="39">
        <v>562.28</v>
      </c>
      <c r="B12" s="82" t="s">
        <v>94</v>
      </c>
      <c r="C12" s="15">
        <v>107957</v>
      </c>
      <c r="D12" s="14">
        <f t="shared" si="2"/>
        <v>80845</v>
      </c>
      <c r="E12" s="231"/>
      <c r="F12" s="257"/>
      <c r="G12" s="219"/>
      <c r="H12" s="231">
        <v>80587</v>
      </c>
      <c r="I12" s="219">
        <v>258</v>
      </c>
      <c r="J12" s="217">
        <v>0</v>
      </c>
      <c r="K12" s="217"/>
      <c r="L12" s="217"/>
      <c r="M12" s="15">
        <f t="shared" si="0"/>
        <v>0</v>
      </c>
      <c r="N12" s="217"/>
      <c r="O12" s="217"/>
      <c r="P12" s="217"/>
      <c r="Q12" s="219">
        <f t="shared" si="1"/>
        <v>0</v>
      </c>
      <c r="R12" s="231"/>
    </row>
    <row r="13" spans="1:20" x14ac:dyDescent="0.3">
      <c r="A13" s="39">
        <v>562.29</v>
      </c>
      <c r="B13" s="82" t="s">
        <v>86</v>
      </c>
      <c r="C13" s="15">
        <v>2945</v>
      </c>
      <c r="D13" s="14">
        <f t="shared" si="2"/>
        <v>2671</v>
      </c>
      <c r="E13" s="231"/>
      <c r="F13" s="257"/>
      <c r="G13" s="219"/>
      <c r="H13" s="231">
        <v>325</v>
      </c>
      <c r="I13" s="219">
        <v>1221</v>
      </c>
      <c r="J13" s="217">
        <v>0</v>
      </c>
      <c r="K13" s="217"/>
      <c r="L13" s="217"/>
      <c r="M13" s="15">
        <f t="shared" si="0"/>
        <v>0</v>
      </c>
      <c r="N13" s="217"/>
      <c r="O13" s="217">
        <v>1125</v>
      </c>
      <c r="P13" s="217"/>
      <c r="Q13" s="219">
        <f t="shared" si="1"/>
        <v>1125</v>
      </c>
      <c r="R13" s="231"/>
    </row>
    <row r="14" spans="1:20" x14ac:dyDescent="0.3">
      <c r="A14" s="39">
        <v>562.32000000000005</v>
      </c>
      <c r="B14" s="40" t="s">
        <v>50</v>
      </c>
      <c r="C14" s="15">
        <v>103159</v>
      </c>
      <c r="D14" s="14">
        <f t="shared" si="2"/>
        <v>84698</v>
      </c>
      <c r="E14" s="231"/>
      <c r="F14" s="277">
        <v>2575</v>
      </c>
      <c r="G14" s="272"/>
      <c r="H14" s="231">
        <f>8454+255+1768+622+8721</f>
        <v>19820</v>
      </c>
      <c r="I14" s="219"/>
      <c r="J14" s="217">
        <v>53152</v>
      </c>
      <c r="K14" s="217"/>
      <c r="L14" s="217"/>
      <c r="M14" s="15">
        <f t="shared" si="0"/>
        <v>53152</v>
      </c>
      <c r="N14" s="217"/>
      <c r="O14" s="217">
        <f>6019+3132</f>
        <v>9151</v>
      </c>
      <c r="P14" s="217"/>
      <c r="Q14" s="219">
        <f t="shared" si="1"/>
        <v>9151</v>
      </c>
      <c r="R14" s="231"/>
    </row>
    <row r="15" spans="1:20" x14ac:dyDescent="0.3">
      <c r="A15" s="39">
        <v>562.33000000000004</v>
      </c>
      <c r="B15" s="82" t="s">
        <v>95</v>
      </c>
      <c r="C15" s="15"/>
      <c r="D15" s="14">
        <f t="shared" si="2"/>
        <v>0</v>
      </c>
      <c r="E15" s="231"/>
      <c r="F15" s="276"/>
      <c r="G15" s="219"/>
      <c r="H15" s="231"/>
      <c r="I15" s="219"/>
      <c r="J15" s="217"/>
      <c r="K15" s="217"/>
      <c r="L15" s="217"/>
      <c r="M15" s="15">
        <f t="shared" si="0"/>
        <v>0</v>
      </c>
      <c r="N15" s="217"/>
      <c r="O15" s="217"/>
      <c r="P15" s="217"/>
      <c r="Q15" s="219">
        <f t="shared" si="1"/>
        <v>0</v>
      </c>
      <c r="R15" s="231"/>
    </row>
    <row r="16" spans="1:20" x14ac:dyDescent="0.3">
      <c r="A16" s="39">
        <v>562.34</v>
      </c>
      <c r="B16" s="40" t="s">
        <v>51</v>
      </c>
      <c r="C16" s="15">
        <v>8957</v>
      </c>
      <c r="D16" s="14">
        <f t="shared" si="2"/>
        <v>902</v>
      </c>
      <c r="E16" s="231"/>
      <c r="F16" s="276"/>
      <c r="G16" s="219"/>
      <c r="H16" s="231"/>
      <c r="I16" s="219"/>
      <c r="J16" s="217"/>
      <c r="K16" s="217"/>
      <c r="L16" s="217"/>
      <c r="M16" s="15">
        <f t="shared" si="0"/>
        <v>0</v>
      </c>
      <c r="N16" s="217"/>
      <c r="O16" s="217">
        <v>901</v>
      </c>
      <c r="P16" s="217"/>
      <c r="Q16" s="219">
        <f t="shared" si="1"/>
        <v>901</v>
      </c>
      <c r="R16" s="231">
        <v>1</v>
      </c>
      <c r="S16" s="199">
        <v>361.11</v>
      </c>
      <c r="T16" s="201">
        <v>1</v>
      </c>
    </row>
    <row r="17" spans="1:18" x14ac:dyDescent="0.3">
      <c r="A17" s="39">
        <v>562.35</v>
      </c>
      <c r="B17" s="40" t="s">
        <v>52</v>
      </c>
      <c r="C17" s="15"/>
      <c r="D17" s="14">
        <f t="shared" si="2"/>
        <v>0</v>
      </c>
      <c r="E17" s="231"/>
      <c r="F17" s="276"/>
      <c r="G17" s="219"/>
      <c r="H17" s="231"/>
      <c r="I17" s="219"/>
      <c r="J17" s="217"/>
      <c r="K17" s="217"/>
      <c r="L17" s="217"/>
      <c r="M17" s="15">
        <f t="shared" si="0"/>
        <v>0</v>
      </c>
      <c r="N17" s="217"/>
      <c r="O17" s="217"/>
      <c r="P17" s="217"/>
      <c r="Q17" s="219">
        <f t="shared" si="1"/>
        <v>0</v>
      </c>
      <c r="R17" s="231"/>
    </row>
    <row r="18" spans="1:18" x14ac:dyDescent="0.3">
      <c r="A18" s="39">
        <v>562.39</v>
      </c>
      <c r="B18" s="40" t="s">
        <v>53</v>
      </c>
      <c r="C18" s="15">
        <v>32088</v>
      </c>
      <c r="D18" s="14">
        <f t="shared" si="2"/>
        <v>32088</v>
      </c>
      <c r="E18" s="231"/>
      <c r="F18" s="276">
        <v>32088</v>
      </c>
      <c r="G18" s="273"/>
      <c r="H18" s="231"/>
      <c r="I18" s="219"/>
      <c r="J18" s="217"/>
      <c r="K18" s="217"/>
      <c r="L18" s="217"/>
      <c r="M18" s="15">
        <f t="shared" si="0"/>
        <v>0</v>
      </c>
      <c r="N18" s="217"/>
      <c r="O18" s="217"/>
      <c r="P18" s="217"/>
      <c r="Q18" s="219">
        <f t="shared" si="1"/>
        <v>0</v>
      </c>
      <c r="R18" s="231"/>
    </row>
    <row r="19" spans="1:18" x14ac:dyDescent="0.3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19"/>
      <c r="H19" s="231"/>
      <c r="I19" s="219"/>
      <c r="J19" s="217"/>
      <c r="K19" s="217"/>
      <c r="L19" s="217"/>
      <c r="M19" s="15">
        <f t="shared" si="0"/>
        <v>0</v>
      </c>
      <c r="N19" s="217"/>
      <c r="O19" s="217"/>
      <c r="P19" s="217"/>
      <c r="Q19" s="219">
        <f t="shared" si="1"/>
        <v>0</v>
      </c>
      <c r="R19" s="231"/>
    </row>
    <row r="20" spans="1:18" x14ac:dyDescent="0.3">
      <c r="A20" s="39">
        <v>562.41999999999996</v>
      </c>
      <c r="B20" s="40" t="s">
        <v>55</v>
      </c>
      <c r="C20" s="15">
        <v>6923</v>
      </c>
      <c r="D20" s="14">
        <f t="shared" si="2"/>
        <v>6923</v>
      </c>
      <c r="E20" s="231"/>
      <c r="F20" s="257">
        <v>6923</v>
      </c>
      <c r="G20" s="219"/>
      <c r="H20" s="231"/>
      <c r="I20" s="219">
        <v>0</v>
      </c>
      <c r="J20" s="217"/>
      <c r="K20" s="217"/>
      <c r="L20" s="217"/>
      <c r="M20" s="15">
        <f t="shared" si="0"/>
        <v>0</v>
      </c>
      <c r="N20" s="217"/>
      <c r="O20" s="217"/>
      <c r="P20" s="217"/>
      <c r="Q20" s="219">
        <f t="shared" si="1"/>
        <v>0</v>
      </c>
      <c r="R20" s="231"/>
    </row>
    <row r="21" spans="1:18" x14ac:dyDescent="0.3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19"/>
      <c r="H21" s="231"/>
      <c r="I21" s="219"/>
      <c r="J21" s="217"/>
      <c r="K21" s="217"/>
      <c r="L21" s="217"/>
      <c r="M21" s="15">
        <f t="shared" si="0"/>
        <v>0</v>
      </c>
      <c r="N21" s="217"/>
      <c r="O21" s="217"/>
      <c r="P21" s="217"/>
      <c r="Q21" s="219">
        <f t="shared" si="1"/>
        <v>0</v>
      </c>
      <c r="R21" s="231"/>
    </row>
    <row r="22" spans="1:18" x14ac:dyDescent="0.3">
      <c r="A22" s="39">
        <v>562.44000000000005</v>
      </c>
      <c r="B22" s="82" t="s">
        <v>97</v>
      </c>
      <c r="C22" s="15">
        <v>266</v>
      </c>
      <c r="D22" s="14">
        <f t="shared" si="2"/>
        <v>0</v>
      </c>
      <c r="E22" s="231">
        <v>0</v>
      </c>
      <c r="F22" s="257"/>
      <c r="G22" s="219"/>
      <c r="H22" s="231"/>
      <c r="I22" s="219"/>
      <c r="J22" s="217"/>
      <c r="K22" s="217"/>
      <c r="L22" s="217"/>
      <c r="M22" s="15">
        <f t="shared" si="0"/>
        <v>0</v>
      </c>
      <c r="N22" s="217"/>
      <c r="O22" s="217"/>
      <c r="P22" s="217"/>
      <c r="Q22" s="219">
        <f t="shared" si="1"/>
        <v>0</v>
      </c>
      <c r="R22" s="231"/>
    </row>
    <row r="23" spans="1:18" x14ac:dyDescent="0.3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19"/>
      <c r="H23" s="231"/>
      <c r="I23" s="219"/>
      <c r="J23" s="217"/>
      <c r="K23" s="217"/>
      <c r="L23" s="217"/>
      <c r="M23" s="15">
        <f t="shared" si="0"/>
        <v>0</v>
      </c>
      <c r="N23" s="217"/>
      <c r="O23" s="217"/>
      <c r="P23" s="217"/>
      <c r="Q23" s="219">
        <f t="shared" si="1"/>
        <v>0</v>
      </c>
      <c r="R23" s="231"/>
    </row>
    <row r="24" spans="1:18" x14ac:dyDescent="0.3">
      <c r="A24" s="39">
        <v>562.49</v>
      </c>
      <c r="B24" s="82" t="s">
        <v>87</v>
      </c>
      <c r="C24" s="15"/>
      <c r="D24" s="14">
        <f t="shared" si="2"/>
        <v>0</v>
      </c>
      <c r="E24" s="231"/>
      <c r="F24" s="257"/>
      <c r="G24" s="219"/>
      <c r="H24" s="231"/>
      <c r="I24" s="219"/>
      <c r="J24" s="217"/>
      <c r="K24" s="217"/>
      <c r="L24" s="217"/>
      <c r="M24" s="15">
        <f t="shared" si="0"/>
        <v>0</v>
      </c>
      <c r="N24" s="217"/>
      <c r="O24" s="217"/>
      <c r="P24" s="217"/>
      <c r="Q24" s="219">
        <f t="shared" si="1"/>
        <v>0</v>
      </c>
      <c r="R24" s="231"/>
    </row>
    <row r="25" spans="1:18" x14ac:dyDescent="0.3">
      <c r="A25" s="39">
        <v>562.52</v>
      </c>
      <c r="B25" s="40" t="s">
        <v>56</v>
      </c>
      <c r="C25" s="15">
        <v>8030</v>
      </c>
      <c r="D25" s="14">
        <f t="shared" si="2"/>
        <v>8400</v>
      </c>
      <c r="E25" s="231"/>
      <c r="F25" s="257"/>
      <c r="G25" s="219"/>
      <c r="H25" s="231"/>
      <c r="I25" s="219"/>
      <c r="J25" s="217"/>
      <c r="K25" s="217"/>
      <c r="L25" s="217"/>
      <c r="M25" s="15">
        <f t="shared" si="0"/>
        <v>0</v>
      </c>
      <c r="N25" s="217">
        <v>300</v>
      </c>
      <c r="O25" s="217">
        <f>2600+3000+2500</f>
        <v>8100</v>
      </c>
      <c r="P25" s="217"/>
      <c r="Q25" s="219">
        <f t="shared" si="1"/>
        <v>8400</v>
      </c>
      <c r="R25" s="231"/>
    </row>
    <row r="26" spans="1:18" x14ac:dyDescent="0.3">
      <c r="A26" s="39">
        <v>562.53</v>
      </c>
      <c r="B26" s="82" t="s">
        <v>99</v>
      </c>
      <c r="C26" s="15">
        <v>68843</v>
      </c>
      <c r="D26" s="14">
        <f t="shared" si="2"/>
        <v>91118</v>
      </c>
      <c r="E26" s="231"/>
      <c r="F26" s="257"/>
      <c r="G26" s="219">
        <v>75353</v>
      </c>
      <c r="H26" s="231"/>
      <c r="I26" s="219"/>
      <c r="J26" s="217"/>
      <c r="K26" s="217"/>
      <c r="L26" s="217"/>
      <c r="M26" s="15">
        <f t="shared" si="0"/>
        <v>0</v>
      </c>
      <c r="N26" s="217"/>
      <c r="O26" s="217">
        <v>15765</v>
      </c>
      <c r="P26" s="217"/>
      <c r="Q26" s="219">
        <f t="shared" si="1"/>
        <v>15765</v>
      </c>
      <c r="R26" s="231"/>
    </row>
    <row r="27" spans="1:18" x14ac:dyDescent="0.3">
      <c r="A27" s="39">
        <v>562.54</v>
      </c>
      <c r="B27" s="82" t="s">
        <v>100</v>
      </c>
      <c r="C27" s="15">
        <v>30318</v>
      </c>
      <c r="D27" s="14">
        <f t="shared" si="2"/>
        <v>34421</v>
      </c>
      <c r="E27" s="231"/>
      <c r="F27" s="257"/>
      <c r="G27" s="219"/>
      <c r="H27" s="231"/>
      <c r="I27" s="219"/>
      <c r="J27" s="217"/>
      <c r="K27" s="217"/>
      <c r="L27" s="217"/>
      <c r="M27" s="15">
        <f t="shared" si="0"/>
        <v>0</v>
      </c>
      <c r="N27" s="217">
        <f>8023+21340</f>
        <v>29363</v>
      </c>
      <c r="O27" s="217">
        <v>5058</v>
      </c>
      <c r="P27" s="217"/>
      <c r="Q27" s="219">
        <f t="shared" si="1"/>
        <v>34421</v>
      </c>
      <c r="R27" s="231"/>
    </row>
    <row r="28" spans="1:18" x14ac:dyDescent="0.3">
      <c r="A28" s="39">
        <v>562.54999999999995</v>
      </c>
      <c r="B28" s="40" t="s">
        <v>57</v>
      </c>
      <c r="C28" s="15">
        <v>1692</v>
      </c>
      <c r="D28" s="14">
        <f t="shared" si="2"/>
        <v>0</v>
      </c>
      <c r="E28" s="231"/>
      <c r="F28" s="257"/>
      <c r="G28" s="219"/>
      <c r="H28" s="231"/>
      <c r="I28" s="219"/>
      <c r="J28" s="217"/>
      <c r="K28" s="217"/>
      <c r="L28" s="217"/>
      <c r="M28" s="15">
        <f t="shared" si="0"/>
        <v>0</v>
      </c>
      <c r="N28" s="217"/>
      <c r="O28" s="217"/>
      <c r="P28" s="217"/>
      <c r="Q28" s="219">
        <f t="shared" si="1"/>
        <v>0</v>
      </c>
      <c r="R28" s="231"/>
    </row>
    <row r="29" spans="1:18" x14ac:dyDescent="0.3">
      <c r="A29" s="39">
        <v>562.55999999999995</v>
      </c>
      <c r="B29" s="40" t="s">
        <v>58</v>
      </c>
      <c r="C29" s="15">
        <v>39471</v>
      </c>
      <c r="D29" s="14">
        <f t="shared" si="2"/>
        <v>53027</v>
      </c>
      <c r="E29" s="231"/>
      <c r="F29" s="257"/>
      <c r="G29" s="219"/>
      <c r="H29" s="231"/>
      <c r="I29" s="219"/>
      <c r="J29" s="217"/>
      <c r="K29" s="217"/>
      <c r="L29" s="217"/>
      <c r="M29" s="15">
        <f t="shared" si="0"/>
        <v>0</v>
      </c>
      <c r="N29" s="217">
        <f>43040+6464</f>
        <v>49504</v>
      </c>
      <c r="O29" s="217">
        <v>3523</v>
      </c>
      <c r="P29" s="217"/>
      <c r="Q29" s="219">
        <f t="shared" si="1"/>
        <v>53027</v>
      </c>
      <c r="R29" s="231"/>
    </row>
    <row r="30" spans="1:18" x14ac:dyDescent="0.3">
      <c r="A30" s="39">
        <v>562.57000000000005</v>
      </c>
      <c r="B30" s="82" t="s">
        <v>101</v>
      </c>
      <c r="C30" s="15">
        <v>416</v>
      </c>
      <c r="D30" s="14">
        <f t="shared" si="2"/>
        <v>416</v>
      </c>
      <c r="E30" s="231"/>
      <c r="F30" s="257"/>
      <c r="G30" s="219"/>
      <c r="H30" s="231"/>
      <c r="I30" s="219"/>
      <c r="J30" s="217"/>
      <c r="K30" s="217"/>
      <c r="L30" s="217"/>
      <c r="M30" s="15">
        <f t="shared" si="0"/>
        <v>0</v>
      </c>
      <c r="N30" s="217"/>
      <c r="O30" s="217">
        <v>416</v>
      </c>
      <c r="P30" s="217"/>
      <c r="Q30" s="219">
        <f t="shared" si="1"/>
        <v>416</v>
      </c>
      <c r="R30" s="231"/>
    </row>
    <row r="31" spans="1:18" x14ac:dyDescent="0.3">
      <c r="A31" s="39">
        <v>562.58000000000004</v>
      </c>
      <c r="B31" s="82" t="s">
        <v>88</v>
      </c>
      <c r="C31" s="15">
        <v>2450</v>
      </c>
      <c r="D31" s="14">
        <f t="shared" si="2"/>
        <v>2450</v>
      </c>
      <c r="E31" s="231"/>
      <c r="F31" s="257"/>
      <c r="G31" s="219"/>
      <c r="H31" s="231"/>
      <c r="I31" s="219"/>
      <c r="J31" s="217"/>
      <c r="K31" s="217"/>
      <c r="L31" s="217"/>
      <c r="M31" s="15">
        <f t="shared" si="0"/>
        <v>0</v>
      </c>
      <c r="N31" s="217">
        <v>2320</v>
      </c>
      <c r="O31" s="217">
        <v>130</v>
      </c>
      <c r="P31" s="217"/>
      <c r="Q31" s="219">
        <f t="shared" si="1"/>
        <v>2450</v>
      </c>
      <c r="R31" s="231"/>
    </row>
    <row r="32" spans="1:18" x14ac:dyDescent="0.3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57"/>
      <c r="G32" s="219"/>
      <c r="H32" s="231"/>
      <c r="I32" s="219"/>
      <c r="J32" s="217"/>
      <c r="K32" s="217"/>
      <c r="L32" s="217"/>
      <c r="M32" s="15">
        <f t="shared" si="0"/>
        <v>0</v>
      </c>
      <c r="N32" s="217"/>
      <c r="O32" s="217"/>
      <c r="P32" s="217"/>
      <c r="Q32" s="219">
        <f t="shared" si="1"/>
        <v>0</v>
      </c>
      <c r="R32" s="231"/>
    </row>
    <row r="33" spans="1:18" x14ac:dyDescent="0.3">
      <c r="A33" s="39">
        <v>562.6</v>
      </c>
      <c r="B33" s="40" t="s">
        <v>59</v>
      </c>
      <c r="C33" s="15"/>
      <c r="D33" s="14">
        <f t="shared" si="2"/>
        <v>0</v>
      </c>
      <c r="E33" s="231"/>
      <c r="F33" s="257"/>
      <c r="G33" s="219"/>
      <c r="H33" s="231"/>
      <c r="I33" s="219"/>
      <c r="J33" s="217"/>
      <c r="K33" s="217"/>
      <c r="L33" s="217"/>
      <c r="M33" s="15">
        <f t="shared" si="0"/>
        <v>0</v>
      </c>
      <c r="N33" s="217"/>
      <c r="O33" s="217"/>
      <c r="P33" s="217"/>
      <c r="Q33" s="219">
        <f t="shared" si="1"/>
        <v>0</v>
      </c>
      <c r="R33" s="231"/>
    </row>
    <row r="34" spans="1:18" x14ac:dyDescent="0.3">
      <c r="A34" s="39">
        <v>562.71</v>
      </c>
      <c r="B34" s="40" t="s">
        <v>60</v>
      </c>
      <c r="C34" s="15">
        <v>13637</v>
      </c>
      <c r="D34" s="14">
        <f t="shared" si="2"/>
        <v>12465</v>
      </c>
      <c r="E34" s="231"/>
      <c r="F34" s="257"/>
      <c r="G34" s="219"/>
      <c r="H34" s="231"/>
      <c r="I34" s="219"/>
      <c r="J34" s="217"/>
      <c r="K34" s="217"/>
      <c r="L34" s="217"/>
      <c r="M34" s="15">
        <f t="shared" si="0"/>
        <v>0</v>
      </c>
      <c r="N34" s="217"/>
      <c r="O34" s="217">
        <v>12465</v>
      </c>
      <c r="P34" s="217"/>
      <c r="Q34" s="219">
        <f t="shared" si="1"/>
        <v>12465</v>
      </c>
      <c r="R34" s="231"/>
    </row>
    <row r="35" spans="1:18" x14ac:dyDescent="0.3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19"/>
      <c r="H35" s="231"/>
      <c r="I35" s="219"/>
      <c r="J35" s="217"/>
      <c r="K35" s="217"/>
      <c r="L35" s="217"/>
      <c r="M35" s="15">
        <f t="shared" si="0"/>
        <v>0</v>
      </c>
      <c r="N35" s="217"/>
      <c r="O35" s="217"/>
      <c r="P35" s="217"/>
      <c r="Q35" s="219">
        <f t="shared" si="1"/>
        <v>0</v>
      </c>
      <c r="R35" s="231"/>
    </row>
    <row r="36" spans="1:18" x14ac:dyDescent="0.3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19"/>
      <c r="H36" s="231"/>
      <c r="I36" s="219"/>
      <c r="J36" s="217"/>
      <c r="K36" s="217"/>
      <c r="L36" s="217"/>
      <c r="M36" s="15">
        <f t="shared" si="0"/>
        <v>0</v>
      </c>
      <c r="N36" s="217"/>
      <c r="O36" s="217"/>
      <c r="P36" s="217"/>
      <c r="Q36" s="219">
        <f t="shared" si="1"/>
        <v>0</v>
      </c>
      <c r="R36" s="231"/>
    </row>
    <row r="37" spans="1:18" x14ac:dyDescent="0.3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19"/>
      <c r="H37" s="231"/>
      <c r="I37" s="219"/>
      <c r="J37" s="217"/>
      <c r="K37" s="217"/>
      <c r="L37" s="217"/>
      <c r="M37" s="15">
        <f t="shared" si="0"/>
        <v>0</v>
      </c>
      <c r="N37" s="217"/>
      <c r="O37" s="217"/>
      <c r="P37" s="217"/>
      <c r="Q37" s="219">
        <f t="shared" si="1"/>
        <v>0</v>
      </c>
      <c r="R37" s="231"/>
    </row>
    <row r="38" spans="1:18" x14ac:dyDescent="0.3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19"/>
      <c r="H38" s="231"/>
      <c r="I38" s="219"/>
      <c r="J38" s="217"/>
      <c r="K38" s="217"/>
      <c r="L38" s="217"/>
      <c r="M38" s="15">
        <f t="shared" si="0"/>
        <v>0</v>
      </c>
      <c r="N38" s="217"/>
      <c r="O38" s="217"/>
      <c r="P38" s="217"/>
      <c r="Q38" s="219">
        <f t="shared" si="1"/>
        <v>0</v>
      </c>
      <c r="R38" s="231"/>
    </row>
    <row r="39" spans="1:18" x14ac:dyDescent="0.3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19"/>
      <c r="H39" s="231"/>
      <c r="I39" s="219"/>
      <c r="J39" s="217"/>
      <c r="K39" s="217"/>
      <c r="L39" s="217"/>
      <c r="M39" s="15">
        <f t="shared" si="0"/>
        <v>0</v>
      </c>
      <c r="N39" s="217"/>
      <c r="O39" s="217"/>
      <c r="P39" s="217"/>
      <c r="Q39" s="219">
        <f t="shared" si="1"/>
        <v>0</v>
      </c>
      <c r="R39" s="231"/>
    </row>
    <row r="40" spans="1:18" x14ac:dyDescent="0.3">
      <c r="A40" s="39">
        <v>562.79999999999995</v>
      </c>
      <c r="B40" s="40" t="s">
        <v>65</v>
      </c>
      <c r="C40" s="15">
        <v>20455</v>
      </c>
      <c r="D40" s="14">
        <f t="shared" si="2"/>
        <v>4900</v>
      </c>
      <c r="E40" s="231"/>
      <c r="F40" s="257"/>
      <c r="G40" s="219"/>
      <c r="H40" s="231"/>
      <c r="I40" s="219"/>
      <c r="J40" s="217">
        <v>4900</v>
      </c>
      <c r="K40" s="217"/>
      <c r="L40" s="217"/>
      <c r="M40" s="15">
        <f t="shared" si="0"/>
        <v>4900</v>
      </c>
      <c r="N40" s="217"/>
      <c r="O40" s="217"/>
      <c r="P40" s="217"/>
      <c r="Q40" s="219">
        <f t="shared" si="1"/>
        <v>0</v>
      </c>
      <c r="R40" s="231"/>
    </row>
    <row r="41" spans="1:18" x14ac:dyDescent="0.3">
      <c r="A41" s="39">
        <v>562.88</v>
      </c>
      <c r="B41" s="82" t="s">
        <v>91</v>
      </c>
      <c r="C41" s="15">
        <v>30079</v>
      </c>
      <c r="D41" s="14">
        <f t="shared" si="2"/>
        <v>32465</v>
      </c>
      <c r="E41" s="231"/>
      <c r="F41" s="257"/>
      <c r="G41" s="219"/>
      <c r="H41" s="231">
        <v>29785</v>
      </c>
      <c r="I41" s="219"/>
      <c r="J41" s="217"/>
      <c r="K41" s="217"/>
      <c r="L41" s="217"/>
      <c r="M41" s="15">
        <f t="shared" si="0"/>
        <v>0</v>
      </c>
      <c r="N41" s="217"/>
      <c r="O41" s="217">
        <v>2680</v>
      </c>
      <c r="P41" s="217"/>
      <c r="Q41" s="219">
        <f t="shared" si="1"/>
        <v>2680</v>
      </c>
      <c r="R41" s="231"/>
    </row>
    <row r="42" spans="1:18" x14ac:dyDescent="0.3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19"/>
      <c r="H42" s="231"/>
      <c r="I42" s="219"/>
      <c r="J42" s="217"/>
      <c r="K42" s="217"/>
      <c r="L42" s="217"/>
      <c r="M42" s="15">
        <f t="shared" si="0"/>
        <v>0</v>
      </c>
      <c r="N42" s="217"/>
      <c r="O42" s="217"/>
      <c r="P42" s="217"/>
      <c r="Q42" s="219">
        <f t="shared" si="1"/>
        <v>0</v>
      </c>
      <c r="R42" s="231"/>
    </row>
    <row r="43" spans="1:18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0"/>
      <c r="H43" s="232"/>
      <c r="I43" s="220"/>
      <c r="J43" s="244"/>
      <c r="K43" s="244"/>
      <c r="L43" s="244"/>
      <c r="M43" s="18">
        <f t="shared" si="0"/>
        <v>0</v>
      </c>
      <c r="N43" s="244"/>
      <c r="O43" s="244"/>
      <c r="P43" s="244"/>
      <c r="Q43" s="220">
        <f t="shared" si="1"/>
        <v>0</v>
      </c>
      <c r="R43" s="232"/>
    </row>
    <row r="44" spans="1:18" x14ac:dyDescent="0.3">
      <c r="A44" s="206" t="s">
        <v>110</v>
      </c>
      <c r="B44" s="207" t="s">
        <v>68</v>
      </c>
      <c r="C44" s="208">
        <f>SUM(C5:C43)</f>
        <v>737454</v>
      </c>
      <c r="D44" s="205">
        <f>E44+F44+G44+H44+I44+M44+Q44+R44</f>
        <v>701169</v>
      </c>
      <c r="E44" s="233">
        <f t="shared" ref="E44:R44" si="3">SUM(E5:E43)</f>
        <v>0</v>
      </c>
      <c r="F44" s="259">
        <f t="shared" si="3"/>
        <v>121213</v>
      </c>
      <c r="G44" s="223">
        <f t="shared" si="3"/>
        <v>75353</v>
      </c>
      <c r="H44" s="233">
        <f t="shared" si="3"/>
        <v>209633</v>
      </c>
      <c r="I44" s="239">
        <f t="shared" si="3"/>
        <v>21079</v>
      </c>
      <c r="J44" s="245">
        <f>SUM(J5:J43)</f>
        <v>120128</v>
      </c>
      <c r="K44" s="245">
        <f>SUM(K5:K43)</f>
        <v>0</v>
      </c>
      <c r="L44" s="245">
        <f>SUM(L5:L43)</f>
        <v>0</v>
      </c>
      <c r="M44" s="208">
        <f t="shared" si="3"/>
        <v>120128</v>
      </c>
      <c r="N44" s="245">
        <f>SUM(N5:N43)</f>
        <v>81487</v>
      </c>
      <c r="O44" s="245">
        <f>SUM(O5:O43)</f>
        <v>71208</v>
      </c>
      <c r="P44" s="245">
        <f>SUM(P5:P43)</f>
        <v>0</v>
      </c>
      <c r="Q44" s="216">
        <f t="shared" si="3"/>
        <v>152695</v>
      </c>
      <c r="R44" s="233">
        <f t="shared" si="3"/>
        <v>1068</v>
      </c>
    </row>
    <row r="45" spans="1:18" x14ac:dyDescent="0.3">
      <c r="A45" s="39">
        <v>523</v>
      </c>
      <c r="B45" s="40" t="s">
        <v>69</v>
      </c>
      <c r="C45" s="15"/>
      <c r="D45" s="14">
        <f t="shared" si="2"/>
        <v>0</v>
      </c>
      <c r="E45" s="234"/>
      <c r="F45" s="263"/>
      <c r="G45" s="224"/>
      <c r="H45" s="234"/>
      <c r="I45" s="224"/>
      <c r="J45" s="246"/>
      <c r="K45" s="246"/>
      <c r="L45" s="246"/>
      <c r="M45" s="15">
        <f t="shared" si="0"/>
        <v>0</v>
      </c>
      <c r="N45" s="246"/>
      <c r="O45" s="246"/>
      <c r="P45" s="246"/>
      <c r="Q45" s="219">
        <f t="shared" si="1"/>
        <v>0</v>
      </c>
      <c r="R45" s="234"/>
    </row>
    <row r="46" spans="1:18" x14ac:dyDescent="0.3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19"/>
      <c r="H46" s="231"/>
      <c r="I46" s="219"/>
      <c r="J46" s="217"/>
      <c r="K46" s="217"/>
      <c r="L46" s="217"/>
      <c r="M46" s="15">
        <f t="shared" si="0"/>
        <v>0</v>
      </c>
      <c r="N46" s="217"/>
      <c r="O46" s="217"/>
      <c r="P46" s="217"/>
      <c r="Q46" s="219">
        <f t="shared" si="1"/>
        <v>0</v>
      </c>
      <c r="R46" s="231"/>
    </row>
    <row r="47" spans="1:18" x14ac:dyDescent="0.3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19"/>
      <c r="H47" s="231"/>
      <c r="I47" s="219"/>
      <c r="J47" s="217"/>
      <c r="K47" s="217"/>
      <c r="L47" s="217"/>
      <c r="M47" s="15">
        <f t="shared" si="0"/>
        <v>0</v>
      </c>
      <c r="N47" s="217"/>
      <c r="O47" s="217"/>
      <c r="P47" s="217"/>
      <c r="Q47" s="219">
        <f t="shared" si="1"/>
        <v>0</v>
      </c>
      <c r="R47" s="231"/>
    </row>
    <row r="48" spans="1:18" x14ac:dyDescent="0.3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19"/>
      <c r="H48" s="231"/>
      <c r="I48" s="219"/>
      <c r="J48" s="217"/>
      <c r="K48" s="217"/>
      <c r="L48" s="217"/>
      <c r="M48" s="15">
        <f t="shared" si="0"/>
        <v>0</v>
      </c>
      <c r="N48" s="217"/>
      <c r="O48" s="217"/>
      <c r="P48" s="217"/>
      <c r="Q48" s="219">
        <f t="shared" si="1"/>
        <v>0</v>
      </c>
      <c r="R48" s="231"/>
    </row>
    <row r="49" spans="1:18" x14ac:dyDescent="0.3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19"/>
      <c r="H49" s="231"/>
      <c r="I49" s="219"/>
      <c r="J49" s="217"/>
      <c r="K49" s="217"/>
      <c r="L49" s="217"/>
      <c r="M49" s="15">
        <f t="shared" si="0"/>
        <v>0</v>
      </c>
      <c r="N49" s="217"/>
      <c r="O49" s="217"/>
      <c r="P49" s="217"/>
      <c r="Q49" s="219">
        <f t="shared" si="1"/>
        <v>0</v>
      </c>
      <c r="R49" s="231"/>
    </row>
    <row r="50" spans="1:18" x14ac:dyDescent="0.3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19"/>
      <c r="H50" s="231"/>
      <c r="I50" s="219"/>
      <c r="J50" s="217"/>
      <c r="K50" s="217"/>
      <c r="L50" s="217"/>
      <c r="M50" s="15">
        <f t="shared" si="0"/>
        <v>0</v>
      </c>
      <c r="N50" s="217"/>
      <c r="O50" s="217"/>
      <c r="P50" s="217"/>
      <c r="Q50" s="219">
        <f t="shared" si="1"/>
        <v>0</v>
      </c>
      <c r="R50" s="231"/>
    </row>
    <row r="51" spans="1:18" x14ac:dyDescent="0.3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19"/>
      <c r="H51" s="231"/>
      <c r="I51" s="219"/>
      <c r="J51" s="217"/>
      <c r="K51" s="217"/>
      <c r="L51" s="217"/>
      <c r="M51" s="15">
        <f t="shared" si="0"/>
        <v>0</v>
      </c>
      <c r="N51" s="217"/>
      <c r="O51" s="217"/>
      <c r="P51" s="217"/>
      <c r="Q51" s="219">
        <f t="shared" si="1"/>
        <v>0</v>
      </c>
      <c r="R51" s="231"/>
    </row>
    <row r="52" spans="1:18" x14ac:dyDescent="0.3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19"/>
      <c r="H52" s="231"/>
      <c r="I52" s="219"/>
      <c r="J52" s="217"/>
      <c r="K52" s="217"/>
      <c r="L52" s="217"/>
      <c r="M52" s="15">
        <f t="shared" si="0"/>
        <v>0</v>
      </c>
      <c r="N52" s="217"/>
      <c r="O52" s="217"/>
      <c r="P52" s="217"/>
      <c r="Q52" s="219">
        <f t="shared" si="1"/>
        <v>0</v>
      </c>
      <c r="R52" s="231"/>
    </row>
    <row r="53" spans="1:18" x14ac:dyDescent="0.3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19"/>
      <c r="H53" s="231"/>
      <c r="I53" s="219"/>
      <c r="J53" s="217"/>
      <c r="K53" s="217"/>
      <c r="L53" s="217"/>
      <c r="M53" s="15">
        <f t="shared" si="0"/>
        <v>0</v>
      </c>
      <c r="N53" s="217"/>
      <c r="O53" s="217"/>
      <c r="P53" s="217"/>
      <c r="Q53" s="219">
        <f t="shared" si="1"/>
        <v>0</v>
      </c>
      <c r="R53" s="231"/>
    </row>
    <row r="54" spans="1:18" x14ac:dyDescent="0.3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19"/>
      <c r="H54" s="231"/>
      <c r="I54" s="219"/>
      <c r="J54" s="217">
        <v>0</v>
      </c>
      <c r="K54" s="217"/>
      <c r="L54" s="217"/>
      <c r="M54" s="15">
        <f t="shared" si="0"/>
        <v>0</v>
      </c>
      <c r="N54" s="217">
        <v>0</v>
      </c>
      <c r="O54" s="217"/>
      <c r="P54" s="217"/>
      <c r="Q54" s="219">
        <f t="shared" si="1"/>
        <v>0</v>
      </c>
      <c r="R54" s="231"/>
    </row>
    <row r="55" spans="1:18" x14ac:dyDescent="0.3">
      <c r="A55" s="41">
        <v>500</v>
      </c>
      <c r="B55" s="32" t="s">
        <v>118</v>
      </c>
      <c r="C55" s="18"/>
      <c r="D55" s="20">
        <f t="shared" si="2"/>
        <v>0</v>
      </c>
      <c r="E55" s="232"/>
      <c r="F55" s="258"/>
      <c r="G55" s="220"/>
      <c r="H55" s="232"/>
      <c r="I55" s="220"/>
      <c r="J55" s="244"/>
      <c r="K55" s="244"/>
      <c r="L55" s="244"/>
      <c r="M55" s="18">
        <f t="shared" si="0"/>
        <v>0</v>
      </c>
      <c r="N55" s="244"/>
      <c r="O55" s="244"/>
      <c r="P55" s="244"/>
      <c r="Q55" s="220">
        <f t="shared" si="1"/>
        <v>0</v>
      </c>
      <c r="R55" s="232"/>
    </row>
    <row r="56" spans="1:18" ht="15" thickBot="1" x14ac:dyDescent="0.35">
      <c r="A56" s="107"/>
      <c r="B56" s="108" t="s">
        <v>80</v>
      </c>
      <c r="C56" s="111">
        <f>SUM(C44:C55)</f>
        <v>737454</v>
      </c>
      <c r="D56" s="110">
        <f>E56+F56+G56+H56+I56+M56+Q56+R56</f>
        <v>701169</v>
      </c>
      <c r="E56" s="235">
        <f t="shared" ref="E56:R56" si="4">SUM(E44:E55)</f>
        <v>0</v>
      </c>
      <c r="F56" s="260">
        <f t="shared" si="4"/>
        <v>121213</v>
      </c>
      <c r="G56" s="225">
        <f t="shared" si="4"/>
        <v>75353</v>
      </c>
      <c r="H56" s="235">
        <f t="shared" si="4"/>
        <v>209633</v>
      </c>
      <c r="I56" s="240">
        <f t="shared" si="4"/>
        <v>21079</v>
      </c>
      <c r="J56" s="218">
        <f>SUM(J44:J55)</f>
        <v>120128</v>
      </c>
      <c r="K56" s="218">
        <f>SUM(K44:K55)</f>
        <v>0</v>
      </c>
      <c r="L56" s="218">
        <f>SUM(L44:L55)</f>
        <v>0</v>
      </c>
      <c r="M56" s="209">
        <f t="shared" si="4"/>
        <v>120128</v>
      </c>
      <c r="N56" s="218">
        <f>SUM(N44:N55)</f>
        <v>81487</v>
      </c>
      <c r="O56" s="218">
        <f>SUM(O44:O55)</f>
        <v>71208</v>
      </c>
      <c r="P56" s="218">
        <f>SUM(P44:P55)</f>
        <v>0</v>
      </c>
      <c r="Q56" s="218">
        <f t="shared" si="4"/>
        <v>152695</v>
      </c>
      <c r="R56" s="235">
        <f t="shared" si="4"/>
        <v>1068</v>
      </c>
    </row>
    <row r="57" spans="1:18" ht="15" thickTop="1" x14ac:dyDescent="0.3"/>
    <row r="58" spans="1:18" ht="15" thickBot="1" x14ac:dyDescent="0.35"/>
    <row r="59" spans="1:18" ht="15" thickBot="1" x14ac:dyDescent="0.35">
      <c r="B59" s="42" t="s">
        <v>109</v>
      </c>
      <c r="C59" s="43"/>
      <c r="D59" s="44"/>
    </row>
    <row r="60" spans="1:18" ht="15" thickTop="1" x14ac:dyDescent="0.3">
      <c r="B60" s="115"/>
      <c r="C60" s="116" t="s">
        <v>82</v>
      </c>
      <c r="D60" s="117" t="s">
        <v>78</v>
      </c>
    </row>
    <row r="61" spans="1:18" x14ac:dyDescent="0.3">
      <c r="B61" s="153" t="s">
        <v>108</v>
      </c>
      <c r="C61" s="45"/>
      <c r="D61" s="46"/>
    </row>
    <row r="62" spans="1:18" x14ac:dyDescent="0.3">
      <c r="B62" s="26" t="s">
        <v>3</v>
      </c>
      <c r="C62" s="47">
        <f>E56</f>
        <v>0</v>
      </c>
      <c r="D62" s="48">
        <f>E56/D56</f>
        <v>0</v>
      </c>
    </row>
    <row r="63" spans="1:18" x14ac:dyDescent="0.3">
      <c r="B63" s="26" t="s">
        <v>4</v>
      </c>
      <c r="C63" s="49">
        <f>F56</f>
        <v>121213</v>
      </c>
      <c r="D63" s="48">
        <f>F56/D56</f>
        <v>0.17287273111047408</v>
      </c>
    </row>
    <row r="64" spans="1:18" x14ac:dyDescent="0.3">
      <c r="B64" s="56" t="s">
        <v>79</v>
      </c>
      <c r="C64" s="50">
        <f>G56</f>
        <v>75353</v>
      </c>
      <c r="D64" s="51">
        <f>G56/D56</f>
        <v>0.10746767184516144</v>
      </c>
    </row>
    <row r="65" spans="2:4" ht="15" thickBot="1" x14ac:dyDescent="0.35">
      <c r="B65" s="146" t="s">
        <v>115</v>
      </c>
      <c r="C65" s="52">
        <f>SUM(C62:C64)</f>
        <v>196566</v>
      </c>
      <c r="D65" s="53">
        <f>SUM(D62:D64)</f>
        <v>0.2803404029556355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209633</v>
      </c>
      <c r="D67" s="25">
        <f>H56/D56</f>
        <v>0.29897642365820509</v>
      </c>
    </row>
    <row r="68" spans="2:4" x14ac:dyDescent="0.3">
      <c r="B68" s="57" t="s">
        <v>7</v>
      </c>
      <c r="C68" s="27">
        <f>I56</f>
        <v>21079</v>
      </c>
      <c r="D68" s="28">
        <f>I56/D56</f>
        <v>3.0062652513160166E-2</v>
      </c>
    </row>
    <row r="69" spans="2:4" ht="15" thickBot="1" x14ac:dyDescent="0.35">
      <c r="B69" s="146" t="s">
        <v>116</v>
      </c>
      <c r="C69" s="52">
        <f>SUM(C67:C68)</f>
        <v>230712</v>
      </c>
      <c r="D69" s="53">
        <f>SUM(D67:D68)</f>
        <v>0.32903907617136524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120128</v>
      </c>
      <c r="D71" s="25">
        <f>M56/D56</f>
        <v>0.17132531529488612</v>
      </c>
    </row>
    <row r="72" spans="2:4" x14ac:dyDescent="0.3">
      <c r="B72" s="24" t="s">
        <v>8</v>
      </c>
      <c r="C72" s="23">
        <f>Q56</f>
        <v>152695</v>
      </c>
      <c r="D72" s="25">
        <f>Q56/D56</f>
        <v>0.21777203498728551</v>
      </c>
    </row>
    <row r="73" spans="2:4" x14ac:dyDescent="0.3">
      <c r="B73" s="163" t="s">
        <v>83</v>
      </c>
      <c r="C73" s="27">
        <f>R56</f>
        <v>1068</v>
      </c>
      <c r="D73" s="28">
        <f>R56/D56</f>
        <v>1.5231705908276035E-3</v>
      </c>
    </row>
    <row r="74" spans="2:4" ht="15" thickBot="1" x14ac:dyDescent="0.35">
      <c r="B74" s="146" t="s">
        <v>117</v>
      </c>
      <c r="C74" s="52">
        <f>SUM(C71:C73)</f>
        <v>273891</v>
      </c>
      <c r="D74" s="53">
        <f>SUM(D71:D73)</f>
        <v>0.39062052087299926</v>
      </c>
    </row>
    <row r="75" spans="2:4" ht="15" thickBot="1" x14ac:dyDescent="0.35">
      <c r="B75" s="157" t="s">
        <v>80</v>
      </c>
      <c r="C75" s="158">
        <f>C65+C69+C74</f>
        <v>701169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C54:C55 A45:C53 E45:M55 A5:R7 A44:M44 Q44:R55 T16 A9:R43 A8:G8 I8:R8">
    <cfRule type="expression" dxfId="183" priority="6">
      <formula>ROW()=EVEN(ROW())</formula>
    </cfRule>
  </conditionalFormatting>
  <conditionalFormatting sqref="A55:B55">
    <cfRule type="expression" dxfId="182" priority="4">
      <formula>ROW()=EVEN(ROW())</formula>
    </cfRule>
  </conditionalFormatting>
  <conditionalFormatting sqref="A54:B54">
    <cfRule type="expression" dxfId="181" priority="3">
      <formula>ROW()=EVEN(ROW())</formula>
    </cfRule>
  </conditionalFormatting>
  <conditionalFormatting sqref="D45:D55">
    <cfRule type="expression" dxfId="180" priority="2">
      <formula>ROW()=EVEN(ROW())</formula>
    </cfRule>
  </conditionalFormatting>
  <conditionalFormatting sqref="N44:P55">
    <cfRule type="expression" dxfId="179" priority="1">
      <formula>ROW()=EVEN(ROW())</formula>
    </cfRule>
  </conditionalFormatting>
  <printOptions horizontalCentered="1"/>
  <pageMargins left="0" right="0" top="1.1000000000000001" bottom="0.5" header="0.3" footer="0.3"/>
  <pageSetup scale="85" fitToHeight="0" orientation="landscape" r:id="rId1"/>
  <headerFooter>
    <oddHeader>&amp;C&amp;"-,Bold"&amp;20Funding by Expenditure Code and Revenue Source&amp;"-,Regular"&amp;11
&amp;"-,Bold"&amp;20 2014&amp;"-,Regular"&amp;11
&amp;"-,Bold"&amp;20ADAMS</oddHeader>
    <oddFooter>&amp;LRevised 11-4-16&amp;CPage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88"/>
  <sheetViews>
    <sheetView showZeros="0" topLeftCell="C59" zoomScaleNormal="100" workbookViewId="0">
      <selection activeCell="F88" sqref="E88:F88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6" width="11.6640625" style="262" customWidth="1"/>
    <col min="7" max="9" width="11.6640625" style="226" customWidth="1"/>
    <col min="10" max="12" width="11.6640625" style="226" hidden="1" customWidth="1"/>
    <col min="13" max="13" width="11.6640625" customWidth="1"/>
    <col min="14" max="16" width="11.6640625" style="226" hidden="1" customWidth="1"/>
    <col min="17" max="17" width="11.6640625" customWidth="1"/>
    <col min="18" max="18" width="11.6640625" style="226" customWidth="1"/>
    <col min="19" max="19" width="7.109375" style="199" customWidth="1"/>
    <col min="20" max="20" width="7.33203125" style="200" customWidth="1"/>
    <col min="21" max="21" width="7.33203125" customWidth="1"/>
    <col min="22" max="22" width="7.6640625" customWidth="1"/>
    <col min="23" max="23" width="7.44140625" customWidth="1"/>
    <col min="24" max="24" width="7.33203125" customWidth="1"/>
  </cols>
  <sheetData>
    <row r="1" spans="1:26" x14ac:dyDescent="0.3">
      <c r="A1" s="22" t="s">
        <v>150</v>
      </c>
      <c r="B1" s="6"/>
      <c r="C1" s="31">
        <v>21950</v>
      </c>
      <c r="D1" s="4"/>
      <c r="E1" s="261"/>
      <c r="F1" s="26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6" x14ac:dyDescent="0.3">
      <c r="A2" s="80" t="s">
        <v>44</v>
      </c>
      <c r="B2" s="5"/>
      <c r="C2" s="83">
        <v>7</v>
      </c>
      <c r="D2" s="4"/>
      <c r="E2" s="261"/>
      <c r="F2" s="26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145</v>
      </c>
    </row>
    <row r="3" spans="1:26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6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  <c r="W4" s="202" t="s">
        <v>153</v>
      </c>
      <c r="X4" s="203" t="s">
        <v>82</v>
      </c>
      <c r="Y4" s="202" t="s">
        <v>153</v>
      </c>
      <c r="Z4" s="203" t="s">
        <v>82</v>
      </c>
    </row>
    <row r="5" spans="1:26" ht="15" thickBot="1" x14ac:dyDescent="0.35">
      <c r="A5" s="36">
        <v>562.1</v>
      </c>
      <c r="B5" s="37" t="s">
        <v>47</v>
      </c>
      <c r="C5" s="16">
        <f>305075+5499+33107</f>
        <v>343681</v>
      </c>
      <c r="D5" s="14">
        <f>E5+F5+G5+H5+I5+M5+Q5+R5</f>
        <v>256172</v>
      </c>
      <c r="E5" s="236"/>
      <c r="F5" s="275">
        <v>159890</v>
      </c>
      <c r="G5" s="227">
        <v>0</v>
      </c>
      <c r="H5" s="236">
        <v>28109</v>
      </c>
      <c r="I5" s="241">
        <v>54381</v>
      </c>
      <c r="J5" s="214"/>
      <c r="K5" s="214"/>
      <c r="L5" s="214">
        <v>12500</v>
      </c>
      <c r="M5" s="9">
        <f>SUM(J5:L5)</f>
        <v>12500</v>
      </c>
      <c r="N5" s="214"/>
      <c r="O5" s="214"/>
      <c r="P5" s="214">
        <v>0</v>
      </c>
      <c r="Q5" s="214">
        <f>SUM(N5:P5)</f>
        <v>0</v>
      </c>
      <c r="R5" s="236">
        <f>307+975+10</f>
        <v>1292</v>
      </c>
      <c r="S5" s="199">
        <v>361.04</v>
      </c>
      <c r="T5" s="200">
        <v>307</v>
      </c>
      <c r="U5" s="199">
        <v>369.9</v>
      </c>
      <c r="V5" s="200">
        <v>10</v>
      </c>
      <c r="W5" s="199">
        <v>369.1</v>
      </c>
      <c r="X5" s="200">
        <v>975</v>
      </c>
      <c r="Y5" s="199"/>
      <c r="Z5" s="200"/>
    </row>
    <row r="6" spans="1:26" ht="15" thickBot="1" x14ac:dyDescent="0.35">
      <c r="A6" s="39">
        <v>562.21</v>
      </c>
      <c r="B6" s="40" t="s">
        <v>48</v>
      </c>
      <c r="C6" s="15"/>
      <c r="D6" s="14">
        <v>0</v>
      </c>
      <c r="E6" s="231"/>
      <c r="F6" s="257"/>
      <c r="G6" s="228"/>
      <c r="H6" s="231"/>
      <c r="I6" s="219"/>
      <c r="J6" s="217"/>
      <c r="K6" s="217"/>
      <c r="L6" s="217">
        <v>0</v>
      </c>
      <c r="M6" s="9">
        <f t="shared" ref="M6:M55" si="0">SUM(J6:L6)</f>
        <v>0</v>
      </c>
      <c r="N6" s="217"/>
      <c r="O6" s="217"/>
      <c r="P6" s="217">
        <v>0</v>
      </c>
      <c r="Q6" s="214">
        <f t="shared" ref="Q6:Q55" si="1">SUM(N6:P6)</f>
        <v>0</v>
      </c>
      <c r="R6" s="231"/>
    </row>
    <row r="7" spans="1:26" ht="15" thickBot="1" x14ac:dyDescent="0.35">
      <c r="A7" s="39">
        <v>562.22</v>
      </c>
      <c r="B7" s="82" t="s">
        <v>92</v>
      </c>
      <c r="C7" s="15">
        <v>17773</v>
      </c>
      <c r="D7" s="14">
        <f t="shared" ref="D7:D55" si="2">E7+F7+G7+H7+I7+M7+Q7+R7</f>
        <v>4501</v>
      </c>
      <c r="E7" s="231"/>
      <c r="F7" s="257"/>
      <c r="G7" s="228"/>
      <c r="H7" s="231">
        <v>4501</v>
      </c>
      <c r="I7" s="219">
        <v>0</v>
      </c>
      <c r="J7" s="217"/>
      <c r="K7" s="217"/>
      <c r="L7" s="217">
        <v>0</v>
      </c>
      <c r="M7" s="9">
        <f t="shared" si="0"/>
        <v>0</v>
      </c>
      <c r="N7" s="217"/>
      <c r="O7" s="217"/>
      <c r="P7" s="217">
        <v>0</v>
      </c>
      <c r="Q7" s="214">
        <f t="shared" si="1"/>
        <v>0</v>
      </c>
      <c r="R7" s="231"/>
    </row>
    <row r="8" spans="1:26" ht="15" thickBot="1" x14ac:dyDescent="0.35">
      <c r="A8" s="39">
        <v>562.24</v>
      </c>
      <c r="B8" s="40" t="s">
        <v>49</v>
      </c>
      <c r="C8" s="15">
        <v>7662</v>
      </c>
      <c r="D8" s="14">
        <f t="shared" si="2"/>
        <v>2648</v>
      </c>
      <c r="E8" s="231"/>
      <c r="F8" s="257"/>
      <c r="G8" s="228"/>
      <c r="H8" s="231"/>
      <c r="I8" s="219"/>
      <c r="J8" s="217"/>
      <c r="K8" s="217"/>
      <c r="L8" s="217"/>
      <c r="M8" s="9">
        <f t="shared" si="0"/>
        <v>0</v>
      </c>
      <c r="N8" s="217"/>
      <c r="O8" s="217"/>
      <c r="P8" s="217"/>
      <c r="Q8" s="214">
        <f t="shared" si="1"/>
        <v>0</v>
      </c>
      <c r="R8" s="231">
        <v>2648</v>
      </c>
      <c r="S8" s="199">
        <v>367.11</v>
      </c>
      <c r="T8" s="200">
        <v>2648</v>
      </c>
    </row>
    <row r="9" spans="1:26" ht="15" thickBot="1" x14ac:dyDescent="0.35">
      <c r="A9" s="39">
        <v>562.25</v>
      </c>
      <c r="B9" s="82" t="s">
        <v>93</v>
      </c>
      <c r="C9" s="15">
        <v>14947</v>
      </c>
      <c r="D9" s="14">
        <f t="shared" si="2"/>
        <v>0</v>
      </c>
      <c r="E9" s="231"/>
      <c r="F9" s="257"/>
      <c r="G9" s="228"/>
      <c r="H9" s="231"/>
      <c r="I9" s="219"/>
      <c r="J9" s="217"/>
      <c r="K9" s="217"/>
      <c r="L9" s="217"/>
      <c r="M9" s="9">
        <f t="shared" si="0"/>
        <v>0</v>
      </c>
      <c r="N9" s="217"/>
      <c r="O9" s="217"/>
      <c r="P9" s="217"/>
      <c r="Q9" s="214">
        <f t="shared" si="1"/>
        <v>0</v>
      </c>
      <c r="R9" s="231"/>
    </row>
    <row r="10" spans="1:26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57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</row>
    <row r="11" spans="1:26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57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</row>
    <row r="12" spans="1:26" ht="15" thickBot="1" x14ac:dyDescent="0.35">
      <c r="A12" s="39">
        <v>562.28</v>
      </c>
      <c r="B12" s="82" t="s">
        <v>94</v>
      </c>
      <c r="C12" s="15">
        <v>116231</v>
      </c>
      <c r="D12" s="14">
        <f t="shared" si="2"/>
        <v>102469</v>
      </c>
      <c r="E12" s="231"/>
      <c r="F12" s="257"/>
      <c r="G12" s="228"/>
      <c r="H12" s="231">
        <f>102161+308</f>
        <v>102469</v>
      </c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</row>
    <row r="13" spans="1:26" ht="15" thickBot="1" x14ac:dyDescent="0.35">
      <c r="A13" s="39">
        <v>562.29</v>
      </c>
      <c r="B13" s="82" t="s">
        <v>86</v>
      </c>
      <c r="C13" s="15">
        <v>43</v>
      </c>
      <c r="D13" s="14">
        <f t="shared" si="2"/>
        <v>3146</v>
      </c>
      <c r="E13" s="231"/>
      <c r="F13" s="257"/>
      <c r="G13" s="228"/>
      <c r="H13" s="231"/>
      <c r="I13" s="219"/>
      <c r="J13" s="217"/>
      <c r="K13" s="217"/>
      <c r="L13" s="217"/>
      <c r="M13" s="9">
        <f t="shared" si="0"/>
        <v>0</v>
      </c>
      <c r="N13" s="217"/>
      <c r="O13" s="217">
        <v>3146</v>
      </c>
      <c r="P13" s="217"/>
      <c r="Q13" s="214">
        <f t="shared" si="1"/>
        <v>3146</v>
      </c>
      <c r="R13" s="231"/>
    </row>
    <row r="14" spans="1:26" ht="15" thickBot="1" x14ac:dyDescent="0.35">
      <c r="A14" s="39">
        <v>562.32000000000005</v>
      </c>
      <c r="B14" s="40" t="s">
        <v>50</v>
      </c>
      <c r="C14" s="15">
        <f>49730+10503</f>
        <v>60233</v>
      </c>
      <c r="D14" s="14">
        <f t="shared" si="2"/>
        <v>33008</v>
      </c>
      <c r="E14" s="231"/>
      <c r="F14" s="257"/>
      <c r="G14" s="228"/>
      <c r="H14" s="231">
        <f>4974+1042</f>
        <v>6016</v>
      </c>
      <c r="I14" s="219"/>
      <c r="J14" s="217"/>
      <c r="K14" s="217"/>
      <c r="L14" s="217"/>
      <c r="M14" s="9">
        <f t="shared" si="0"/>
        <v>0</v>
      </c>
      <c r="N14" s="217"/>
      <c r="O14" s="217">
        <v>26992</v>
      </c>
      <c r="P14" s="217"/>
      <c r="Q14" s="214">
        <f t="shared" si="1"/>
        <v>26992</v>
      </c>
      <c r="R14" s="231"/>
    </row>
    <row r="15" spans="1:26" ht="15" thickBot="1" x14ac:dyDescent="0.35">
      <c r="A15" s="39">
        <v>562.33000000000004</v>
      </c>
      <c r="B15" s="82" t="s">
        <v>95</v>
      </c>
      <c r="C15" s="15">
        <v>5000</v>
      </c>
      <c r="D15" s="14">
        <f t="shared" si="2"/>
        <v>0</v>
      </c>
      <c r="E15" s="231"/>
      <c r="F15" s="257"/>
      <c r="G15" s="228"/>
      <c r="H15" s="231"/>
      <c r="I15" s="219"/>
      <c r="J15" s="217"/>
      <c r="K15" s="217"/>
      <c r="L15" s="217"/>
      <c r="M15" s="9">
        <f t="shared" si="0"/>
        <v>0</v>
      </c>
      <c r="N15" s="217"/>
      <c r="O15" s="217"/>
      <c r="P15" s="217"/>
      <c r="Q15" s="214">
        <f t="shared" si="1"/>
        <v>0</v>
      </c>
      <c r="R15" s="231"/>
    </row>
    <row r="16" spans="1:26" ht="15" thickBot="1" x14ac:dyDescent="0.35">
      <c r="A16" s="39">
        <v>562.34</v>
      </c>
      <c r="B16" s="40" t="s">
        <v>51</v>
      </c>
      <c r="C16" s="15">
        <v>3501</v>
      </c>
      <c r="D16" s="14">
        <f t="shared" si="2"/>
        <v>2838</v>
      </c>
      <c r="E16" s="231"/>
      <c r="F16" s="257"/>
      <c r="G16" s="228"/>
      <c r="H16" s="231"/>
      <c r="I16" s="219"/>
      <c r="J16" s="217"/>
      <c r="K16" s="217"/>
      <c r="L16" s="217"/>
      <c r="M16" s="9">
        <f t="shared" si="0"/>
        <v>0</v>
      </c>
      <c r="N16" s="217"/>
      <c r="O16" s="217">
        <v>2838</v>
      </c>
      <c r="P16" s="217"/>
      <c r="Q16" s="214">
        <f t="shared" si="1"/>
        <v>2838</v>
      </c>
      <c r="R16" s="231"/>
      <c r="T16" s="204"/>
    </row>
    <row r="17" spans="1:18" ht="15" thickBot="1" x14ac:dyDescent="0.35">
      <c r="A17" s="39">
        <v>562.35</v>
      </c>
      <c r="B17" s="40" t="s">
        <v>52</v>
      </c>
      <c r="C17" s="15"/>
      <c r="D17" s="14">
        <f t="shared" si="2"/>
        <v>0</v>
      </c>
      <c r="E17" s="231"/>
      <c r="F17" s="257"/>
      <c r="G17" s="228"/>
      <c r="H17" s="231"/>
      <c r="I17" s="219"/>
      <c r="J17" s="217"/>
      <c r="K17" s="217"/>
      <c r="L17" s="217"/>
      <c r="M17" s="9">
        <f t="shared" si="0"/>
        <v>0</v>
      </c>
      <c r="N17" s="217"/>
      <c r="O17" s="217"/>
      <c r="P17" s="217"/>
      <c r="Q17" s="214">
        <f t="shared" si="1"/>
        <v>0</v>
      </c>
      <c r="R17" s="231"/>
    </row>
    <row r="18" spans="1:18" ht="15" thickBot="1" x14ac:dyDescent="0.35">
      <c r="A18" s="39">
        <v>562.39</v>
      </c>
      <c r="B18" s="40" t="s">
        <v>53</v>
      </c>
      <c r="C18" s="15">
        <v>11179</v>
      </c>
      <c r="D18" s="14">
        <f t="shared" si="2"/>
        <v>200</v>
      </c>
      <c r="E18" s="231"/>
      <c r="F18" s="257"/>
      <c r="G18" s="228"/>
      <c r="H18" s="231"/>
      <c r="I18" s="219"/>
      <c r="J18" s="217"/>
      <c r="K18" s="217"/>
      <c r="L18" s="217"/>
      <c r="M18" s="9">
        <f t="shared" si="0"/>
        <v>0</v>
      </c>
      <c r="N18" s="217"/>
      <c r="O18" s="217">
        <v>200</v>
      </c>
      <c r="P18" s="217"/>
      <c r="Q18" s="214">
        <f t="shared" si="1"/>
        <v>200</v>
      </c>
      <c r="R18" s="231"/>
    </row>
    <row r="19" spans="1:18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57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</row>
    <row r="20" spans="1:18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57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</row>
    <row r="21" spans="1:18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57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</row>
    <row r="22" spans="1:18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20206</v>
      </c>
      <c r="E22" s="231">
        <v>0</v>
      </c>
      <c r="F22" s="257"/>
      <c r="G22" s="228"/>
      <c r="H22" s="231">
        <v>20206</v>
      </c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</row>
    <row r="23" spans="1:18" ht="15" thickBot="1" x14ac:dyDescent="0.35">
      <c r="A23" s="39">
        <v>562.45000000000005</v>
      </c>
      <c r="B23" s="82" t="s">
        <v>98</v>
      </c>
      <c r="C23" s="15"/>
      <c r="D23" s="14">
        <f t="shared" si="2"/>
        <v>0</v>
      </c>
      <c r="E23" s="231"/>
      <c r="F23" s="257"/>
      <c r="G23" s="228"/>
      <c r="H23" s="231"/>
      <c r="I23" s="219"/>
      <c r="J23" s="217"/>
      <c r="K23" s="217"/>
      <c r="L23" s="217"/>
      <c r="M23" s="9">
        <f t="shared" si="0"/>
        <v>0</v>
      </c>
      <c r="N23" s="217"/>
      <c r="O23" s="217"/>
      <c r="P23" s="217"/>
      <c r="Q23" s="214">
        <f t="shared" si="1"/>
        <v>0</v>
      </c>
      <c r="R23" s="231"/>
    </row>
    <row r="24" spans="1:18" ht="15" thickBot="1" x14ac:dyDescent="0.35">
      <c r="A24" s="39">
        <v>562.49</v>
      </c>
      <c r="B24" s="82" t="s">
        <v>87</v>
      </c>
      <c r="C24" s="15"/>
      <c r="D24" s="14">
        <f t="shared" si="2"/>
        <v>0</v>
      </c>
      <c r="E24" s="231"/>
      <c r="F24" s="257"/>
      <c r="G24" s="228"/>
      <c r="H24" s="231"/>
      <c r="I24" s="219"/>
      <c r="J24" s="217"/>
      <c r="K24" s="217"/>
      <c r="L24" s="217"/>
      <c r="M24" s="9">
        <f t="shared" si="0"/>
        <v>0</v>
      </c>
      <c r="N24" s="217"/>
      <c r="O24" s="217"/>
      <c r="P24" s="217"/>
      <c r="Q24" s="214">
        <f t="shared" si="1"/>
        <v>0</v>
      </c>
      <c r="R24" s="231"/>
    </row>
    <row r="25" spans="1:18" ht="15" thickBot="1" x14ac:dyDescent="0.35">
      <c r="A25" s="39">
        <v>562.52</v>
      </c>
      <c r="B25" s="40" t="s">
        <v>56</v>
      </c>
      <c r="C25" s="15">
        <v>597</v>
      </c>
      <c r="D25" s="14">
        <f t="shared" si="2"/>
        <v>0</v>
      </c>
      <c r="E25" s="231"/>
      <c r="F25" s="257"/>
      <c r="G25" s="228"/>
      <c r="H25" s="231"/>
      <c r="I25" s="219"/>
      <c r="J25" s="217"/>
      <c r="K25" s="217"/>
      <c r="L25" s="217"/>
      <c r="M25" s="9">
        <f t="shared" si="0"/>
        <v>0</v>
      </c>
      <c r="N25" s="217"/>
      <c r="O25" s="217"/>
      <c r="P25" s="217"/>
      <c r="Q25" s="214">
        <f t="shared" si="1"/>
        <v>0</v>
      </c>
      <c r="R25" s="231"/>
    </row>
    <row r="26" spans="1:18" ht="15" thickBot="1" x14ac:dyDescent="0.35">
      <c r="A26" s="39">
        <v>562.53</v>
      </c>
      <c r="B26" s="82" t="s">
        <v>99</v>
      </c>
      <c r="C26" s="15">
        <v>9896</v>
      </c>
      <c r="D26" s="14">
        <f t="shared" si="2"/>
        <v>21719</v>
      </c>
      <c r="E26" s="231"/>
      <c r="F26" s="257"/>
      <c r="G26" s="228">
        <v>9219</v>
      </c>
      <c r="H26" s="231"/>
      <c r="I26" s="219"/>
      <c r="J26" s="217"/>
      <c r="K26" s="217"/>
      <c r="L26" s="217"/>
      <c r="M26" s="9">
        <f t="shared" si="0"/>
        <v>0</v>
      </c>
      <c r="N26" s="217">
        <v>12500</v>
      </c>
      <c r="O26" s="217"/>
      <c r="P26" s="217"/>
      <c r="Q26" s="214">
        <f t="shared" si="1"/>
        <v>12500</v>
      </c>
      <c r="R26" s="231"/>
    </row>
    <row r="27" spans="1:18" ht="15" thickBot="1" x14ac:dyDescent="0.35">
      <c r="A27" s="39">
        <v>562.54</v>
      </c>
      <c r="B27" s="82" t="s">
        <v>100</v>
      </c>
      <c r="C27" s="15">
        <v>28188</v>
      </c>
      <c r="D27" s="14">
        <f t="shared" si="2"/>
        <v>30570</v>
      </c>
      <c r="E27" s="231"/>
      <c r="F27" s="257"/>
      <c r="G27" s="228"/>
      <c r="H27" s="231"/>
      <c r="I27" s="219"/>
      <c r="J27" s="217"/>
      <c r="K27" s="217"/>
      <c r="L27" s="217"/>
      <c r="M27" s="9">
        <f t="shared" si="0"/>
        <v>0</v>
      </c>
      <c r="N27" s="217">
        <v>30390</v>
      </c>
      <c r="O27" s="217">
        <v>180</v>
      </c>
      <c r="P27" s="217"/>
      <c r="Q27" s="214">
        <f t="shared" si="1"/>
        <v>30570</v>
      </c>
      <c r="R27" s="231"/>
    </row>
    <row r="28" spans="1:18" ht="15" thickBot="1" x14ac:dyDescent="0.35">
      <c r="A28" s="39">
        <v>562.54999999999995</v>
      </c>
      <c r="B28" s="40" t="s">
        <v>57</v>
      </c>
      <c r="C28" s="15">
        <v>186</v>
      </c>
      <c r="D28" s="14">
        <f t="shared" si="2"/>
        <v>30094</v>
      </c>
      <c r="E28" s="231"/>
      <c r="F28" s="257"/>
      <c r="G28" s="228"/>
      <c r="H28" s="231"/>
      <c r="I28" s="219"/>
      <c r="J28" s="217"/>
      <c r="K28" s="217"/>
      <c r="L28" s="217"/>
      <c r="M28" s="9">
        <f t="shared" si="0"/>
        <v>0</v>
      </c>
      <c r="N28" s="217">
        <v>30094</v>
      </c>
      <c r="O28" s="217"/>
      <c r="P28" s="217"/>
      <c r="Q28" s="214">
        <f t="shared" si="1"/>
        <v>30094</v>
      </c>
      <c r="R28" s="231"/>
    </row>
    <row r="29" spans="1:18" ht="15" thickBot="1" x14ac:dyDescent="0.35">
      <c r="A29" s="39">
        <v>562.55999999999995</v>
      </c>
      <c r="B29" s="40" t="s">
        <v>58</v>
      </c>
      <c r="C29" s="15">
        <v>14850</v>
      </c>
      <c r="D29" s="14">
        <f t="shared" si="2"/>
        <v>0</v>
      </c>
      <c r="E29" s="231"/>
      <c r="F29" s="257"/>
      <c r="G29" s="228"/>
      <c r="H29" s="231"/>
      <c r="I29" s="219"/>
      <c r="J29" s="217"/>
      <c r="K29" s="217"/>
      <c r="L29" s="217"/>
      <c r="M29" s="9">
        <f t="shared" si="0"/>
        <v>0</v>
      </c>
      <c r="N29" s="217"/>
      <c r="O29" s="217"/>
      <c r="P29" s="217"/>
      <c r="Q29" s="214">
        <f t="shared" si="1"/>
        <v>0</v>
      </c>
      <c r="R29" s="231"/>
    </row>
    <row r="30" spans="1:18" ht="15" thickBot="1" x14ac:dyDescent="0.35">
      <c r="A30" s="39">
        <v>562.57000000000005</v>
      </c>
      <c r="B30" s="82" t="s">
        <v>101</v>
      </c>
      <c r="C30" s="15">
        <v>0</v>
      </c>
      <c r="D30" s="14">
        <f t="shared" si="2"/>
        <v>0</v>
      </c>
      <c r="E30" s="231"/>
      <c r="F30" s="257"/>
      <c r="G30" s="228"/>
      <c r="H30" s="231"/>
      <c r="I30" s="219"/>
      <c r="J30" s="217"/>
      <c r="K30" s="217"/>
      <c r="L30" s="217"/>
      <c r="M30" s="9">
        <f t="shared" si="0"/>
        <v>0</v>
      </c>
      <c r="N30" s="217"/>
      <c r="O30" s="217"/>
      <c r="P30" s="217"/>
      <c r="Q30" s="214">
        <f t="shared" si="1"/>
        <v>0</v>
      </c>
      <c r="R30" s="231"/>
    </row>
    <row r="31" spans="1:18" ht="15" thickBot="1" x14ac:dyDescent="0.35">
      <c r="A31" s="39">
        <v>562.58000000000004</v>
      </c>
      <c r="B31" s="82" t="s">
        <v>88</v>
      </c>
      <c r="C31" s="15">
        <v>538</v>
      </c>
      <c r="D31" s="14">
        <f t="shared" si="2"/>
        <v>0</v>
      </c>
      <c r="E31" s="231"/>
      <c r="F31" s="257"/>
      <c r="G31" s="228"/>
      <c r="H31" s="231"/>
      <c r="I31" s="219"/>
      <c r="J31" s="217"/>
      <c r="K31" s="217"/>
      <c r="L31" s="217"/>
      <c r="M31" s="9">
        <f t="shared" si="0"/>
        <v>0</v>
      </c>
      <c r="N31" s="217"/>
      <c r="O31" s="217"/>
      <c r="P31" s="217"/>
      <c r="Q31" s="214">
        <f t="shared" si="1"/>
        <v>0</v>
      </c>
      <c r="R31" s="231"/>
    </row>
    <row r="32" spans="1:18" ht="15" thickBot="1" x14ac:dyDescent="0.35">
      <c r="A32" s="39">
        <v>562.59</v>
      </c>
      <c r="B32" s="82" t="s">
        <v>89</v>
      </c>
      <c r="C32" s="15">
        <v>4812</v>
      </c>
      <c r="D32" s="14">
        <f t="shared" si="2"/>
        <v>0</v>
      </c>
      <c r="E32" s="231"/>
      <c r="F32" s="257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</row>
    <row r="33" spans="1:18" ht="15" thickBot="1" x14ac:dyDescent="0.35">
      <c r="A33" s="39">
        <v>562.6</v>
      </c>
      <c r="B33" s="40" t="s">
        <v>59</v>
      </c>
      <c r="C33" s="15">
        <v>310</v>
      </c>
      <c r="D33" s="14">
        <f t="shared" si="2"/>
        <v>3900</v>
      </c>
      <c r="E33" s="231"/>
      <c r="F33" s="257"/>
      <c r="G33" s="228"/>
      <c r="H33" s="231"/>
      <c r="I33" s="219"/>
      <c r="J33" s="217"/>
      <c r="K33" s="217"/>
      <c r="L33" s="217"/>
      <c r="M33" s="9">
        <f t="shared" si="0"/>
        <v>0</v>
      </c>
      <c r="N33" s="217">
        <v>3900</v>
      </c>
      <c r="O33" s="217"/>
      <c r="P33" s="217"/>
      <c r="Q33" s="214">
        <f t="shared" si="1"/>
        <v>3900</v>
      </c>
      <c r="R33" s="231"/>
    </row>
    <row r="34" spans="1:18" ht="15" thickBot="1" x14ac:dyDescent="0.35">
      <c r="A34" s="39">
        <v>562.71</v>
      </c>
      <c r="B34" s="40" t="s">
        <v>60</v>
      </c>
      <c r="C34" s="15">
        <v>10122</v>
      </c>
      <c r="D34" s="14">
        <f t="shared" si="2"/>
        <v>4136</v>
      </c>
      <c r="E34" s="231"/>
      <c r="F34" s="257"/>
      <c r="G34" s="228"/>
      <c r="H34" s="231"/>
      <c r="I34" s="219"/>
      <c r="J34" s="217"/>
      <c r="K34" s="217"/>
      <c r="L34" s="217"/>
      <c r="M34" s="9">
        <f t="shared" si="0"/>
        <v>0</v>
      </c>
      <c r="N34" s="217"/>
      <c r="O34" s="217">
        <v>4136</v>
      </c>
      <c r="P34" s="217"/>
      <c r="Q34" s="214">
        <f t="shared" si="1"/>
        <v>4136</v>
      </c>
      <c r="R34" s="231"/>
    </row>
    <row r="35" spans="1:18" ht="15" thickBot="1" x14ac:dyDescent="0.35">
      <c r="A35" s="39">
        <v>562.72</v>
      </c>
      <c r="B35" s="40" t="s">
        <v>61</v>
      </c>
      <c r="C35" s="15"/>
      <c r="D35" s="14">
        <f t="shared" si="2"/>
        <v>0</v>
      </c>
      <c r="E35" s="231"/>
      <c r="F35" s="257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/>
      <c r="P35" s="217"/>
      <c r="Q35" s="214">
        <f t="shared" si="1"/>
        <v>0</v>
      </c>
      <c r="R35" s="231"/>
    </row>
    <row r="36" spans="1:18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</row>
    <row r="37" spans="1:18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</row>
    <row r="38" spans="1:18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</row>
    <row r="39" spans="1:18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</row>
    <row r="40" spans="1:18" ht="15" thickBot="1" x14ac:dyDescent="0.35">
      <c r="A40" s="39">
        <v>562.79999999999995</v>
      </c>
      <c r="B40" s="40" t="s">
        <v>65</v>
      </c>
      <c r="C40" s="15"/>
      <c r="D40" s="14">
        <f t="shared" si="2"/>
        <v>0</v>
      </c>
      <c r="E40" s="231"/>
      <c r="F40" s="257"/>
      <c r="G40" s="228"/>
      <c r="H40" s="231"/>
      <c r="I40" s="219"/>
      <c r="J40" s="217"/>
      <c r="K40" s="217"/>
      <c r="L40" s="217"/>
      <c r="M40" s="9">
        <f t="shared" si="0"/>
        <v>0</v>
      </c>
      <c r="N40" s="217"/>
      <c r="O40" s="217"/>
      <c r="P40" s="217"/>
      <c r="Q40" s="214">
        <f t="shared" si="1"/>
        <v>0</v>
      </c>
      <c r="R40" s="231"/>
    </row>
    <row r="41" spans="1:18" ht="15" thickBot="1" x14ac:dyDescent="0.35">
      <c r="A41" s="39">
        <v>562.88</v>
      </c>
      <c r="B41" s="82" t="s">
        <v>91</v>
      </c>
      <c r="C41" s="15">
        <v>34189</v>
      </c>
      <c r="D41" s="14">
        <f t="shared" si="2"/>
        <v>24160</v>
      </c>
      <c r="E41" s="231"/>
      <c r="F41" s="257"/>
      <c r="G41" s="228"/>
      <c r="H41" s="231">
        <v>24160</v>
      </c>
      <c r="I41" s="219"/>
      <c r="J41" s="217"/>
      <c r="K41" s="217"/>
      <c r="L41" s="217"/>
      <c r="M41" s="9">
        <f t="shared" si="0"/>
        <v>0</v>
      </c>
      <c r="N41" s="217"/>
      <c r="O41" s="217"/>
      <c r="P41" s="217"/>
      <c r="Q41" s="214">
        <f t="shared" si="1"/>
        <v>0</v>
      </c>
      <c r="R41" s="231"/>
    </row>
    <row r="42" spans="1:18" ht="15" thickBot="1" x14ac:dyDescent="0.35">
      <c r="A42" s="39">
        <v>562.9</v>
      </c>
      <c r="B42" s="40" t="s">
        <v>66</v>
      </c>
      <c r="C42" s="15"/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</row>
    <row r="43" spans="1:18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</row>
    <row r="44" spans="1:18" x14ac:dyDescent="0.3">
      <c r="A44" s="206" t="s">
        <v>110</v>
      </c>
      <c r="B44" s="207" t="s">
        <v>68</v>
      </c>
      <c r="C44" s="208">
        <f>SUM(C5:C43)</f>
        <v>683938</v>
      </c>
      <c r="D44" s="205">
        <f>E44+F44+G44+H44+I44+M44+Q44+R44</f>
        <v>539767</v>
      </c>
      <c r="E44" s="233">
        <f t="shared" ref="E44:R44" si="3">SUM(E5:E43)</f>
        <v>0</v>
      </c>
      <c r="F44" s="259">
        <f t="shared" si="3"/>
        <v>159890</v>
      </c>
      <c r="G44" s="223">
        <f t="shared" si="3"/>
        <v>9219</v>
      </c>
      <c r="H44" s="233">
        <f t="shared" si="3"/>
        <v>185461</v>
      </c>
      <c r="I44" s="239">
        <f t="shared" si="3"/>
        <v>54381</v>
      </c>
      <c r="J44" s="245">
        <f>SUM(J5:J43)</f>
        <v>0</v>
      </c>
      <c r="K44" s="245">
        <f>SUM(K5:K43)</f>
        <v>0</v>
      </c>
      <c r="L44" s="245">
        <f>SUM(L5:L43)</f>
        <v>12500</v>
      </c>
      <c r="M44" s="208">
        <f t="shared" si="3"/>
        <v>12500</v>
      </c>
      <c r="N44" s="245">
        <f>SUM(N5:N43)</f>
        <v>76884</v>
      </c>
      <c r="O44" s="245">
        <f>SUM(O5:O43)</f>
        <v>37492</v>
      </c>
      <c r="P44" s="245">
        <f>SUM(P5:P43)</f>
        <v>0</v>
      </c>
      <c r="Q44" s="216">
        <f t="shared" si="3"/>
        <v>114376</v>
      </c>
      <c r="R44" s="233">
        <f t="shared" si="3"/>
        <v>3940</v>
      </c>
    </row>
    <row r="45" spans="1:18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</row>
    <row r="46" spans="1:18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</row>
    <row r="47" spans="1:18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</row>
    <row r="48" spans="1:18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</row>
    <row r="49" spans="1:18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</row>
    <row r="50" spans="1:18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</row>
    <row r="51" spans="1:18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</row>
    <row r="52" spans="1:18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</row>
    <row r="53" spans="1:18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</row>
    <row r="54" spans="1:18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</row>
    <row r="55" spans="1:18" x14ac:dyDescent="0.3">
      <c r="A55" s="41">
        <v>500</v>
      </c>
      <c r="B55" s="32" t="s">
        <v>118</v>
      </c>
      <c r="C55" s="18"/>
      <c r="D55" s="20">
        <f t="shared" si="2"/>
        <v>0</v>
      </c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</row>
    <row r="56" spans="1:18" ht="15" thickBot="1" x14ac:dyDescent="0.35">
      <c r="A56" s="107"/>
      <c r="B56" s="108" t="s">
        <v>80</v>
      </c>
      <c r="C56" s="111">
        <f>SUM(C44:C55)</f>
        <v>683938</v>
      </c>
      <c r="D56" s="110">
        <f>E56+F56+G56+H56+I56+M56+Q56+R56</f>
        <v>539767</v>
      </c>
      <c r="E56" s="235">
        <f t="shared" ref="E56:R56" si="4">SUM(E44:E55)</f>
        <v>0</v>
      </c>
      <c r="F56" s="260">
        <f t="shared" si="4"/>
        <v>159890</v>
      </c>
      <c r="G56" s="225">
        <f t="shared" si="4"/>
        <v>9219</v>
      </c>
      <c r="H56" s="235">
        <f t="shared" si="4"/>
        <v>185461</v>
      </c>
      <c r="I56" s="240">
        <f t="shared" si="4"/>
        <v>54381</v>
      </c>
      <c r="J56" s="218">
        <f>SUM(J44:J55)</f>
        <v>0</v>
      </c>
      <c r="K56" s="218">
        <f>SUM(K44:K55)</f>
        <v>0</v>
      </c>
      <c r="L56" s="218">
        <f>SUM(L44:L55)</f>
        <v>12500</v>
      </c>
      <c r="M56" s="209">
        <f t="shared" si="4"/>
        <v>12500</v>
      </c>
      <c r="N56" s="218">
        <f>SUM(N44:N55)</f>
        <v>76884</v>
      </c>
      <c r="O56" s="218">
        <f>SUM(O44:O55)</f>
        <v>37492</v>
      </c>
      <c r="P56" s="218">
        <f>SUM(P44:P55)</f>
        <v>0</v>
      </c>
      <c r="Q56" s="218">
        <f t="shared" si="4"/>
        <v>114376</v>
      </c>
      <c r="R56" s="235">
        <f t="shared" si="4"/>
        <v>3940</v>
      </c>
    </row>
    <row r="57" spans="1:18" ht="15" thickTop="1" x14ac:dyDescent="0.3"/>
    <row r="58" spans="1:18" ht="15" thickBot="1" x14ac:dyDescent="0.35"/>
    <row r="59" spans="1:18" ht="15" thickBot="1" x14ac:dyDescent="0.35">
      <c r="B59" s="42" t="s">
        <v>109</v>
      </c>
      <c r="C59" s="43"/>
      <c r="D59" s="44"/>
    </row>
    <row r="60" spans="1:18" ht="15" thickTop="1" x14ac:dyDescent="0.3">
      <c r="B60" s="115"/>
      <c r="C60" s="116" t="s">
        <v>82</v>
      </c>
      <c r="D60" s="117" t="s">
        <v>78</v>
      </c>
    </row>
    <row r="61" spans="1:18" x14ac:dyDescent="0.3">
      <c r="B61" s="153" t="s">
        <v>108</v>
      </c>
      <c r="C61" s="45"/>
      <c r="D61" s="46"/>
    </row>
    <row r="62" spans="1:18" x14ac:dyDescent="0.3">
      <c r="B62" s="26" t="s">
        <v>3</v>
      </c>
      <c r="C62" s="47">
        <f>E56</f>
        <v>0</v>
      </c>
      <c r="D62" s="48">
        <f>E56/D56</f>
        <v>0</v>
      </c>
    </row>
    <row r="63" spans="1:18" x14ac:dyDescent="0.3">
      <c r="B63" s="26" t="s">
        <v>4</v>
      </c>
      <c r="C63" s="49">
        <f>F56</f>
        <v>159890</v>
      </c>
      <c r="D63" s="48">
        <f>F56/D56</f>
        <v>0.29622040621231011</v>
      </c>
    </row>
    <row r="64" spans="1:18" x14ac:dyDescent="0.3">
      <c r="B64" s="56" t="s">
        <v>79</v>
      </c>
      <c r="C64" s="50">
        <f>G56</f>
        <v>9219</v>
      </c>
      <c r="D64" s="51">
        <f>G56/D56</f>
        <v>1.7079591749773512E-2</v>
      </c>
    </row>
    <row r="65" spans="2:4" ht="15" thickBot="1" x14ac:dyDescent="0.35">
      <c r="B65" s="146" t="s">
        <v>115</v>
      </c>
      <c r="C65" s="52">
        <f>SUM(C62:C64)</f>
        <v>169109</v>
      </c>
      <c r="D65" s="53">
        <f>SUM(D62:D64)</f>
        <v>0.31329999796208363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185461</v>
      </c>
      <c r="D67" s="25">
        <f>H56/D56</f>
        <v>0.34359455098218306</v>
      </c>
    </row>
    <row r="68" spans="2:4" x14ac:dyDescent="0.3">
      <c r="B68" s="57" t="s">
        <v>7</v>
      </c>
      <c r="C68" s="27">
        <f>I56</f>
        <v>54381</v>
      </c>
      <c r="D68" s="28">
        <f>I56/D56</f>
        <v>0.100749026894938</v>
      </c>
    </row>
    <row r="69" spans="2:4" ht="15" thickBot="1" x14ac:dyDescent="0.35">
      <c r="B69" s="146" t="s">
        <v>116</v>
      </c>
      <c r="C69" s="52">
        <f>SUM(C67:C68)</f>
        <v>239842</v>
      </c>
      <c r="D69" s="53">
        <f>SUM(D67:D68)</f>
        <v>0.44434357787712109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12500</v>
      </c>
      <c r="D71" s="25">
        <f>M56/D56</f>
        <v>2.3158140456900848E-2</v>
      </c>
    </row>
    <row r="72" spans="2:4" x14ac:dyDescent="0.3">
      <c r="B72" s="24" t="s">
        <v>8</v>
      </c>
      <c r="C72" s="23">
        <f>Q56</f>
        <v>114376</v>
      </c>
      <c r="D72" s="25">
        <f>Q56/D56</f>
        <v>0.21189883783187932</v>
      </c>
    </row>
    <row r="73" spans="2:4" x14ac:dyDescent="0.3">
      <c r="B73" s="163" t="s">
        <v>83</v>
      </c>
      <c r="C73" s="27">
        <f>R56</f>
        <v>3940</v>
      </c>
      <c r="D73" s="28">
        <f>R56/D56</f>
        <v>7.2994458720151475E-3</v>
      </c>
    </row>
    <row r="74" spans="2:4" ht="15" thickBot="1" x14ac:dyDescent="0.35">
      <c r="B74" s="146" t="s">
        <v>117</v>
      </c>
      <c r="C74" s="52">
        <f>SUM(C71:C73)</f>
        <v>130816</v>
      </c>
      <c r="D74" s="53">
        <f>SUM(D71:D73)</f>
        <v>0.24235642416079531</v>
      </c>
    </row>
    <row r="75" spans="2:4" ht="15" thickBot="1" x14ac:dyDescent="0.35">
      <c r="B75" s="157" t="s">
        <v>80</v>
      </c>
      <c r="C75" s="158">
        <f>C65+C69+C74</f>
        <v>539767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A5:R55">
    <cfRule type="expression" dxfId="178" priority="7">
      <formula>ROW()=EVEN(ROW())</formula>
    </cfRule>
  </conditionalFormatting>
  <printOptions horizontalCentered="1"/>
  <pageMargins left="0" right="0" top="1.1000000000000001" bottom="0.5" header="0.3" footer="0.3"/>
  <pageSetup scale="85" fitToHeight="0" orientation="landscape" r:id="rId1"/>
  <headerFooter>
    <oddHeader>&amp;C&amp;"-,Bold"&amp;20Funding by Expenditure Code and Revenue Source&amp;"-,Regular"&amp;11
&amp;"-,Bold"&amp;20 2014&amp;"-,Regular"&amp;11
&amp;"-,Bold"&amp;20ASOTIN</oddHeader>
    <oddFooter>&amp;LRevised 11-4-16&amp;CPage &amp;P&amp;RSOURCE:  BARS A Reports
Compiled by DOH</oddFooter>
  </headerFooter>
  <rowBreaks count="1" manualBreakCount="1">
    <brk id="44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88"/>
  <sheetViews>
    <sheetView showZeros="0" topLeftCell="A4" zoomScale="85" zoomScaleNormal="85" workbookViewId="0">
      <selection activeCell="Q4" sqref="Q4"/>
    </sheetView>
  </sheetViews>
  <sheetFormatPr defaultRowHeight="14.4" x14ac:dyDescent="0.3"/>
  <cols>
    <col min="1" max="1" width="7.33203125" customWidth="1"/>
    <col min="2" max="2" width="35.109375" bestFit="1" customWidth="1"/>
    <col min="3" max="4" width="11.6640625" customWidth="1"/>
    <col min="5" max="9" width="11.6640625" style="226" customWidth="1"/>
    <col min="10" max="12" width="11.6640625" style="226" hidden="1" customWidth="1"/>
    <col min="13" max="13" width="11.6640625" customWidth="1"/>
    <col min="14" max="14" width="11.6640625" style="226" hidden="1" customWidth="1"/>
    <col min="15" max="15" width="10.88671875" style="226" hidden="1" customWidth="1"/>
    <col min="16" max="16" width="10.6640625" style="226" hidden="1" customWidth="1"/>
    <col min="17" max="17" width="9.6640625" customWidth="1"/>
    <col min="18" max="18" width="10" style="226" customWidth="1"/>
    <col min="19" max="19" width="8.44140625" style="199" customWidth="1"/>
    <col min="20" max="20" width="7.88671875" style="200" customWidth="1"/>
    <col min="21" max="21" width="7.44140625" customWidth="1"/>
    <col min="22" max="22" width="7.6640625" customWidth="1"/>
    <col min="23" max="24" width="7.5546875" customWidth="1"/>
    <col min="25" max="25" width="7.33203125" customWidth="1"/>
    <col min="26" max="26" width="6.44140625" customWidth="1"/>
  </cols>
  <sheetData>
    <row r="1" spans="1:26" x14ac:dyDescent="0.3">
      <c r="A1" s="22" t="s">
        <v>150</v>
      </c>
      <c r="B1" s="6"/>
      <c r="C1" s="31">
        <v>273100</v>
      </c>
      <c r="D1" s="4"/>
      <c r="E1" s="221"/>
      <c r="F1" s="221"/>
      <c r="G1" s="221"/>
      <c r="H1" s="221"/>
      <c r="I1" s="221"/>
      <c r="J1" s="221"/>
      <c r="K1" s="221"/>
      <c r="L1" s="221"/>
      <c r="M1" s="3"/>
      <c r="N1" s="221"/>
      <c r="O1" s="221"/>
      <c r="P1" s="221"/>
      <c r="Q1" s="3"/>
      <c r="R1" s="221"/>
    </row>
    <row r="2" spans="1:26" x14ac:dyDescent="0.3">
      <c r="A2" s="80" t="s">
        <v>44</v>
      </c>
      <c r="B2" s="5"/>
      <c r="C2" s="83">
        <v>82.23</v>
      </c>
      <c r="D2" s="4"/>
      <c r="E2" s="221"/>
      <c r="F2" s="221"/>
      <c r="G2" s="221"/>
      <c r="H2" s="221"/>
      <c r="I2" s="237"/>
      <c r="J2" s="237"/>
      <c r="K2" s="237"/>
      <c r="L2" s="237"/>
      <c r="M2" s="106"/>
      <c r="N2" s="248"/>
      <c r="O2" s="248"/>
      <c r="P2" s="248"/>
      <c r="Q2" s="5"/>
      <c r="R2" s="251" t="s">
        <v>147</v>
      </c>
    </row>
    <row r="3" spans="1:26" x14ac:dyDescent="0.3">
      <c r="A3" s="81"/>
      <c r="B3" s="3"/>
      <c r="C3" s="133"/>
      <c r="D3" s="13"/>
      <c r="E3" s="297" t="s">
        <v>108</v>
      </c>
      <c r="F3" s="298"/>
      <c r="G3" s="298"/>
      <c r="H3" s="297" t="s">
        <v>107</v>
      </c>
      <c r="I3" s="298"/>
      <c r="J3" s="242"/>
      <c r="K3" s="242"/>
      <c r="L3" s="242"/>
      <c r="M3" s="299" t="s">
        <v>106</v>
      </c>
      <c r="N3" s="300"/>
      <c r="O3" s="300"/>
      <c r="P3" s="300"/>
      <c r="Q3" s="301"/>
      <c r="R3" s="252"/>
    </row>
    <row r="4" spans="1:26" ht="69" customHeight="1" thickBot="1" x14ac:dyDescent="0.35">
      <c r="A4" s="35" t="s">
        <v>112</v>
      </c>
      <c r="B4" s="32" t="s">
        <v>111</v>
      </c>
      <c r="C4" s="132" t="s">
        <v>1</v>
      </c>
      <c r="D4" s="79" t="s">
        <v>45</v>
      </c>
      <c r="E4" s="253" t="s">
        <v>3</v>
      </c>
      <c r="F4" s="255" t="s">
        <v>4</v>
      </c>
      <c r="G4" s="222" t="s">
        <v>5</v>
      </c>
      <c r="H4" s="230" t="s">
        <v>6</v>
      </c>
      <c r="I4" s="238" t="s">
        <v>105</v>
      </c>
      <c r="J4" s="243" t="s">
        <v>123</v>
      </c>
      <c r="K4" s="243">
        <v>368</v>
      </c>
      <c r="L4" s="243" t="s">
        <v>134</v>
      </c>
      <c r="M4" s="196" t="s">
        <v>103</v>
      </c>
      <c r="N4" s="249" t="s">
        <v>124</v>
      </c>
      <c r="O4" s="249" t="s">
        <v>129</v>
      </c>
      <c r="P4" s="249" t="s">
        <v>135</v>
      </c>
      <c r="Q4" s="282" t="s">
        <v>8</v>
      </c>
      <c r="R4" s="253" t="s">
        <v>46</v>
      </c>
      <c r="S4" s="202" t="s">
        <v>153</v>
      </c>
      <c r="T4" s="203" t="s">
        <v>82</v>
      </c>
      <c r="U4" s="202" t="s">
        <v>153</v>
      </c>
      <c r="V4" s="203" t="s">
        <v>82</v>
      </c>
      <c r="W4" s="202" t="s">
        <v>153</v>
      </c>
      <c r="X4" s="203" t="s">
        <v>82</v>
      </c>
      <c r="Y4" s="202" t="s">
        <v>153</v>
      </c>
      <c r="Z4" s="203" t="s">
        <v>82</v>
      </c>
    </row>
    <row r="5" spans="1:26" ht="15" thickBot="1" x14ac:dyDescent="0.35">
      <c r="A5" s="36">
        <v>562.1</v>
      </c>
      <c r="B5" s="37" t="s">
        <v>47</v>
      </c>
      <c r="C5" s="16">
        <v>370514</v>
      </c>
      <c r="D5" s="14">
        <f>E5+F5+G5+H5+I5+M5+Q5+R5</f>
        <v>366616</v>
      </c>
      <c r="E5" s="236"/>
      <c r="F5" s="256"/>
      <c r="G5" s="227"/>
      <c r="H5" s="236"/>
      <c r="I5" s="241"/>
      <c r="J5" s="214">
        <v>362452</v>
      </c>
      <c r="K5" s="214"/>
      <c r="L5" s="214">
        <v>0</v>
      </c>
      <c r="M5" s="9">
        <f>SUM(J5:L5)</f>
        <v>362452</v>
      </c>
      <c r="N5" s="214"/>
      <c r="O5" s="214"/>
      <c r="P5" s="214">
        <v>0</v>
      </c>
      <c r="Q5" s="214">
        <f>SUM(N5:P5)</f>
        <v>0</v>
      </c>
      <c r="R5" s="236">
        <f>1071+3093</f>
        <v>4164</v>
      </c>
      <c r="S5" s="199">
        <v>369.9</v>
      </c>
      <c r="T5" s="200">
        <v>1071</v>
      </c>
      <c r="U5" s="199">
        <v>380.1</v>
      </c>
      <c r="V5" s="200">
        <v>3093</v>
      </c>
    </row>
    <row r="6" spans="1:26" ht="15" thickBot="1" x14ac:dyDescent="0.35">
      <c r="A6" s="39">
        <v>562.21</v>
      </c>
      <c r="B6" s="40" t="s">
        <v>48</v>
      </c>
      <c r="C6" s="15"/>
      <c r="D6" s="14">
        <f>E6+F6+G6+H6+I6+M6+Q6+R6</f>
        <v>0</v>
      </c>
      <c r="E6" s="231"/>
      <c r="F6" s="257"/>
      <c r="G6" s="228"/>
      <c r="H6" s="231"/>
      <c r="I6" s="219"/>
      <c r="J6" s="217"/>
      <c r="K6" s="217"/>
      <c r="L6" s="217">
        <v>0</v>
      </c>
      <c r="M6" s="9">
        <f t="shared" ref="M6:M55" si="0">SUM(J6:L6)</f>
        <v>0</v>
      </c>
      <c r="N6" s="217"/>
      <c r="O6" s="217"/>
      <c r="P6" s="217">
        <v>0</v>
      </c>
      <c r="Q6" s="214">
        <f t="shared" ref="Q6:Q55" si="1">SUM(N6:P6)</f>
        <v>0</v>
      </c>
      <c r="R6" s="231"/>
      <c r="U6" s="199"/>
      <c r="V6" s="200"/>
      <c r="W6" s="199"/>
      <c r="X6" s="200"/>
    </row>
    <row r="7" spans="1:26" ht="15" thickBot="1" x14ac:dyDescent="0.35">
      <c r="A7" s="39">
        <v>562.22</v>
      </c>
      <c r="B7" s="82" t="s">
        <v>92</v>
      </c>
      <c r="C7" s="15">
        <v>1429885</v>
      </c>
      <c r="D7" s="14">
        <f>E7+F7+G7+H7+I7+M7+Q7+R7</f>
        <v>1425398</v>
      </c>
      <c r="E7" s="231">
        <v>1000</v>
      </c>
      <c r="F7" s="276">
        <v>242393</v>
      </c>
      <c r="G7" s="228"/>
      <c r="H7" s="231">
        <f>113642+614240+164554</f>
        <v>892436</v>
      </c>
      <c r="I7" s="219">
        <v>58532</v>
      </c>
      <c r="J7" s="217">
        <f>31694+86959</f>
        <v>118653</v>
      </c>
      <c r="K7" s="217"/>
      <c r="L7" s="217">
        <v>0</v>
      </c>
      <c r="M7" s="9">
        <f t="shared" si="0"/>
        <v>118653</v>
      </c>
      <c r="N7" s="217"/>
      <c r="O7" s="217">
        <f>73035+24943+14406</f>
        <v>112384</v>
      </c>
      <c r="P7" s="217">
        <v>0</v>
      </c>
      <c r="Q7" s="214">
        <f t="shared" si="1"/>
        <v>112384</v>
      </c>
      <c r="R7" s="231"/>
      <c r="U7" s="199"/>
      <c r="V7" s="200"/>
      <c r="W7" s="199"/>
      <c r="X7" s="200"/>
    </row>
    <row r="8" spans="1:26" ht="15" thickBot="1" x14ac:dyDescent="0.35">
      <c r="A8" s="39">
        <v>562.24</v>
      </c>
      <c r="B8" s="40" t="s">
        <v>49</v>
      </c>
      <c r="C8" s="15">
        <v>177155</v>
      </c>
      <c r="D8" s="14">
        <f>E8+F8+G8+H8+I8+M8+Q8+R8</f>
        <v>174967</v>
      </c>
      <c r="E8" s="231"/>
      <c r="F8" s="276">
        <v>63298</v>
      </c>
      <c r="G8" s="228"/>
      <c r="H8" s="231"/>
      <c r="I8" s="219">
        <v>45248</v>
      </c>
      <c r="J8" s="217">
        <v>8277</v>
      </c>
      <c r="K8" s="217"/>
      <c r="L8" s="217"/>
      <c r="M8" s="9">
        <f t="shared" si="0"/>
        <v>8277</v>
      </c>
      <c r="N8" s="217"/>
      <c r="O8" s="217">
        <v>45939</v>
      </c>
      <c r="P8" s="217"/>
      <c r="Q8" s="214">
        <f t="shared" si="1"/>
        <v>45939</v>
      </c>
      <c r="R8" s="231">
        <v>12205</v>
      </c>
      <c r="S8" s="199">
        <v>367</v>
      </c>
      <c r="T8" s="200">
        <v>12205</v>
      </c>
      <c r="U8" s="199"/>
      <c r="V8" s="200"/>
      <c r="W8" s="199"/>
      <c r="X8" s="200"/>
    </row>
    <row r="9" spans="1:26" ht="15" thickBot="1" x14ac:dyDescent="0.35">
      <c r="A9" s="39">
        <v>562.25</v>
      </c>
      <c r="B9" s="82" t="s">
        <v>93</v>
      </c>
      <c r="C9" s="15">
        <v>108979</v>
      </c>
      <c r="D9" s="14">
        <f t="shared" ref="D9:D55" si="2">E9+F9+G9+H9+I9+M9+Q9+R9</f>
        <v>108806</v>
      </c>
      <c r="E9" s="231"/>
      <c r="F9" s="276">
        <v>5003</v>
      </c>
      <c r="G9" s="228"/>
      <c r="H9" s="231">
        <f>4775+96137+2237</f>
        <v>103149</v>
      </c>
      <c r="I9" s="219"/>
      <c r="J9" s="217">
        <v>654</v>
      </c>
      <c r="K9" s="217"/>
      <c r="L9" s="217"/>
      <c r="M9" s="9">
        <f t="shared" si="0"/>
        <v>654</v>
      </c>
      <c r="N9" s="217"/>
      <c r="O9" s="217"/>
      <c r="P9" s="217"/>
      <c r="Q9" s="214">
        <f t="shared" si="1"/>
        <v>0</v>
      </c>
      <c r="R9" s="231"/>
      <c r="U9" s="199"/>
      <c r="V9" s="200"/>
      <c r="W9" s="199"/>
      <c r="X9" s="200"/>
    </row>
    <row r="10" spans="1:26" ht="15" thickBot="1" x14ac:dyDescent="0.35">
      <c r="A10" s="39">
        <v>562.26</v>
      </c>
      <c r="B10" s="82" t="s">
        <v>84</v>
      </c>
      <c r="C10" s="15"/>
      <c r="D10" s="14">
        <f t="shared" si="2"/>
        <v>0</v>
      </c>
      <c r="E10" s="231"/>
      <c r="F10" s="276"/>
      <c r="G10" s="228"/>
      <c r="H10" s="231"/>
      <c r="I10" s="219"/>
      <c r="J10" s="217"/>
      <c r="K10" s="217"/>
      <c r="L10" s="217"/>
      <c r="M10" s="9">
        <f t="shared" si="0"/>
        <v>0</v>
      </c>
      <c r="N10" s="217"/>
      <c r="O10" s="217"/>
      <c r="P10" s="217"/>
      <c r="Q10" s="214">
        <f t="shared" si="1"/>
        <v>0</v>
      </c>
      <c r="R10" s="231"/>
      <c r="U10" s="199"/>
      <c r="V10" s="200"/>
      <c r="W10" s="199"/>
      <c r="X10" s="200"/>
    </row>
    <row r="11" spans="1:26" ht="15" thickBot="1" x14ac:dyDescent="0.35">
      <c r="A11" s="39">
        <v>562.27</v>
      </c>
      <c r="B11" s="82" t="s">
        <v>85</v>
      </c>
      <c r="C11" s="15"/>
      <c r="D11" s="14">
        <f t="shared" si="2"/>
        <v>0</v>
      </c>
      <c r="E11" s="231"/>
      <c r="F11" s="276"/>
      <c r="G11" s="228"/>
      <c r="H11" s="231"/>
      <c r="I11" s="219"/>
      <c r="J11" s="217"/>
      <c r="K11" s="217"/>
      <c r="L11" s="217"/>
      <c r="M11" s="9">
        <f t="shared" si="0"/>
        <v>0</v>
      </c>
      <c r="N11" s="217"/>
      <c r="O11" s="217"/>
      <c r="P11" s="217"/>
      <c r="Q11" s="214">
        <f t="shared" si="1"/>
        <v>0</v>
      </c>
      <c r="R11" s="231"/>
      <c r="U11" s="199"/>
      <c r="V11" s="200"/>
      <c r="W11" s="199"/>
      <c r="X11" s="200"/>
    </row>
    <row r="12" spans="1:26" ht="15" thickBot="1" x14ac:dyDescent="0.35">
      <c r="A12" s="39">
        <v>562.28</v>
      </c>
      <c r="B12" s="82" t="s">
        <v>94</v>
      </c>
      <c r="C12" s="15">
        <v>1350670</v>
      </c>
      <c r="D12" s="14">
        <f t="shared" si="2"/>
        <v>1355618</v>
      </c>
      <c r="E12" s="231"/>
      <c r="F12" s="276"/>
      <c r="G12" s="228"/>
      <c r="H12" s="231">
        <f>1354780+838</f>
        <v>1355618</v>
      </c>
      <c r="I12" s="219"/>
      <c r="J12" s="217"/>
      <c r="K12" s="217"/>
      <c r="L12" s="217"/>
      <c r="M12" s="9">
        <f t="shared" si="0"/>
        <v>0</v>
      </c>
      <c r="N12" s="217"/>
      <c r="O12" s="217"/>
      <c r="P12" s="217"/>
      <c r="Q12" s="214">
        <f t="shared" si="1"/>
        <v>0</v>
      </c>
      <c r="R12" s="231"/>
      <c r="U12" s="199"/>
      <c r="V12" s="200"/>
      <c r="W12" s="199"/>
      <c r="X12" s="200"/>
    </row>
    <row r="13" spans="1:26" ht="15" thickBot="1" x14ac:dyDescent="0.35">
      <c r="A13" s="39">
        <v>562.29</v>
      </c>
      <c r="B13" s="82" t="s">
        <v>86</v>
      </c>
      <c r="C13" s="15">
        <v>143432</v>
      </c>
      <c r="D13" s="14">
        <f>E13+F13+G13+H13+I13+M13+Q13+R13</f>
        <v>152809</v>
      </c>
      <c r="E13" s="231"/>
      <c r="F13" s="276"/>
      <c r="G13" s="228"/>
      <c r="H13" s="231"/>
      <c r="I13" s="219">
        <v>152809</v>
      </c>
      <c r="J13" s="217"/>
      <c r="K13" s="217"/>
      <c r="L13" s="217"/>
      <c r="M13" s="9">
        <f t="shared" si="0"/>
        <v>0</v>
      </c>
      <c r="N13" s="217"/>
      <c r="O13" s="217"/>
      <c r="P13" s="217"/>
      <c r="Q13" s="214">
        <f t="shared" si="1"/>
        <v>0</v>
      </c>
      <c r="R13" s="231"/>
      <c r="U13" s="199"/>
      <c r="V13" s="200"/>
      <c r="W13" s="199"/>
      <c r="X13" s="200"/>
    </row>
    <row r="14" spans="1:26" ht="15" thickBot="1" x14ac:dyDescent="0.35">
      <c r="A14" s="39">
        <v>562.32000000000005</v>
      </c>
      <c r="B14" s="40" t="s">
        <v>50</v>
      </c>
      <c r="C14" s="15">
        <v>1139087</v>
      </c>
      <c r="D14" s="14">
        <f t="shared" si="2"/>
        <v>1134443</v>
      </c>
      <c r="E14" s="231"/>
      <c r="F14" s="276">
        <v>134294</v>
      </c>
      <c r="G14" s="228"/>
      <c r="H14" s="231">
        <f>74061+17755</f>
        <v>91816</v>
      </c>
      <c r="I14" s="219">
        <v>60046</v>
      </c>
      <c r="J14" s="217">
        <v>17560</v>
      </c>
      <c r="K14" s="217"/>
      <c r="L14" s="217"/>
      <c r="M14" s="9">
        <f t="shared" si="0"/>
        <v>17560</v>
      </c>
      <c r="N14" s="217"/>
      <c r="O14" s="217">
        <f>508217+120628+188376+13506</f>
        <v>830727</v>
      </c>
      <c r="P14" s="217"/>
      <c r="Q14" s="214">
        <f t="shared" si="1"/>
        <v>830727</v>
      </c>
      <c r="R14" s="231"/>
      <c r="U14" s="199"/>
      <c r="V14" s="200"/>
      <c r="W14" s="199"/>
      <c r="X14" s="200"/>
    </row>
    <row r="15" spans="1:26" ht="15" thickBot="1" x14ac:dyDescent="0.35">
      <c r="A15" s="39">
        <v>562.33000000000004</v>
      </c>
      <c r="B15" s="82" t="s">
        <v>95</v>
      </c>
      <c r="C15" s="15">
        <v>40001</v>
      </c>
      <c r="D15" s="14">
        <f t="shared" si="2"/>
        <v>39143</v>
      </c>
      <c r="E15" s="231"/>
      <c r="F15" s="276">
        <v>24807</v>
      </c>
      <c r="G15" s="228"/>
      <c r="H15" s="231"/>
      <c r="I15" s="219">
        <v>11092</v>
      </c>
      <c r="J15" s="217">
        <v>3244</v>
      </c>
      <c r="K15" s="217"/>
      <c r="L15" s="217"/>
      <c r="M15" s="9">
        <f t="shared" si="0"/>
        <v>3244</v>
      </c>
      <c r="N15" s="217"/>
      <c r="O15" s="217"/>
      <c r="P15" s="217"/>
      <c r="Q15" s="214">
        <f t="shared" si="1"/>
        <v>0</v>
      </c>
      <c r="R15" s="231"/>
      <c r="U15" s="199"/>
      <c r="V15" s="200"/>
      <c r="W15" s="199"/>
      <c r="X15" s="200"/>
    </row>
    <row r="16" spans="1:26" ht="15" thickBot="1" x14ac:dyDescent="0.35">
      <c r="A16" s="39">
        <v>562.34</v>
      </c>
      <c r="B16" s="40" t="s">
        <v>51</v>
      </c>
      <c r="C16" s="15">
        <v>153607</v>
      </c>
      <c r="D16" s="14">
        <f t="shared" si="2"/>
        <v>152517</v>
      </c>
      <c r="E16" s="231"/>
      <c r="F16" s="276">
        <v>31518</v>
      </c>
      <c r="G16" s="228"/>
      <c r="H16" s="231"/>
      <c r="I16" s="219">
        <v>14093</v>
      </c>
      <c r="J16" s="217">
        <f>62500+4121</f>
        <v>66621</v>
      </c>
      <c r="K16" s="217"/>
      <c r="L16" s="217"/>
      <c r="M16" s="9">
        <f t="shared" si="0"/>
        <v>66621</v>
      </c>
      <c r="N16" s="217"/>
      <c r="O16" s="217">
        <v>40285</v>
      </c>
      <c r="P16" s="217"/>
      <c r="Q16" s="214">
        <f t="shared" si="1"/>
        <v>40285</v>
      </c>
      <c r="R16" s="231"/>
      <c r="T16" s="204"/>
      <c r="U16" s="199"/>
      <c r="V16" s="204"/>
      <c r="W16" s="199"/>
      <c r="X16" s="204"/>
    </row>
    <row r="17" spans="1:24" ht="15" thickBot="1" x14ac:dyDescent="0.35">
      <c r="A17" s="39">
        <v>562.35</v>
      </c>
      <c r="B17" s="40" t="s">
        <v>52</v>
      </c>
      <c r="C17" s="15">
        <v>139802</v>
      </c>
      <c r="D17" s="14">
        <f t="shared" si="2"/>
        <v>139835</v>
      </c>
      <c r="E17" s="231"/>
      <c r="F17" s="276"/>
      <c r="G17" s="228"/>
      <c r="H17" s="231">
        <v>118432</v>
      </c>
      <c r="I17" s="219"/>
      <c r="J17" s="217"/>
      <c r="K17" s="217"/>
      <c r="L17" s="217"/>
      <c r="M17" s="9">
        <f t="shared" si="0"/>
        <v>0</v>
      </c>
      <c r="N17" s="217"/>
      <c r="O17" s="217">
        <v>21403</v>
      </c>
      <c r="P17" s="217"/>
      <c r="Q17" s="214">
        <f t="shared" si="1"/>
        <v>21403</v>
      </c>
      <c r="R17" s="231"/>
      <c r="U17" s="199"/>
      <c r="V17" s="200"/>
      <c r="W17" s="199"/>
      <c r="X17" s="200"/>
    </row>
    <row r="18" spans="1:24" ht="15" thickBot="1" x14ac:dyDescent="0.35">
      <c r="A18" s="39">
        <v>562.39</v>
      </c>
      <c r="B18" s="40" t="s">
        <v>53</v>
      </c>
      <c r="C18" s="15">
        <v>148163</v>
      </c>
      <c r="D18" s="14">
        <f t="shared" si="2"/>
        <v>143772</v>
      </c>
      <c r="E18" s="231"/>
      <c r="F18" s="276">
        <v>126983</v>
      </c>
      <c r="G18" s="228"/>
      <c r="H18" s="231"/>
      <c r="I18" s="219"/>
      <c r="J18" s="217">
        <v>16604</v>
      </c>
      <c r="K18" s="217"/>
      <c r="L18" s="217"/>
      <c r="M18" s="9">
        <f t="shared" si="0"/>
        <v>16604</v>
      </c>
      <c r="N18" s="217"/>
      <c r="O18" s="217">
        <v>185</v>
      </c>
      <c r="P18" s="217"/>
      <c r="Q18" s="214">
        <f t="shared" si="1"/>
        <v>185</v>
      </c>
      <c r="R18" s="231"/>
      <c r="U18" s="199"/>
      <c r="V18" s="200"/>
      <c r="W18" s="199"/>
      <c r="X18" s="200"/>
    </row>
    <row r="19" spans="1:24" ht="15" thickBot="1" x14ac:dyDescent="0.35">
      <c r="A19" s="39">
        <v>562.41</v>
      </c>
      <c r="B19" s="40" t="s">
        <v>54</v>
      </c>
      <c r="C19" s="15"/>
      <c r="D19" s="14">
        <f t="shared" si="2"/>
        <v>0</v>
      </c>
      <c r="E19" s="231"/>
      <c r="F19" s="276"/>
      <c r="G19" s="228"/>
      <c r="H19" s="231"/>
      <c r="I19" s="219"/>
      <c r="J19" s="217"/>
      <c r="K19" s="217"/>
      <c r="L19" s="217"/>
      <c r="M19" s="9">
        <f t="shared" si="0"/>
        <v>0</v>
      </c>
      <c r="N19" s="217"/>
      <c r="O19" s="217"/>
      <c r="P19" s="217"/>
      <c r="Q19" s="214">
        <f t="shared" si="1"/>
        <v>0</v>
      </c>
      <c r="R19" s="231"/>
      <c r="U19" s="199"/>
      <c r="V19" s="200"/>
      <c r="W19" s="199"/>
      <c r="X19" s="200"/>
    </row>
    <row r="20" spans="1:24" ht="15" thickBot="1" x14ac:dyDescent="0.35">
      <c r="A20" s="39">
        <v>562.41999999999996</v>
      </c>
      <c r="B20" s="40" t="s">
        <v>55</v>
      </c>
      <c r="C20" s="15"/>
      <c r="D20" s="14">
        <f t="shared" si="2"/>
        <v>0</v>
      </c>
      <c r="E20" s="231"/>
      <c r="F20" s="276"/>
      <c r="G20" s="228"/>
      <c r="H20" s="231"/>
      <c r="I20" s="219"/>
      <c r="J20" s="217"/>
      <c r="K20" s="217"/>
      <c r="L20" s="217"/>
      <c r="M20" s="9">
        <f t="shared" si="0"/>
        <v>0</v>
      </c>
      <c r="N20" s="217"/>
      <c r="O20" s="217"/>
      <c r="P20" s="217"/>
      <c r="Q20" s="214">
        <f t="shared" si="1"/>
        <v>0</v>
      </c>
      <c r="R20" s="231"/>
      <c r="U20" s="199"/>
      <c r="V20" s="200"/>
      <c r="W20" s="199"/>
      <c r="X20" s="200"/>
    </row>
    <row r="21" spans="1:24" ht="15" thickBot="1" x14ac:dyDescent="0.35">
      <c r="A21" s="39">
        <v>562.42999999999995</v>
      </c>
      <c r="B21" s="82" t="s">
        <v>96</v>
      </c>
      <c r="C21" s="15"/>
      <c r="D21" s="14">
        <f t="shared" si="2"/>
        <v>0</v>
      </c>
      <c r="E21" s="231"/>
      <c r="F21" s="276"/>
      <c r="G21" s="228"/>
      <c r="H21" s="231"/>
      <c r="I21" s="219"/>
      <c r="J21" s="217"/>
      <c r="K21" s="217"/>
      <c r="L21" s="217"/>
      <c r="M21" s="9">
        <f t="shared" si="0"/>
        <v>0</v>
      </c>
      <c r="N21" s="217"/>
      <c r="O21" s="217"/>
      <c r="P21" s="217"/>
      <c r="Q21" s="214">
        <f t="shared" si="1"/>
        <v>0</v>
      </c>
      <c r="R21" s="231"/>
      <c r="U21" s="199"/>
      <c r="V21" s="200"/>
      <c r="W21" s="199"/>
      <c r="X21" s="200"/>
    </row>
    <row r="22" spans="1:24" ht="15" thickBot="1" x14ac:dyDescent="0.35">
      <c r="A22" s="39">
        <v>562.44000000000005</v>
      </c>
      <c r="B22" s="82" t="s">
        <v>97</v>
      </c>
      <c r="C22" s="15">
        <v>0</v>
      </c>
      <c r="D22" s="14">
        <f t="shared" si="2"/>
        <v>0</v>
      </c>
      <c r="E22" s="231"/>
      <c r="F22" s="276"/>
      <c r="G22" s="228"/>
      <c r="H22" s="231"/>
      <c r="I22" s="219"/>
      <c r="J22" s="217"/>
      <c r="K22" s="217"/>
      <c r="L22" s="217"/>
      <c r="M22" s="9">
        <f t="shared" si="0"/>
        <v>0</v>
      </c>
      <c r="N22" s="217"/>
      <c r="O22" s="217"/>
      <c r="P22" s="217"/>
      <c r="Q22" s="214">
        <f t="shared" si="1"/>
        <v>0</v>
      </c>
      <c r="R22" s="231"/>
      <c r="U22" s="199"/>
      <c r="V22" s="200"/>
      <c r="W22" s="199"/>
      <c r="X22" s="200"/>
    </row>
    <row r="23" spans="1:24" ht="15" thickBot="1" x14ac:dyDescent="0.35">
      <c r="A23" s="39">
        <v>562.45000000000005</v>
      </c>
      <c r="B23" s="82" t="s">
        <v>98</v>
      </c>
      <c r="C23" s="15">
        <v>75404</v>
      </c>
      <c r="D23" s="14">
        <f t="shared" si="2"/>
        <v>73167</v>
      </c>
      <c r="E23" s="231"/>
      <c r="F23" s="276">
        <v>64706</v>
      </c>
      <c r="G23" s="228"/>
      <c r="H23" s="231"/>
      <c r="I23" s="219"/>
      <c r="J23" s="217">
        <v>8461</v>
      </c>
      <c r="K23" s="217"/>
      <c r="L23" s="217"/>
      <c r="M23" s="9">
        <f t="shared" si="0"/>
        <v>8461</v>
      </c>
      <c r="N23" s="217"/>
      <c r="O23" s="217"/>
      <c r="P23" s="217"/>
      <c r="Q23" s="214">
        <f t="shared" si="1"/>
        <v>0</v>
      </c>
      <c r="R23" s="231"/>
      <c r="U23" s="199"/>
      <c r="V23" s="200"/>
      <c r="W23" s="199"/>
      <c r="X23" s="200"/>
    </row>
    <row r="24" spans="1:24" ht="15" thickBot="1" x14ac:dyDescent="0.35">
      <c r="A24" s="39">
        <v>562.49</v>
      </c>
      <c r="B24" s="82" t="s">
        <v>87</v>
      </c>
      <c r="C24" s="15">
        <v>576249</v>
      </c>
      <c r="D24" s="14">
        <f t="shared" si="2"/>
        <v>573316</v>
      </c>
      <c r="E24" s="231">
        <v>18977</v>
      </c>
      <c r="F24" s="276">
        <v>84850</v>
      </c>
      <c r="G24" s="228"/>
      <c r="H24" s="231">
        <v>33858</v>
      </c>
      <c r="I24" s="219">
        <f>7560+416976</f>
        <v>424536</v>
      </c>
      <c r="J24" s="217">
        <v>11095</v>
      </c>
      <c r="K24" s="217"/>
      <c r="L24" s="217"/>
      <c r="M24" s="9">
        <f t="shared" si="0"/>
        <v>11095</v>
      </c>
      <c r="N24" s="217"/>
      <c r="O24" s="217"/>
      <c r="P24" s="217"/>
      <c r="Q24" s="214">
        <f t="shared" si="1"/>
        <v>0</v>
      </c>
      <c r="R24" s="231"/>
      <c r="U24" s="199"/>
      <c r="V24" s="200"/>
      <c r="W24" s="199"/>
      <c r="X24" s="200"/>
    </row>
    <row r="25" spans="1:24" ht="15" thickBot="1" x14ac:dyDescent="0.35">
      <c r="A25" s="39">
        <v>562.52</v>
      </c>
      <c r="B25" s="40" t="s">
        <v>56</v>
      </c>
      <c r="C25" s="15">
        <v>48055</v>
      </c>
      <c r="D25" s="14">
        <f t="shared" si="2"/>
        <v>32132</v>
      </c>
      <c r="E25" s="231"/>
      <c r="F25" s="276">
        <v>2304</v>
      </c>
      <c r="G25" s="228"/>
      <c r="H25" s="231"/>
      <c r="I25" s="219"/>
      <c r="J25" s="217">
        <v>2304</v>
      </c>
      <c r="K25" s="217"/>
      <c r="L25" s="217"/>
      <c r="M25" s="9">
        <f t="shared" si="0"/>
        <v>2304</v>
      </c>
      <c r="N25" s="217"/>
      <c r="O25" s="217">
        <f>17900+9624</f>
        <v>27524</v>
      </c>
      <c r="P25" s="217"/>
      <c r="Q25" s="214">
        <f t="shared" si="1"/>
        <v>27524</v>
      </c>
      <c r="R25" s="231"/>
      <c r="U25" s="199"/>
      <c r="V25" s="200"/>
      <c r="W25" s="199"/>
      <c r="X25" s="200"/>
    </row>
    <row r="26" spans="1:24" ht="15" thickBot="1" x14ac:dyDescent="0.35">
      <c r="A26" s="39">
        <v>562.53</v>
      </c>
      <c r="B26" s="82" t="s">
        <v>99</v>
      </c>
      <c r="C26" s="15">
        <v>125068</v>
      </c>
      <c r="D26" s="14">
        <f t="shared" si="2"/>
        <v>124525</v>
      </c>
      <c r="E26" s="231"/>
      <c r="F26" s="276">
        <v>15700</v>
      </c>
      <c r="G26" s="278">
        <v>82254</v>
      </c>
      <c r="H26" s="231"/>
      <c r="I26" s="219"/>
      <c r="J26" s="217">
        <v>2053</v>
      </c>
      <c r="K26" s="217"/>
      <c r="L26" s="217"/>
      <c r="M26" s="9">
        <f t="shared" si="0"/>
        <v>2053</v>
      </c>
      <c r="N26" s="217">
        <v>24518</v>
      </c>
      <c r="O26" s="217"/>
      <c r="P26" s="217"/>
      <c r="Q26" s="214">
        <f t="shared" si="1"/>
        <v>24518</v>
      </c>
      <c r="R26" s="231"/>
      <c r="U26" s="199"/>
      <c r="V26" s="200"/>
      <c r="W26" s="199"/>
      <c r="X26" s="200"/>
    </row>
    <row r="27" spans="1:24" ht="15" thickBot="1" x14ac:dyDescent="0.35">
      <c r="A27" s="39">
        <v>562.54</v>
      </c>
      <c r="B27" s="82" t="s">
        <v>100</v>
      </c>
      <c r="C27" s="15">
        <v>546640</v>
      </c>
      <c r="D27" s="14">
        <f t="shared" si="2"/>
        <v>540213</v>
      </c>
      <c r="E27" s="231"/>
      <c r="F27" s="276">
        <v>185865</v>
      </c>
      <c r="G27" s="278"/>
      <c r="H27" s="231"/>
      <c r="I27" s="219"/>
      <c r="J27" s="217">
        <v>24303</v>
      </c>
      <c r="K27" s="217"/>
      <c r="L27" s="217"/>
      <c r="M27" s="9">
        <f t="shared" si="0"/>
        <v>24303</v>
      </c>
      <c r="N27" s="217">
        <v>330045</v>
      </c>
      <c r="O27" s="217"/>
      <c r="P27" s="217"/>
      <c r="Q27" s="214">
        <f t="shared" si="1"/>
        <v>330045</v>
      </c>
      <c r="R27" s="231"/>
      <c r="U27" s="199"/>
      <c r="V27" s="200"/>
      <c r="W27" s="199"/>
      <c r="X27" s="200"/>
    </row>
    <row r="28" spans="1:24" ht="15" thickBot="1" x14ac:dyDescent="0.35">
      <c r="A28" s="39">
        <v>562.54999999999995</v>
      </c>
      <c r="B28" s="40" t="s">
        <v>57</v>
      </c>
      <c r="C28" s="15">
        <v>35774</v>
      </c>
      <c r="D28" s="14">
        <f t="shared" si="2"/>
        <v>34712</v>
      </c>
      <c r="E28" s="231"/>
      <c r="F28" s="276">
        <v>30698</v>
      </c>
      <c r="G28" s="278"/>
      <c r="H28" s="231"/>
      <c r="I28" s="219"/>
      <c r="J28" s="217">
        <v>4014</v>
      </c>
      <c r="K28" s="217"/>
      <c r="L28" s="217"/>
      <c r="M28" s="9">
        <f t="shared" si="0"/>
        <v>4014</v>
      </c>
      <c r="N28" s="217"/>
      <c r="O28" s="217"/>
      <c r="P28" s="217"/>
      <c r="Q28" s="214">
        <f t="shared" si="1"/>
        <v>0</v>
      </c>
      <c r="R28" s="231"/>
      <c r="U28" s="199"/>
      <c r="V28" s="200"/>
      <c r="W28" s="199"/>
      <c r="X28" s="200"/>
    </row>
    <row r="29" spans="1:24" ht="15" thickBot="1" x14ac:dyDescent="0.35">
      <c r="A29" s="39">
        <v>562.55999999999995</v>
      </c>
      <c r="B29" s="40" t="s">
        <v>58</v>
      </c>
      <c r="C29" s="15">
        <v>847918</v>
      </c>
      <c r="D29" s="14">
        <f t="shared" si="2"/>
        <v>835894</v>
      </c>
      <c r="E29" s="231"/>
      <c r="F29" s="276">
        <v>402565</v>
      </c>
      <c r="G29" s="278"/>
      <c r="H29" s="231"/>
      <c r="I29" s="219"/>
      <c r="J29" s="217">
        <v>52638</v>
      </c>
      <c r="K29" s="217"/>
      <c r="L29" s="217"/>
      <c r="M29" s="9">
        <f t="shared" si="0"/>
        <v>52638</v>
      </c>
      <c r="N29" s="217">
        <f>80983+283930</f>
        <v>364913</v>
      </c>
      <c r="O29" s="217"/>
      <c r="P29" s="217"/>
      <c r="Q29" s="214">
        <f t="shared" si="1"/>
        <v>364913</v>
      </c>
      <c r="R29" s="231">
        <f>1897+13881</f>
        <v>15778</v>
      </c>
      <c r="S29" s="199">
        <v>308.8</v>
      </c>
      <c r="T29" s="200">
        <v>1897</v>
      </c>
      <c r="U29" s="199">
        <v>369.1</v>
      </c>
      <c r="V29" s="200">
        <v>13881</v>
      </c>
      <c r="W29" s="199"/>
      <c r="X29" s="200"/>
    </row>
    <row r="30" spans="1:24" ht="15" thickBot="1" x14ac:dyDescent="0.35">
      <c r="A30" s="39">
        <v>562.57000000000005</v>
      </c>
      <c r="B30" s="82" t="s">
        <v>101</v>
      </c>
      <c r="C30" s="15">
        <v>10183</v>
      </c>
      <c r="D30" s="14">
        <f t="shared" si="2"/>
        <v>10108</v>
      </c>
      <c r="E30" s="231"/>
      <c r="F30" s="276">
        <v>2186</v>
      </c>
      <c r="G30" s="278">
        <v>7636</v>
      </c>
      <c r="H30" s="231"/>
      <c r="I30" s="219"/>
      <c r="J30" s="217"/>
      <c r="K30" s="217"/>
      <c r="L30" s="217"/>
      <c r="M30" s="9">
        <f t="shared" si="0"/>
        <v>0</v>
      </c>
      <c r="N30" s="217"/>
      <c r="O30" s="217">
        <v>286</v>
      </c>
      <c r="P30" s="217"/>
      <c r="Q30" s="214">
        <f t="shared" si="1"/>
        <v>286</v>
      </c>
      <c r="R30" s="231"/>
      <c r="U30" s="199"/>
      <c r="V30" s="200"/>
      <c r="W30" s="199"/>
      <c r="X30" s="200"/>
    </row>
    <row r="31" spans="1:24" ht="15" thickBot="1" x14ac:dyDescent="0.35">
      <c r="A31" s="39">
        <v>562.58000000000004</v>
      </c>
      <c r="B31" s="82" t="s">
        <v>88</v>
      </c>
      <c r="C31" s="15">
        <v>35457</v>
      </c>
      <c r="D31" s="14">
        <f t="shared" si="2"/>
        <v>72704</v>
      </c>
      <c r="E31" s="231"/>
      <c r="F31" s="276"/>
      <c r="G31" s="228"/>
      <c r="H31" s="231"/>
      <c r="I31" s="219"/>
      <c r="J31" s="217"/>
      <c r="K31" s="217"/>
      <c r="L31" s="217"/>
      <c r="M31" s="9">
        <f t="shared" si="0"/>
        <v>0</v>
      </c>
      <c r="N31" s="217">
        <v>61244</v>
      </c>
      <c r="O31" s="217">
        <v>11460</v>
      </c>
      <c r="P31" s="217"/>
      <c r="Q31" s="214">
        <f t="shared" si="1"/>
        <v>72704</v>
      </c>
      <c r="R31" s="231"/>
      <c r="U31" s="199"/>
      <c r="V31" s="200"/>
      <c r="W31" s="199"/>
      <c r="X31" s="200"/>
    </row>
    <row r="32" spans="1:24" ht="15" thickBot="1" x14ac:dyDescent="0.35">
      <c r="A32" s="39">
        <v>562.59</v>
      </c>
      <c r="B32" s="82" t="s">
        <v>89</v>
      </c>
      <c r="C32" s="15">
        <v>0</v>
      </c>
      <c r="D32" s="14">
        <f t="shared" si="2"/>
        <v>0</v>
      </c>
      <c r="E32" s="231"/>
      <c r="F32" s="276"/>
      <c r="G32" s="228"/>
      <c r="H32" s="231"/>
      <c r="I32" s="219"/>
      <c r="J32" s="247"/>
      <c r="K32" s="247"/>
      <c r="L32" s="247"/>
      <c r="M32" s="9">
        <f t="shared" si="0"/>
        <v>0</v>
      </c>
      <c r="N32" s="247"/>
      <c r="O32" s="247"/>
      <c r="P32" s="247"/>
      <c r="Q32" s="214">
        <f t="shared" si="1"/>
        <v>0</v>
      </c>
      <c r="R32" s="231"/>
      <c r="U32" s="199"/>
      <c r="V32" s="200"/>
      <c r="W32" s="199"/>
      <c r="X32" s="200"/>
    </row>
    <row r="33" spans="1:24" ht="15" thickBot="1" x14ac:dyDescent="0.35">
      <c r="A33" s="39">
        <v>562.6</v>
      </c>
      <c r="B33" s="40" t="s">
        <v>59</v>
      </c>
      <c r="C33" s="15"/>
      <c r="D33" s="14">
        <f t="shared" si="2"/>
        <v>0</v>
      </c>
      <c r="E33" s="231"/>
      <c r="F33" s="276"/>
      <c r="G33" s="228"/>
      <c r="H33" s="231"/>
      <c r="I33" s="219"/>
      <c r="J33" s="217"/>
      <c r="K33" s="217"/>
      <c r="L33" s="217"/>
      <c r="M33" s="9">
        <f t="shared" si="0"/>
        <v>0</v>
      </c>
      <c r="N33" s="217"/>
      <c r="O33" s="217"/>
      <c r="P33" s="217"/>
      <c r="Q33" s="214">
        <f t="shared" si="1"/>
        <v>0</v>
      </c>
      <c r="R33" s="231"/>
      <c r="U33" s="199"/>
      <c r="V33" s="200"/>
      <c r="W33" s="199"/>
      <c r="X33" s="200"/>
    </row>
    <row r="34" spans="1:24" ht="15" thickBot="1" x14ac:dyDescent="0.35">
      <c r="A34" s="39">
        <v>562.71</v>
      </c>
      <c r="B34" s="40" t="s">
        <v>60</v>
      </c>
      <c r="C34" s="15">
        <v>465021</v>
      </c>
      <c r="D34" s="14">
        <f t="shared" si="2"/>
        <v>462192</v>
      </c>
      <c r="E34" s="231"/>
      <c r="F34" s="276">
        <v>81810</v>
      </c>
      <c r="G34" s="228"/>
      <c r="H34" s="231"/>
      <c r="I34" s="219"/>
      <c r="J34" s="217">
        <v>10697</v>
      </c>
      <c r="K34" s="217"/>
      <c r="L34" s="217"/>
      <c r="M34" s="9">
        <f t="shared" si="0"/>
        <v>10697</v>
      </c>
      <c r="N34" s="217"/>
      <c r="O34" s="217">
        <v>369685</v>
      </c>
      <c r="P34" s="217"/>
      <c r="Q34" s="214">
        <f t="shared" si="1"/>
        <v>369685</v>
      </c>
      <c r="R34" s="231"/>
      <c r="U34" s="199"/>
      <c r="V34" s="200"/>
      <c r="W34" s="199"/>
      <c r="X34" s="200"/>
    </row>
    <row r="35" spans="1:24" ht="15" thickBot="1" x14ac:dyDescent="0.35">
      <c r="A35" s="39">
        <v>562.72</v>
      </c>
      <c r="B35" s="40" t="s">
        <v>61</v>
      </c>
      <c r="C35" s="15">
        <v>254226</v>
      </c>
      <c r="D35" s="14">
        <f t="shared" si="2"/>
        <v>271862</v>
      </c>
      <c r="E35" s="231"/>
      <c r="F35" s="276"/>
      <c r="G35" s="228"/>
      <c r="H35" s="231"/>
      <c r="I35" s="219"/>
      <c r="J35" s="217"/>
      <c r="K35" s="217"/>
      <c r="L35" s="217"/>
      <c r="M35" s="9">
        <f t="shared" si="0"/>
        <v>0</v>
      </c>
      <c r="N35" s="217"/>
      <c r="O35" s="217">
        <v>271862</v>
      </c>
      <c r="P35" s="217"/>
      <c r="Q35" s="214">
        <f t="shared" si="1"/>
        <v>271862</v>
      </c>
      <c r="R35" s="231"/>
      <c r="U35" s="199"/>
      <c r="V35" s="200"/>
      <c r="W35" s="199"/>
      <c r="X35" s="200"/>
    </row>
    <row r="36" spans="1:24" ht="15" thickBot="1" x14ac:dyDescent="0.35">
      <c r="A36" s="39">
        <v>562.73</v>
      </c>
      <c r="B36" s="40" t="s">
        <v>62</v>
      </c>
      <c r="C36" s="15"/>
      <c r="D36" s="14">
        <f t="shared" si="2"/>
        <v>0</v>
      </c>
      <c r="E36" s="231"/>
      <c r="F36" s="257"/>
      <c r="G36" s="228"/>
      <c r="H36" s="231"/>
      <c r="I36" s="219"/>
      <c r="J36" s="217"/>
      <c r="K36" s="217"/>
      <c r="L36" s="217"/>
      <c r="M36" s="9">
        <f t="shared" si="0"/>
        <v>0</v>
      </c>
      <c r="N36" s="217"/>
      <c r="O36" s="217"/>
      <c r="P36" s="217"/>
      <c r="Q36" s="214">
        <f t="shared" si="1"/>
        <v>0</v>
      </c>
      <c r="R36" s="231"/>
      <c r="U36" s="199"/>
      <c r="V36" s="200"/>
      <c r="W36" s="199"/>
      <c r="X36" s="200"/>
    </row>
    <row r="37" spans="1:24" ht="15" thickBot="1" x14ac:dyDescent="0.35">
      <c r="A37" s="39">
        <v>562.74</v>
      </c>
      <c r="B37" s="82" t="s">
        <v>90</v>
      </c>
      <c r="C37" s="15"/>
      <c r="D37" s="14">
        <f t="shared" si="2"/>
        <v>0</v>
      </c>
      <c r="E37" s="231"/>
      <c r="F37" s="257"/>
      <c r="G37" s="228"/>
      <c r="H37" s="231"/>
      <c r="I37" s="219"/>
      <c r="J37" s="217"/>
      <c r="K37" s="217"/>
      <c r="L37" s="217"/>
      <c r="M37" s="9">
        <f t="shared" si="0"/>
        <v>0</v>
      </c>
      <c r="N37" s="217"/>
      <c r="O37" s="217"/>
      <c r="P37" s="217"/>
      <c r="Q37" s="214">
        <f t="shared" si="1"/>
        <v>0</v>
      </c>
      <c r="R37" s="231"/>
      <c r="U37" s="199"/>
      <c r="V37" s="200"/>
      <c r="W37" s="199"/>
      <c r="X37" s="200"/>
    </row>
    <row r="38" spans="1:24" ht="15" thickBot="1" x14ac:dyDescent="0.35">
      <c r="A38" s="39">
        <v>562.78</v>
      </c>
      <c r="B38" s="40" t="s">
        <v>63</v>
      </c>
      <c r="C38" s="15"/>
      <c r="D38" s="14">
        <f t="shared" si="2"/>
        <v>0</v>
      </c>
      <c r="E38" s="231"/>
      <c r="F38" s="257"/>
      <c r="G38" s="228"/>
      <c r="H38" s="231"/>
      <c r="I38" s="219"/>
      <c r="J38" s="217"/>
      <c r="K38" s="217"/>
      <c r="L38" s="217"/>
      <c r="M38" s="9">
        <f t="shared" si="0"/>
        <v>0</v>
      </c>
      <c r="N38" s="217"/>
      <c r="O38" s="217"/>
      <c r="P38" s="217"/>
      <c r="Q38" s="214">
        <f t="shared" si="1"/>
        <v>0</v>
      </c>
      <c r="R38" s="231"/>
      <c r="U38" s="199"/>
      <c r="V38" s="200"/>
      <c r="W38" s="199"/>
      <c r="X38" s="200"/>
    </row>
    <row r="39" spans="1:24" ht="15" thickBot="1" x14ac:dyDescent="0.35">
      <c r="A39" s="39">
        <v>562.79</v>
      </c>
      <c r="B39" s="40" t="s">
        <v>64</v>
      </c>
      <c r="C39" s="15"/>
      <c r="D39" s="14">
        <f t="shared" si="2"/>
        <v>0</v>
      </c>
      <c r="E39" s="231"/>
      <c r="F39" s="257"/>
      <c r="G39" s="228"/>
      <c r="H39" s="231"/>
      <c r="I39" s="219"/>
      <c r="J39" s="217"/>
      <c r="K39" s="217"/>
      <c r="L39" s="217"/>
      <c r="M39" s="9">
        <f t="shared" si="0"/>
        <v>0</v>
      </c>
      <c r="N39" s="217"/>
      <c r="O39" s="217"/>
      <c r="P39" s="217"/>
      <c r="Q39" s="214">
        <f t="shared" si="1"/>
        <v>0</v>
      </c>
      <c r="R39" s="231"/>
      <c r="U39" s="199"/>
      <c r="V39" s="200"/>
      <c r="W39" s="199"/>
      <c r="X39" s="200"/>
    </row>
    <row r="40" spans="1:24" ht="15" thickBot="1" x14ac:dyDescent="0.35">
      <c r="A40" s="39">
        <v>562.79999999999995</v>
      </c>
      <c r="B40" s="40" t="s">
        <v>65</v>
      </c>
      <c r="C40" s="15">
        <v>113916</v>
      </c>
      <c r="D40" s="14">
        <f t="shared" si="2"/>
        <v>110536</v>
      </c>
      <c r="E40" s="231"/>
      <c r="F40" s="276">
        <v>97754</v>
      </c>
      <c r="G40" s="228"/>
      <c r="H40" s="231"/>
      <c r="I40" s="219"/>
      <c r="J40" s="217">
        <v>12782</v>
      </c>
      <c r="K40" s="217"/>
      <c r="L40" s="217"/>
      <c r="M40" s="9">
        <f t="shared" si="0"/>
        <v>12782</v>
      </c>
      <c r="N40" s="217"/>
      <c r="O40" s="217"/>
      <c r="P40" s="217"/>
      <c r="Q40" s="214">
        <f t="shared" si="1"/>
        <v>0</v>
      </c>
      <c r="R40" s="231"/>
      <c r="U40" s="199"/>
      <c r="V40" s="200"/>
      <c r="W40" s="199"/>
      <c r="X40" s="200"/>
    </row>
    <row r="41" spans="1:24" ht="15" thickBot="1" x14ac:dyDescent="0.35">
      <c r="A41" s="39">
        <v>562.88</v>
      </c>
      <c r="B41" s="82" t="s">
        <v>91</v>
      </c>
      <c r="C41" s="15">
        <v>366815</v>
      </c>
      <c r="D41" s="14">
        <f t="shared" si="2"/>
        <v>367035</v>
      </c>
      <c r="E41" s="231"/>
      <c r="F41" s="276">
        <v>2289</v>
      </c>
      <c r="G41" s="228"/>
      <c r="H41" s="231">
        <f>319796+44352</f>
        <v>364148</v>
      </c>
      <c r="I41" s="219"/>
      <c r="J41" s="217">
        <v>299</v>
      </c>
      <c r="K41" s="217"/>
      <c r="L41" s="217"/>
      <c r="M41" s="9">
        <f t="shared" si="0"/>
        <v>299</v>
      </c>
      <c r="N41" s="217"/>
      <c r="O41" s="217"/>
      <c r="P41" s="217"/>
      <c r="Q41" s="214">
        <f t="shared" si="1"/>
        <v>0</v>
      </c>
      <c r="R41" s="231">
        <v>299</v>
      </c>
      <c r="S41" s="199">
        <v>337.62</v>
      </c>
      <c r="T41" s="200">
        <v>299</v>
      </c>
      <c r="U41" s="199"/>
      <c r="V41" s="200"/>
      <c r="W41" s="199"/>
      <c r="X41" s="200"/>
    </row>
    <row r="42" spans="1:24" ht="15" thickBot="1" x14ac:dyDescent="0.35">
      <c r="A42" s="39">
        <v>562.9</v>
      </c>
      <c r="B42" s="40" t="s">
        <v>66</v>
      </c>
      <c r="C42" s="15">
        <v>0</v>
      </c>
      <c r="D42" s="14">
        <f t="shared" si="2"/>
        <v>0</v>
      </c>
      <c r="E42" s="231"/>
      <c r="F42" s="257"/>
      <c r="G42" s="228"/>
      <c r="H42" s="231"/>
      <c r="I42" s="219"/>
      <c r="J42" s="217"/>
      <c r="K42" s="217"/>
      <c r="L42" s="217"/>
      <c r="M42" s="9">
        <f t="shared" si="0"/>
        <v>0</v>
      </c>
      <c r="N42" s="217"/>
      <c r="O42" s="217"/>
      <c r="P42" s="217"/>
      <c r="Q42" s="214">
        <f t="shared" si="1"/>
        <v>0</v>
      </c>
      <c r="R42" s="231"/>
      <c r="U42" s="199"/>
      <c r="V42" s="200"/>
      <c r="W42" s="199"/>
      <c r="X42" s="200"/>
    </row>
    <row r="43" spans="1:24" x14ac:dyDescent="0.3">
      <c r="A43" s="41">
        <v>562.99</v>
      </c>
      <c r="B43" s="32" t="s">
        <v>67</v>
      </c>
      <c r="C43" s="18"/>
      <c r="D43" s="20">
        <f t="shared" si="2"/>
        <v>0</v>
      </c>
      <c r="E43" s="232"/>
      <c r="F43" s="258"/>
      <c r="G43" s="229"/>
      <c r="H43" s="232"/>
      <c r="I43" s="220"/>
      <c r="J43" s="244"/>
      <c r="K43" s="244"/>
      <c r="L43" s="244"/>
      <c r="M43" s="198">
        <f t="shared" si="0"/>
        <v>0</v>
      </c>
      <c r="N43" s="244"/>
      <c r="O43" s="244"/>
      <c r="P43" s="244"/>
      <c r="Q43" s="215">
        <f t="shared" si="1"/>
        <v>0</v>
      </c>
      <c r="R43" s="232"/>
      <c r="U43" s="199"/>
      <c r="V43" s="200"/>
      <c r="W43" s="199"/>
      <c r="X43" s="200"/>
    </row>
    <row r="44" spans="1:24" x14ac:dyDescent="0.3">
      <c r="A44" s="206" t="s">
        <v>110</v>
      </c>
      <c r="B44" s="207" t="s">
        <v>68</v>
      </c>
      <c r="C44" s="208">
        <f>SUM(C5:C43)</f>
        <v>8702021</v>
      </c>
      <c r="D44" s="205">
        <f>E44+F44+G44+H44+I44+M44+Q44+R44</f>
        <v>8702320</v>
      </c>
      <c r="E44" s="233">
        <f t="shared" ref="E44:R44" si="3">SUM(E5:E43)</f>
        <v>19977</v>
      </c>
      <c r="F44" s="259">
        <f t="shared" si="3"/>
        <v>1599023</v>
      </c>
      <c r="G44" s="223">
        <f t="shared" si="3"/>
        <v>89890</v>
      </c>
      <c r="H44" s="233">
        <f t="shared" si="3"/>
        <v>2959457</v>
      </c>
      <c r="I44" s="239">
        <f t="shared" si="3"/>
        <v>766356</v>
      </c>
      <c r="J44" s="245">
        <f>SUM(J5:J43)</f>
        <v>722711</v>
      </c>
      <c r="K44" s="245">
        <f>SUM(K5:K43)</f>
        <v>0</v>
      </c>
      <c r="L44" s="245">
        <f>SUM(L5:L43)</f>
        <v>0</v>
      </c>
      <c r="M44" s="208">
        <f t="shared" si="3"/>
        <v>722711</v>
      </c>
      <c r="N44" s="245">
        <f>SUM(N5:N43)</f>
        <v>780720</v>
      </c>
      <c r="O44" s="245">
        <f>SUM(O5:O43)</f>
        <v>1731740</v>
      </c>
      <c r="P44" s="245">
        <f>SUM(P5:P43)</f>
        <v>0</v>
      </c>
      <c r="Q44" s="216">
        <f t="shared" si="3"/>
        <v>2512460</v>
      </c>
      <c r="R44" s="233">
        <f t="shared" si="3"/>
        <v>32446</v>
      </c>
      <c r="U44" s="199"/>
      <c r="V44" s="200"/>
      <c r="W44" s="199"/>
      <c r="X44" s="200"/>
    </row>
    <row r="45" spans="1:24" ht="15" thickBot="1" x14ac:dyDescent="0.35">
      <c r="A45" s="39">
        <v>523</v>
      </c>
      <c r="B45" s="40" t="s">
        <v>69</v>
      </c>
      <c r="C45" s="15"/>
      <c r="D45" s="14">
        <f t="shared" si="2"/>
        <v>0</v>
      </c>
      <c r="E45" s="231"/>
      <c r="F45" s="257"/>
      <c r="G45" s="228"/>
      <c r="H45" s="231"/>
      <c r="I45" s="219"/>
      <c r="J45" s="217"/>
      <c r="K45" s="217"/>
      <c r="L45" s="217"/>
      <c r="M45" s="7">
        <f t="shared" si="0"/>
        <v>0</v>
      </c>
      <c r="N45" s="217"/>
      <c r="O45" s="217"/>
      <c r="P45" s="217"/>
      <c r="Q45" s="217">
        <f t="shared" si="1"/>
        <v>0</v>
      </c>
      <c r="R45" s="231"/>
      <c r="U45" s="199"/>
      <c r="V45" s="200"/>
      <c r="W45" s="199"/>
      <c r="X45" s="200"/>
    </row>
    <row r="46" spans="1:24" ht="15" thickBot="1" x14ac:dyDescent="0.35">
      <c r="A46" s="39">
        <v>526</v>
      </c>
      <c r="B46" s="40" t="s">
        <v>70</v>
      </c>
      <c r="C46" s="15"/>
      <c r="D46" s="14">
        <f t="shared" si="2"/>
        <v>0</v>
      </c>
      <c r="E46" s="231"/>
      <c r="F46" s="257"/>
      <c r="G46" s="228"/>
      <c r="H46" s="231"/>
      <c r="I46" s="219"/>
      <c r="J46" s="217"/>
      <c r="K46" s="217"/>
      <c r="L46" s="217"/>
      <c r="M46" s="9">
        <f t="shared" si="0"/>
        <v>0</v>
      </c>
      <c r="N46" s="217"/>
      <c r="O46" s="217"/>
      <c r="P46" s="217"/>
      <c r="Q46" s="214">
        <f t="shared" si="1"/>
        <v>0</v>
      </c>
      <c r="R46" s="231"/>
      <c r="U46" s="199"/>
      <c r="V46" s="200"/>
      <c r="W46" s="199"/>
      <c r="X46" s="200"/>
    </row>
    <row r="47" spans="1:24" ht="15" thickBot="1" x14ac:dyDescent="0.35">
      <c r="A47" s="39">
        <v>527.70000000000005</v>
      </c>
      <c r="B47" s="40" t="s">
        <v>71</v>
      </c>
      <c r="C47" s="15"/>
      <c r="D47" s="14">
        <f t="shared" si="2"/>
        <v>0</v>
      </c>
      <c r="E47" s="231"/>
      <c r="F47" s="257"/>
      <c r="G47" s="228"/>
      <c r="H47" s="231"/>
      <c r="I47" s="219"/>
      <c r="J47" s="217"/>
      <c r="K47" s="217"/>
      <c r="L47" s="217"/>
      <c r="M47" s="9">
        <f t="shared" si="0"/>
        <v>0</v>
      </c>
      <c r="N47" s="217"/>
      <c r="O47" s="217"/>
      <c r="P47" s="217"/>
      <c r="Q47" s="214">
        <f t="shared" si="1"/>
        <v>0</v>
      </c>
      <c r="R47" s="231"/>
      <c r="U47" s="199"/>
      <c r="V47" s="200"/>
      <c r="W47" s="199"/>
      <c r="X47" s="200"/>
    </row>
    <row r="48" spans="1:24" ht="15" thickBot="1" x14ac:dyDescent="0.35">
      <c r="A48" s="39">
        <v>551.20000000000005</v>
      </c>
      <c r="B48" s="40" t="s">
        <v>72</v>
      </c>
      <c r="C48" s="15"/>
      <c r="D48" s="14">
        <f t="shared" si="2"/>
        <v>0</v>
      </c>
      <c r="E48" s="231"/>
      <c r="F48" s="257"/>
      <c r="G48" s="228"/>
      <c r="H48" s="231"/>
      <c r="I48" s="219"/>
      <c r="J48" s="217"/>
      <c r="K48" s="217"/>
      <c r="L48" s="217"/>
      <c r="M48" s="9">
        <f t="shared" si="0"/>
        <v>0</v>
      </c>
      <c r="N48" s="217"/>
      <c r="O48" s="217"/>
      <c r="P48" s="217"/>
      <c r="Q48" s="214">
        <f t="shared" si="1"/>
        <v>0</v>
      </c>
      <c r="R48" s="231"/>
      <c r="U48" s="199"/>
      <c r="V48" s="200"/>
      <c r="W48" s="199"/>
      <c r="X48" s="200"/>
    </row>
    <row r="49" spans="1:24" ht="15" thickBot="1" x14ac:dyDescent="0.35">
      <c r="A49" s="39">
        <v>554</v>
      </c>
      <c r="B49" s="82" t="s">
        <v>102</v>
      </c>
      <c r="C49" s="15"/>
      <c r="D49" s="14">
        <f t="shared" si="2"/>
        <v>0</v>
      </c>
      <c r="E49" s="231"/>
      <c r="F49" s="257"/>
      <c r="G49" s="228"/>
      <c r="H49" s="231"/>
      <c r="I49" s="219"/>
      <c r="J49" s="217"/>
      <c r="K49" s="217"/>
      <c r="L49" s="217"/>
      <c r="M49" s="9">
        <f t="shared" si="0"/>
        <v>0</v>
      </c>
      <c r="N49" s="217"/>
      <c r="O49" s="217"/>
      <c r="P49" s="217"/>
      <c r="Q49" s="214">
        <f t="shared" si="1"/>
        <v>0</v>
      </c>
      <c r="R49" s="231"/>
      <c r="U49" s="199"/>
      <c r="V49" s="200"/>
      <c r="W49" s="199"/>
      <c r="X49" s="200"/>
    </row>
    <row r="50" spans="1:24" ht="15" thickBot="1" x14ac:dyDescent="0.35">
      <c r="A50" s="39">
        <v>555</v>
      </c>
      <c r="B50" s="40" t="s">
        <v>73</v>
      </c>
      <c r="C50" s="15"/>
      <c r="D50" s="14">
        <f t="shared" si="2"/>
        <v>0</v>
      </c>
      <c r="E50" s="231"/>
      <c r="F50" s="257"/>
      <c r="G50" s="228"/>
      <c r="H50" s="231"/>
      <c r="I50" s="219"/>
      <c r="J50" s="217"/>
      <c r="K50" s="217"/>
      <c r="L50" s="217"/>
      <c r="M50" s="9">
        <f t="shared" si="0"/>
        <v>0</v>
      </c>
      <c r="N50" s="217"/>
      <c r="O50" s="217"/>
      <c r="P50" s="217"/>
      <c r="Q50" s="214">
        <f t="shared" si="1"/>
        <v>0</v>
      </c>
      <c r="R50" s="231"/>
      <c r="U50" s="199"/>
      <c r="V50" s="200"/>
      <c r="W50" s="199"/>
      <c r="X50" s="200"/>
    </row>
    <row r="51" spans="1:24" ht="15" thickBot="1" x14ac:dyDescent="0.35">
      <c r="A51" s="39">
        <v>563</v>
      </c>
      <c r="B51" s="40" t="s">
        <v>74</v>
      </c>
      <c r="C51" s="15"/>
      <c r="D51" s="14">
        <f t="shared" si="2"/>
        <v>0</v>
      </c>
      <c r="E51" s="231"/>
      <c r="F51" s="257"/>
      <c r="G51" s="228"/>
      <c r="H51" s="231"/>
      <c r="I51" s="219"/>
      <c r="J51" s="217"/>
      <c r="K51" s="217"/>
      <c r="L51" s="217"/>
      <c r="M51" s="9">
        <f t="shared" si="0"/>
        <v>0</v>
      </c>
      <c r="N51" s="217"/>
      <c r="O51" s="217"/>
      <c r="P51" s="217"/>
      <c r="Q51" s="214">
        <f t="shared" si="1"/>
        <v>0</v>
      </c>
      <c r="R51" s="231"/>
      <c r="U51" s="199"/>
      <c r="V51" s="200"/>
      <c r="W51" s="199"/>
      <c r="X51" s="200"/>
    </row>
    <row r="52" spans="1:24" ht="15" thickBot="1" x14ac:dyDescent="0.35">
      <c r="A52" s="39">
        <v>564</v>
      </c>
      <c r="B52" s="40" t="s">
        <v>75</v>
      </c>
      <c r="C52" s="15"/>
      <c r="D52" s="14">
        <f t="shared" si="2"/>
        <v>0</v>
      </c>
      <c r="E52" s="231"/>
      <c r="F52" s="257"/>
      <c r="G52" s="228"/>
      <c r="H52" s="231"/>
      <c r="I52" s="219"/>
      <c r="J52" s="217"/>
      <c r="K52" s="217"/>
      <c r="L52" s="217"/>
      <c r="M52" s="9">
        <f t="shared" si="0"/>
        <v>0</v>
      </c>
      <c r="N52" s="217"/>
      <c r="O52" s="217"/>
      <c r="P52" s="217"/>
      <c r="Q52" s="214">
        <f t="shared" si="1"/>
        <v>0</v>
      </c>
      <c r="R52" s="231"/>
      <c r="U52" s="199"/>
      <c r="V52" s="200"/>
      <c r="W52" s="199"/>
      <c r="X52" s="200"/>
    </row>
    <row r="53" spans="1:24" ht="15" thickBot="1" x14ac:dyDescent="0.35">
      <c r="A53" s="39">
        <v>566</v>
      </c>
      <c r="B53" s="40" t="s">
        <v>76</v>
      </c>
      <c r="C53" s="15"/>
      <c r="D53" s="14">
        <f t="shared" si="2"/>
        <v>0</v>
      </c>
      <c r="E53" s="231"/>
      <c r="F53" s="257"/>
      <c r="G53" s="228"/>
      <c r="H53" s="231"/>
      <c r="I53" s="219"/>
      <c r="J53" s="217"/>
      <c r="K53" s="217"/>
      <c r="L53" s="217"/>
      <c r="M53" s="9">
        <f t="shared" si="0"/>
        <v>0</v>
      </c>
      <c r="N53" s="217"/>
      <c r="O53" s="217"/>
      <c r="P53" s="217"/>
      <c r="Q53" s="214">
        <f t="shared" si="1"/>
        <v>0</v>
      </c>
      <c r="R53" s="231"/>
      <c r="U53" s="199"/>
      <c r="V53" s="200"/>
      <c r="W53" s="199"/>
      <c r="X53" s="200"/>
    </row>
    <row r="54" spans="1:24" ht="15" thickBot="1" x14ac:dyDescent="0.35">
      <c r="A54" s="39">
        <v>568</v>
      </c>
      <c r="B54" s="40" t="s">
        <v>77</v>
      </c>
      <c r="C54" s="15"/>
      <c r="D54" s="14">
        <f t="shared" si="2"/>
        <v>0</v>
      </c>
      <c r="E54" s="231"/>
      <c r="F54" s="257"/>
      <c r="G54" s="228"/>
      <c r="H54" s="231"/>
      <c r="I54" s="219"/>
      <c r="J54" s="217">
        <v>0</v>
      </c>
      <c r="K54" s="217"/>
      <c r="L54" s="217"/>
      <c r="M54" s="9">
        <f t="shared" si="0"/>
        <v>0</v>
      </c>
      <c r="N54" s="217">
        <v>0</v>
      </c>
      <c r="O54" s="217"/>
      <c r="P54" s="217"/>
      <c r="Q54" s="214">
        <f t="shared" si="1"/>
        <v>0</v>
      </c>
      <c r="R54" s="231"/>
      <c r="U54" s="199"/>
      <c r="V54" s="200"/>
      <c r="W54" s="199"/>
      <c r="X54" s="200"/>
    </row>
    <row r="55" spans="1:24" x14ac:dyDescent="0.3">
      <c r="A55" s="41">
        <v>500</v>
      </c>
      <c r="B55" s="32" t="s">
        <v>118</v>
      </c>
      <c r="C55" s="18"/>
      <c r="D55" s="20">
        <f t="shared" si="2"/>
        <v>0</v>
      </c>
      <c r="E55" s="232"/>
      <c r="F55" s="258"/>
      <c r="G55" s="229"/>
      <c r="H55" s="232"/>
      <c r="I55" s="220"/>
      <c r="J55" s="244"/>
      <c r="K55" s="244"/>
      <c r="L55" s="244"/>
      <c r="M55" s="198">
        <f t="shared" si="0"/>
        <v>0</v>
      </c>
      <c r="N55" s="244"/>
      <c r="O55" s="244"/>
      <c r="P55" s="244"/>
      <c r="Q55" s="215">
        <f t="shared" si="1"/>
        <v>0</v>
      </c>
      <c r="R55" s="232"/>
      <c r="U55" s="199"/>
      <c r="V55" s="200"/>
      <c r="W55" s="199"/>
      <c r="X55" s="200"/>
    </row>
    <row r="56" spans="1:24" ht="15" thickBot="1" x14ac:dyDescent="0.35">
      <c r="A56" s="107"/>
      <c r="B56" s="108" t="s">
        <v>80</v>
      </c>
      <c r="C56" s="111">
        <f>SUM(C44:C55)</f>
        <v>8702021</v>
      </c>
      <c r="D56" s="110">
        <f>E56+F56+G56+H56+I56+M56+Q56+R56</f>
        <v>8702320</v>
      </c>
      <c r="E56" s="235">
        <f t="shared" ref="E56:R56" si="4">SUM(E44:E55)</f>
        <v>19977</v>
      </c>
      <c r="F56" s="260">
        <f t="shared" si="4"/>
        <v>1599023</v>
      </c>
      <c r="G56" s="225">
        <f t="shared" si="4"/>
        <v>89890</v>
      </c>
      <c r="H56" s="235">
        <f t="shared" si="4"/>
        <v>2959457</v>
      </c>
      <c r="I56" s="240">
        <f t="shared" si="4"/>
        <v>766356</v>
      </c>
      <c r="J56" s="218">
        <f>SUM(J44:J55)</f>
        <v>722711</v>
      </c>
      <c r="K56" s="218">
        <f>SUM(K44:K55)</f>
        <v>0</v>
      </c>
      <c r="L56" s="218">
        <f>SUM(L44:L55)</f>
        <v>0</v>
      </c>
      <c r="M56" s="209">
        <f t="shared" si="4"/>
        <v>722711</v>
      </c>
      <c r="N56" s="218">
        <f>SUM(N44:N55)</f>
        <v>780720</v>
      </c>
      <c r="O56" s="218">
        <f>SUM(O44:O55)</f>
        <v>1731740</v>
      </c>
      <c r="P56" s="218">
        <f>SUM(P44:P55)</f>
        <v>0</v>
      </c>
      <c r="Q56" s="218">
        <f t="shared" si="4"/>
        <v>2512460</v>
      </c>
      <c r="R56" s="235">
        <f t="shared" si="4"/>
        <v>32446</v>
      </c>
      <c r="U56" s="199"/>
      <c r="V56" s="200"/>
      <c r="W56" s="199"/>
      <c r="X56" s="200"/>
    </row>
    <row r="57" spans="1:24" ht="15" thickTop="1" x14ac:dyDescent="0.3"/>
    <row r="58" spans="1:24" ht="15" thickBot="1" x14ac:dyDescent="0.35"/>
    <row r="59" spans="1:24" ht="15" thickBot="1" x14ac:dyDescent="0.35">
      <c r="B59" s="42" t="s">
        <v>109</v>
      </c>
      <c r="C59" s="43"/>
      <c r="D59" s="44"/>
    </row>
    <row r="60" spans="1:24" ht="15" thickTop="1" x14ac:dyDescent="0.3">
      <c r="B60" s="115"/>
      <c r="C60" s="116" t="s">
        <v>82</v>
      </c>
      <c r="D60" s="117" t="s">
        <v>78</v>
      </c>
    </row>
    <row r="61" spans="1:24" x14ac:dyDescent="0.3">
      <c r="B61" s="153" t="s">
        <v>108</v>
      </c>
      <c r="C61" s="45"/>
      <c r="D61" s="46"/>
    </row>
    <row r="62" spans="1:24" x14ac:dyDescent="0.3">
      <c r="B62" s="26" t="s">
        <v>3</v>
      </c>
      <c r="C62" s="47">
        <f>E56</f>
        <v>19977</v>
      </c>
      <c r="D62" s="48">
        <f>E56/D56</f>
        <v>2.2955947379549361E-3</v>
      </c>
    </row>
    <row r="63" spans="1:24" x14ac:dyDescent="0.3">
      <c r="B63" s="26" t="s">
        <v>4</v>
      </c>
      <c r="C63" s="49">
        <f>F56</f>
        <v>1599023</v>
      </c>
      <c r="D63" s="48">
        <f>F56/D56</f>
        <v>0.18374674799363847</v>
      </c>
    </row>
    <row r="64" spans="1:24" x14ac:dyDescent="0.3">
      <c r="B64" s="56" t="s">
        <v>79</v>
      </c>
      <c r="C64" s="50">
        <f>G56</f>
        <v>89890</v>
      </c>
      <c r="D64" s="51">
        <f>G56/D56</f>
        <v>1.0329429393541032E-2</v>
      </c>
    </row>
    <row r="65" spans="2:4" ht="15" thickBot="1" x14ac:dyDescent="0.35">
      <c r="B65" s="146" t="s">
        <v>115</v>
      </c>
      <c r="C65" s="52">
        <f>SUM(C62:C64)</f>
        <v>1708890</v>
      </c>
      <c r="D65" s="53">
        <f>SUM(D62:D64)</f>
        <v>0.19637177212513443</v>
      </c>
    </row>
    <row r="66" spans="2:4" x14ac:dyDescent="0.3">
      <c r="B66" s="154" t="s">
        <v>107</v>
      </c>
      <c r="C66" s="29"/>
      <c r="D66" s="30"/>
    </row>
    <row r="67" spans="2:4" x14ac:dyDescent="0.3">
      <c r="B67" s="24" t="s">
        <v>6</v>
      </c>
      <c r="C67" s="23">
        <f>H56</f>
        <v>2959457</v>
      </c>
      <c r="D67" s="25">
        <f>H56/D56</f>
        <v>0.34007678412193532</v>
      </c>
    </row>
    <row r="68" spans="2:4" x14ac:dyDescent="0.3">
      <c r="B68" s="57" t="s">
        <v>7</v>
      </c>
      <c r="C68" s="27">
        <f>I56</f>
        <v>766356</v>
      </c>
      <c r="D68" s="28">
        <f>I56/D56</f>
        <v>8.8063412974930824E-2</v>
      </c>
    </row>
    <row r="69" spans="2:4" ht="15" thickBot="1" x14ac:dyDescent="0.35">
      <c r="B69" s="146" t="s">
        <v>116</v>
      </c>
      <c r="C69" s="52">
        <f>SUM(C67:C68)</f>
        <v>3725813</v>
      </c>
      <c r="D69" s="53">
        <f>SUM(D67:D68)</f>
        <v>0.42814019709686613</v>
      </c>
    </row>
    <row r="70" spans="2:4" x14ac:dyDescent="0.3">
      <c r="B70" s="154" t="s">
        <v>106</v>
      </c>
      <c r="C70" s="54"/>
      <c r="D70" s="55"/>
    </row>
    <row r="71" spans="2:4" x14ac:dyDescent="0.3">
      <c r="B71" s="24" t="s">
        <v>103</v>
      </c>
      <c r="C71" s="23">
        <f>M56</f>
        <v>722711</v>
      </c>
      <c r="D71" s="25">
        <f>M56/D56</f>
        <v>8.3048083729396302E-2</v>
      </c>
    </row>
    <row r="72" spans="2:4" x14ac:dyDescent="0.3">
      <c r="B72" s="24" t="s">
        <v>8</v>
      </c>
      <c r="C72" s="23">
        <f>Q56</f>
        <v>2512460</v>
      </c>
      <c r="D72" s="25">
        <f>Q56/D56</f>
        <v>0.28871151600952388</v>
      </c>
    </row>
    <row r="73" spans="2:4" x14ac:dyDescent="0.3">
      <c r="B73" s="163" t="s">
        <v>83</v>
      </c>
      <c r="C73" s="27">
        <f>R56</f>
        <v>32446</v>
      </c>
      <c r="D73" s="28">
        <f>R56/D56</f>
        <v>3.7284310390792341E-3</v>
      </c>
    </row>
    <row r="74" spans="2:4" ht="15" thickBot="1" x14ac:dyDescent="0.35">
      <c r="B74" s="146" t="s">
        <v>117</v>
      </c>
      <c r="C74" s="52">
        <f>SUM(C71:C73)</f>
        <v>3267617</v>
      </c>
      <c r="D74" s="53">
        <f>SUM(D71:D73)</f>
        <v>0.37548803077799942</v>
      </c>
    </row>
    <row r="75" spans="2:4" ht="15" thickBot="1" x14ac:dyDescent="0.35">
      <c r="B75" s="157" t="s">
        <v>80</v>
      </c>
      <c r="C75" s="158">
        <f>C65+C69+C74</f>
        <v>8702320</v>
      </c>
      <c r="D75" s="159">
        <f>D65+D69+D74</f>
        <v>1</v>
      </c>
    </row>
    <row r="86" spans="18:18" x14ac:dyDescent="0.3">
      <c r="R86" s="254"/>
    </row>
    <row r="87" spans="18:18" x14ac:dyDescent="0.3">
      <c r="R87" s="254"/>
    </row>
    <row r="88" spans="18:18" x14ac:dyDescent="0.3">
      <c r="R88" s="254"/>
    </row>
  </sheetData>
  <mergeCells count="3">
    <mergeCell ref="E3:G3"/>
    <mergeCell ref="H3:I3"/>
    <mergeCell ref="M3:Q3"/>
  </mergeCells>
  <conditionalFormatting sqref="A5:R55">
    <cfRule type="expression" dxfId="177" priority="7">
      <formula>ROW()=EVEN(ROW())</formula>
    </cfRule>
  </conditionalFormatting>
  <printOptions horizontalCentered="1"/>
  <pageMargins left="0" right="0" top="1.1000000000000001" bottom="0.5" header="0.3" footer="0.3"/>
  <pageSetup scale="87" fitToHeight="0" orientation="landscape" r:id="rId1"/>
  <headerFooter>
    <oddHeader>&amp;C&amp;"-,Bold"&amp;20Funding by Expenditure Code and Revenue Source&amp;"-,Regular"&amp;11
&amp;"-,Bold"&amp;20 2014&amp;"-,Regular"&amp;11
&amp;"-,Bold"&amp;20BENTON-FRANKLIN</oddHeader>
    <oddFooter>&amp;LRevised 11-4-16</oddFooter>
  </headerFooter>
  <rowBreaks count="1" manualBreakCount="1"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74</vt:i4>
      </vt:variant>
    </vt:vector>
  </HeadingPairs>
  <TitlesOfParts>
    <vt:vector size="116" baseType="lpstr">
      <vt:lpstr>Blank Pg 1</vt:lpstr>
      <vt:lpstr>Blank Pg 2</vt:lpstr>
      <vt:lpstr>LJH Summary Pg 3-DO NOT INPUT</vt:lpstr>
      <vt:lpstr>PIE Aggregate Pg 4-DO NOT INPUT</vt:lpstr>
      <vt:lpstr>PIE Detail Pg 5-DO NOT INPUT</vt:lpstr>
      <vt:lpstr>Exp Code Ag Pgs6&amp;7-DO NOT INPUT</vt:lpstr>
      <vt:lpstr>Adams Pgs 8-9</vt:lpstr>
      <vt:lpstr>Asotin Pgs 10-11</vt:lpstr>
      <vt:lpstr>Benton-Franklin Pgs 12-13</vt:lpstr>
      <vt:lpstr>Chelan-Douglas Pgs 14-15</vt:lpstr>
      <vt:lpstr>Clallam Pgs 16-17</vt:lpstr>
      <vt:lpstr>Clark Pgs 18-19</vt:lpstr>
      <vt:lpstr>Columbia Pgs 20-21</vt:lpstr>
      <vt:lpstr>Cowlitz Pgs 22-23</vt:lpstr>
      <vt:lpstr>Garfield Pgs 24-25</vt:lpstr>
      <vt:lpstr>Grant Pgs 26-27</vt:lpstr>
      <vt:lpstr>Grays Harbor Pgs 28-29</vt:lpstr>
      <vt:lpstr>Island Pgs 30-31</vt:lpstr>
      <vt:lpstr>Jefferson Pgs 32-33</vt:lpstr>
      <vt:lpstr>Kitsap Pgs 34-35</vt:lpstr>
      <vt:lpstr>Kittitas Pgs 36-37</vt:lpstr>
      <vt:lpstr>Klickitat Pgs 38-39</vt:lpstr>
      <vt:lpstr>Lewis Pgs 40-41</vt:lpstr>
      <vt:lpstr>Lincoln Pgs 42-43</vt:lpstr>
      <vt:lpstr>Mason Pgs 44-45</vt:lpstr>
      <vt:lpstr>Northeast Tri Pgs 46-47</vt:lpstr>
      <vt:lpstr>Okanogan Pgs 48-49</vt:lpstr>
      <vt:lpstr>Pacific Pgs 50-51</vt:lpstr>
      <vt:lpstr>San Juan Pgs 52-53</vt:lpstr>
      <vt:lpstr>Seattle-King Pgs 54-55</vt:lpstr>
      <vt:lpstr>Skagit Pgs 56-57</vt:lpstr>
      <vt:lpstr>Skamania Pgs 58-59</vt:lpstr>
      <vt:lpstr>Snohomish Pgs 60-61</vt:lpstr>
      <vt:lpstr>Spokane Pgs 62-63</vt:lpstr>
      <vt:lpstr>Tacoma-Pierce Pgs 64-65</vt:lpstr>
      <vt:lpstr>Thurston Pgs 66-67</vt:lpstr>
      <vt:lpstr>Wahkiakum Pgs 68-69</vt:lpstr>
      <vt:lpstr>Walla Walla Pgs 70-71</vt:lpstr>
      <vt:lpstr>Whatcom Pgs 72-73</vt:lpstr>
      <vt:lpstr>Whitman Pgs 74-75</vt:lpstr>
      <vt:lpstr>Yakima Pgs 76-77</vt:lpstr>
      <vt:lpstr>Revenue Matrix Pg 78</vt:lpstr>
      <vt:lpstr>'Adams Pgs 8-9'!Print_Area</vt:lpstr>
      <vt:lpstr>'Asotin Pgs 10-11'!Print_Area</vt:lpstr>
      <vt:lpstr>'Benton-Franklin Pgs 12-13'!Print_Area</vt:lpstr>
      <vt:lpstr>'Blank Pg 1'!Print_Area</vt:lpstr>
      <vt:lpstr>'Blank Pg 2'!Print_Area</vt:lpstr>
      <vt:lpstr>'Chelan-Douglas Pgs 14-15'!Print_Area</vt:lpstr>
      <vt:lpstr>'Clallam Pgs 16-17'!Print_Area</vt:lpstr>
      <vt:lpstr>'Clark Pgs 18-19'!Print_Area</vt:lpstr>
      <vt:lpstr>'Columbia Pgs 20-21'!Print_Area</vt:lpstr>
      <vt:lpstr>'Cowlitz Pgs 22-23'!Print_Area</vt:lpstr>
      <vt:lpstr>'Garfield Pgs 24-25'!Print_Area</vt:lpstr>
      <vt:lpstr>'Grant Pgs 26-27'!Print_Area</vt:lpstr>
      <vt:lpstr>'Grays Harbor Pgs 28-29'!Print_Area</vt:lpstr>
      <vt:lpstr>'Island Pgs 30-31'!Print_Area</vt:lpstr>
      <vt:lpstr>'Jefferson Pgs 32-33'!Print_Area</vt:lpstr>
      <vt:lpstr>'Kitsap Pgs 34-35'!Print_Area</vt:lpstr>
      <vt:lpstr>'Kittitas Pgs 36-37'!Print_Area</vt:lpstr>
      <vt:lpstr>'Klickitat Pgs 38-39'!Print_Area</vt:lpstr>
      <vt:lpstr>'Lewis Pgs 40-41'!Print_Area</vt:lpstr>
      <vt:lpstr>'Lincoln Pgs 42-43'!Print_Area</vt:lpstr>
      <vt:lpstr>'Mason Pgs 44-45'!Print_Area</vt:lpstr>
      <vt:lpstr>'Northeast Tri Pgs 46-47'!Print_Area</vt:lpstr>
      <vt:lpstr>'Okanogan Pgs 48-49'!Print_Area</vt:lpstr>
      <vt:lpstr>'Pacific Pgs 50-51'!Print_Area</vt:lpstr>
      <vt:lpstr>'Revenue Matrix Pg 78'!Print_Area</vt:lpstr>
      <vt:lpstr>'San Juan Pgs 52-53'!Print_Area</vt:lpstr>
      <vt:lpstr>'Seattle-King Pgs 54-55'!Print_Area</vt:lpstr>
      <vt:lpstr>'Skagit Pgs 56-57'!Print_Area</vt:lpstr>
      <vt:lpstr>'Skamania Pgs 58-59'!Print_Area</vt:lpstr>
      <vt:lpstr>'Snohomish Pgs 60-61'!Print_Area</vt:lpstr>
      <vt:lpstr>'Spokane Pgs 62-63'!Print_Area</vt:lpstr>
      <vt:lpstr>'Tacoma-Pierce Pgs 64-65'!Print_Area</vt:lpstr>
      <vt:lpstr>'Thurston Pgs 66-67'!Print_Area</vt:lpstr>
      <vt:lpstr>'Wahkiakum Pgs 68-69'!Print_Area</vt:lpstr>
      <vt:lpstr>'Walla Walla Pgs 70-71'!Print_Area</vt:lpstr>
      <vt:lpstr>'Whatcom Pgs 72-73'!Print_Area</vt:lpstr>
      <vt:lpstr>'Whitman Pgs 74-75'!Print_Area</vt:lpstr>
      <vt:lpstr>'Yakima Pgs 76-77'!Print_Area</vt:lpstr>
      <vt:lpstr>'Adams Pgs 8-9'!Print_Titles</vt:lpstr>
      <vt:lpstr>'Asotin Pgs 10-11'!Print_Titles</vt:lpstr>
      <vt:lpstr>'Benton-Franklin Pgs 12-13'!Print_Titles</vt:lpstr>
      <vt:lpstr>'Chelan-Douglas Pgs 14-15'!Print_Titles</vt:lpstr>
      <vt:lpstr>'Clallam Pgs 16-17'!Print_Titles</vt:lpstr>
      <vt:lpstr>'Clark Pgs 18-19'!Print_Titles</vt:lpstr>
      <vt:lpstr>'Columbia Pgs 20-21'!Print_Titles</vt:lpstr>
      <vt:lpstr>'Cowlitz Pgs 22-23'!Print_Titles</vt:lpstr>
      <vt:lpstr>'Exp Code Ag Pgs6&amp;7-DO NOT INPUT'!Print_Titles</vt:lpstr>
      <vt:lpstr>'Garfield Pgs 24-25'!Print_Titles</vt:lpstr>
      <vt:lpstr>'Grant Pgs 26-27'!Print_Titles</vt:lpstr>
      <vt:lpstr>'Grays Harbor Pgs 28-29'!Print_Titles</vt:lpstr>
      <vt:lpstr>'Island Pgs 30-31'!Print_Titles</vt:lpstr>
      <vt:lpstr>'Jefferson Pgs 32-33'!Print_Titles</vt:lpstr>
      <vt:lpstr>'Kitsap Pgs 34-35'!Print_Titles</vt:lpstr>
      <vt:lpstr>'Kittitas Pgs 36-37'!Print_Titles</vt:lpstr>
      <vt:lpstr>'Klickitat Pgs 38-39'!Print_Titles</vt:lpstr>
      <vt:lpstr>'Lewis Pgs 40-41'!Print_Titles</vt:lpstr>
      <vt:lpstr>'Lincoln Pgs 42-43'!Print_Titles</vt:lpstr>
      <vt:lpstr>'Mason Pgs 44-45'!Print_Titles</vt:lpstr>
      <vt:lpstr>'Northeast Tri Pgs 46-47'!Print_Titles</vt:lpstr>
      <vt:lpstr>'Okanogan Pgs 48-49'!Print_Titles</vt:lpstr>
      <vt:lpstr>'Pacific Pgs 50-51'!Print_Titles</vt:lpstr>
      <vt:lpstr>'San Juan Pgs 52-53'!Print_Titles</vt:lpstr>
      <vt:lpstr>'Seattle-King Pgs 54-55'!Print_Titles</vt:lpstr>
      <vt:lpstr>'Skagit Pgs 56-57'!Print_Titles</vt:lpstr>
      <vt:lpstr>'Skamania Pgs 58-59'!Print_Titles</vt:lpstr>
      <vt:lpstr>'Snohomish Pgs 60-61'!Print_Titles</vt:lpstr>
      <vt:lpstr>'Spokane Pgs 62-63'!Print_Titles</vt:lpstr>
      <vt:lpstr>'Tacoma-Pierce Pgs 64-65'!Print_Titles</vt:lpstr>
      <vt:lpstr>'Thurston Pgs 66-67'!Print_Titles</vt:lpstr>
      <vt:lpstr>'Wahkiakum Pgs 68-69'!Print_Titles</vt:lpstr>
      <vt:lpstr>'Walla Walla Pgs 70-71'!Print_Titles</vt:lpstr>
      <vt:lpstr>'Whatcom Pgs 72-73'!Print_Titles</vt:lpstr>
      <vt:lpstr>'Whitman Pgs 74-75'!Print_Titles</vt:lpstr>
      <vt:lpstr>'Yakima Pgs 76-77'!Print_Titles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cp:lastModifiedBy>Donna T</cp:lastModifiedBy>
  <cp:lastPrinted>2016-12-08T20:16:39Z</cp:lastPrinted>
  <dcterms:created xsi:type="dcterms:W3CDTF">2014-05-09T19:53:21Z</dcterms:created>
  <dcterms:modified xsi:type="dcterms:W3CDTF">2016-12-08T20:50:25Z</dcterms:modified>
  <cp:category>Washington State</cp:category>
  <cp:contentStatus>Final</cp:contentStatus>
</cp:coreProperties>
</file>