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HJ Funding\BARS Reports\2017\To post October 2018\"/>
    </mc:Choice>
  </mc:AlternateContent>
  <bookViews>
    <workbookView xWindow="480" yWindow="1140" windowWidth="17220" windowHeight="7245" firstSheet="36" activeTab="41"/>
  </bookViews>
  <sheets>
    <sheet name="LHJ Summary Pg 3-Do Not Input" sheetId="45" r:id="rId1"/>
    <sheet name="PIE Aggregate Pg 4-Do Not Input" sheetId="50" state="hidden" r:id="rId2"/>
    <sheet name="Exp Code Ag Pgs 4&amp;5 Do Not Inpt" sheetId="46" r:id="rId3"/>
    <sheet name="PIE Aggregate Pg 6-DO NOT I (2" sheetId="56" r:id="rId4"/>
    <sheet name="PIE Detail Pg 7-Do Not Input" sheetId="49" r:id="rId5"/>
    <sheet name="Adams Pgs 8-9" sheetId="10" r:id="rId6"/>
    <sheet name="Asotin Pgs 10-11" sheetId="8" r:id="rId7"/>
    <sheet name="Benton-Franklin Pgs 12-13" sheetId="11" r:id="rId8"/>
    <sheet name="Chelan-Douglas Pgs 14-15" sheetId="12" r:id="rId9"/>
    <sheet name="Clallam Pgs 16-17" sheetId="13" r:id="rId10"/>
    <sheet name="Clark Pgs 18-19" sheetId="16" r:id="rId11"/>
    <sheet name="Columbia Pgs 20-21" sheetId="15" r:id="rId12"/>
    <sheet name="Cowlitz Pgs 22-23" sheetId="14" r:id="rId13"/>
    <sheet name="Garfield Pgs 24-25" sheetId="17" r:id="rId14"/>
    <sheet name="Grant Pgs 26-27" sheetId="18" r:id="rId15"/>
    <sheet name="Grays Harbor Pgs 28-29" sheetId="19" r:id="rId16"/>
    <sheet name="Island Pgs 30-31" sheetId="20" r:id="rId17"/>
    <sheet name="Jefferson Pgs 32-33" sheetId="21" r:id="rId18"/>
    <sheet name="Kitsap Pgs 34-35" sheetId="22" r:id="rId19"/>
    <sheet name="Kittitas Pgs 36-37" sheetId="23" r:id="rId20"/>
    <sheet name="Klickitat Pgs 38-39" sheetId="24" r:id="rId21"/>
    <sheet name="Lewis Pgs 40-41" sheetId="25" r:id="rId22"/>
    <sheet name="Lincoln Pgs 42-43" sheetId="26" r:id="rId23"/>
    <sheet name="Mason Pgs 44-45" sheetId="27" r:id="rId24"/>
    <sheet name="Northeast Tri Pgs 46-47" sheetId="28" r:id="rId25"/>
    <sheet name="Okanogan Pgs 48-49" sheetId="29" r:id="rId26"/>
    <sheet name="Pacific Pgs 50-51" sheetId="30" r:id="rId27"/>
    <sheet name="San Juan Pgs 52-53" sheetId="32" r:id="rId28"/>
    <sheet name="Seattle-King Pgs 54-55" sheetId="61" r:id="rId29"/>
    <sheet name="Skagit Pgs 56-57" sheetId="34" r:id="rId30"/>
    <sheet name="Skamania Pgs 58-59" sheetId="35" r:id="rId31"/>
    <sheet name="Snohomish Pgs 60-61" sheetId="36" r:id="rId32"/>
    <sheet name="Spokane Pgs 62-63" sheetId="37" r:id="rId33"/>
    <sheet name="Tacoma-Pierce Pgs 64-65" sheetId="38" r:id="rId34"/>
    <sheet name="Thurston Pgs 66-67" sheetId="39" r:id="rId35"/>
    <sheet name="Wahkiakum Pgs 68-69" sheetId="40" r:id="rId36"/>
    <sheet name="Walla Walla Pgs 70-71" sheetId="41" r:id="rId37"/>
    <sheet name="Whatcom Pgs 72-73" sheetId="42" r:id="rId38"/>
    <sheet name="Whitman Pgs 74-75" sheetId="43" r:id="rId39"/>
    <sheet name="Yakima Pgs 76-77" sheetId="44" r:id="rId40"/>
    <sheet name="Revenue Matrix Pg 78" sheetId="52" r:id="rId41"/>
    <sheet name="Per Capita Expenditures Pg 79" sheetId="59" r:id="rId42"/>
    <sheet name="Sheet1" sheetId="54" state="hidden" r:id="rId43"/>
  </sheets>
  <definedNames>
    <definedName name="_xlnm.Print_Area" localSheetId="5">'Adams Pgs 8-9'!$A$1:$L$83</definedName>
    <definedName name="_xlnm.Print_Area" localSheetId="6">'Asotin Pgs 10-11'!$A$1:$L$81</definedName>
    <definedName name="_xlnm.Print_Area" localSheetId="7">'Benton-Franklin Pgs 12-13'!$A$1:$L$81</definedName>
    <definedName name="_xlnm.Print_Area" localSheetId="8">'Chelan-Douglas Pgs 14-15'!$A$1:$L$81</definedName>
    <definedName name="_xlnm.Print_Area" localSheetId="9">'Clallam Pgs 16-17'!$A$1:$L$81</definedName>
    <definedName name="_xlnm.Print_Area" localSheetId="10">'Clark Pgs 18-19'!$A$1:$L$81</definedName>
    <definedName name="_xlnm.Print_Area" localSheetId="11">'Columbia Pgs 20-21'!$A$1:$L$81</definedName>
    <definedName name="_xlnm.Print_Area" localSheetId="12">'Cowlitz Pgs 22-23'!$A$1:$L$81</definedName>
    <definedName name="_xlnm.Print_Area" localSheetId="2">'Exp Code Ag Pgs 4&amp;5 Do Not Inpt'!$A$1:$L$81</definedName>
    <definedName name="_xlnm.Print_Area" localSheetId="13">'Garfield Pgs 24-25'!$A$1:$L$81</definedName>
    <definedName name="_xlnm.Print_Area" localSheetId="14">'Grant Pgs 26-27'!$A$1:$L$81</definedName>
    <definedName name="_xlnm.Print_Area" localSheetId="15">'Grays Harbor Pgs 28-29'!$A$1:$L$81</definedName>
    <definedName name="_xlnm.Print_Area" localSheetId="16">'Island Pgs 30-31'!$A$1:$L$81</definedName>
    <definedName name="_xlnm.Print_Area" localSheetId="17">'Jefferson Pgs 32-33'!$A$1:$L$81</definedName>
    <definedName name="_xlnm.Print_Area" localSheetId="18">'Kitsap Pgs 34-35'!$A$1:$L$81</definedName>
    <definedName name="_xlnm.Print_Area" localSheetId="19">'Kittitas Pgs 36-37'!$A$1:$L$81</definedName>
    <definedName name="_xlnm.Print_Area" localSheetId="20">'Klickitat Pgs 38-39'!$A$1:$L$81</definedName>
    <definedName name="_xlnm.Print_Area" localSheetId="21">'Lewis Pgs 40-41'!$A$1:$L$81</definedName>
    <definedName name="_xlnm.Print_Area" localSheetId="0">'LHJ Summary Pg 3-Do Not Input'!$A$3:$N$40</definedName>
    <definedName name="_xlnm.Print_Area" localSheetId="22">'Lincoln Pgs 42-43'!$A$1:$L$81</definedName>
    <definedName name="_xlnm.Print_Area" localSheetId="23">'Mason Pgs 44-45'!$A$1:$L$81</definedName>
    <definedName name="_xlnm.Print_Area" localSheetId="24">'Northeast Tri Pgs 46-47'!$A$1:$L$81</definedName>
    <definedName name="_xlnm.Print_Area" localSheetId="25">'Okanogan Pgs 48-49'!$A$1:$L$81</definedName>
    <definedName name="_xlnm.Print_Area" localSheetId="26">'Pacific Pgs 50-51'!$A$1:$L$81</definedName>
    <definedName name="_xlnm.Print_Area" localSheetId="41">'Per Capita Expenditures Pg 79'!$A$1:$P$41</definedName>
    <definedName name="_xlnm.Print_Area" localSheetId="3">'PIE Aggregate Pg 6-DO NOT I (2'!$A$1:$P$60</definedName>
    <definedName name="_xlnm.Print_Area" localSheetId="4">'PIE Detail Pg 7-Do Not Input'!$A$1:$P$63</definedName>
    <definedName name="_xlnm.Print_Area" localSheetId="27">'San Juan Pgs 52-53'!$A$1:$L$81</definedName>
    <definedName name="_xlnm.Print_Area" localSheetId="28">'Seattle-King Pgs 54-55'!$A$1:$L$81</definedName>
    <definedName name="_xlnm.Print_Area" localSheetId="29">'Skagit Pgs 56-57'!$A$1:$L$81</definedName>
    <definedName name="_xlnm.Print_Area" localSheetId="30">'Skamania Pgs 58-59'!$A$1:$L$81</definedName>
    <definedName name="_xlnm.Print_Area" localSheetId="31">'Snohomish Pgs 60-61'!$A$1:$L$81</definedName>
    <definedName name="_xlnm.Print_Area" localSheetId="32">'Spokane Pgs 62-63'!$A$1:$L$81</definedName>
    <definedName name="_xlnm.Print_Area" localSheetId="33">'Tacoma-Pierce Pgs 64-65'!$A$1:$L$81</definedName>
    <definedName name="_xlnm.Print_Area" localSheetId="34">'Thurston Pgs 66-67'!$A$1:$L$81</definedName>
    <definedName name="_xlnm.Print_Area" localSheetId="35">'Wahkiakum Pgs 68-69'!$A$1:$L$81</definedName>
    <definedName name="_xlnm.Print_Area" localSheetId="36">'Walla Walla Pgs 70-71'!$A$1:$L$81</definedName>
    <definedName name="_xlnm.Print_Area" localSheetId="37">'Whatcom Pgs 72-73'!$A$1:$L$81</definedName>
    <definedName name="_xlnm.Print_Area" localSheetId="38">'Whitman Pgs 74-75'!$A$1:$L$81</definedName>
    <definedName name="_xlnm.Print_Area" localSheetId="39">'Yakima Pgs 76-77'!$A$1:$L$81</definedName>
    <definedName name="_xlnm.Print_Titles" localSheetId="5">'Adams Pgs 8-9'!$1:$4</definedName>
    <definedName name="_xlnm.Print_Titles" localSheetId="6">'Asotin Pgs 10-11'!$1:$4</definedName>
    <definedName name="_xlnm.Print_Titles" localSheetId="7">'Benton-Franklin Pgs 12-13'!$1:$4</definedName>
    <definedName name="_xlnm.Print_Titles" localSheetId="8">'Chelan-Douglas Pgs 14-15'!$1:$4</definedName>
    <definedName name="_xlnm.Print_Titles" localSheetId="9">'Clallam Pgs 16-17'!$1:$4</definedName>
    <definedName name="_xlnm.Print_Titles" localSheetId="10">'Clark Pgs 18-19'!$1:$4</definedName>
    <definedName name="_xlnm.Print_Titles" localSheetId="11">'Columbia Pgs 20-21'!$1:$4</definedName>
    <definedName name="_xlnm.Print_Titles" localSheetId="12">'Cowlitz Pgs 22-23'!$1:$4</definedName>
    <definedName name="_xlnm.Print_Titles" localSheetId="2">'Exp Code Ag Pgs 4&amp;5 Do Not Inpt'!$1:$4</definedName>
    <definedName name="_xlnm.Print_Titles" localSheetId="13">'Garfield Pgs 24-25'!$1:$4</definedName>
    <definedName name="_xlnm.Print_Titles" localSheetId="14">'Grant Pgs 26-27'!$1:$4</definedName>
    <definedName name="_xlnm.Print_Titles" localSheetId="15">'Grays Harbor Pgs 28-29'!$1:$4</definedName>
    <definedName name="_xlnm.Print_Titles" localSheetId="16">'Island Pgs 30-31'!$1:$4</definedName>
    <definedName name="_xlnm.Print_Titles" localSheetId="17">'Jefferson Pgs 32-33'!$1:$4</definedName>
    <definedName name="_xlnm.Print_Titles" localSheetId="18">'Kitsap Pgs 34-35'!$1:$4</definedName>
    <definedName name="_xlnm.Print_Titles" localSheetId="19">'Kittitas Pgs 36-37'!$1:$4</definedName>
    <definedName name="_xlnm.Print_Titles" localSheetId="20">'Klickitat Pgs 38-39'!$1:$4</definedName>
    <definedName name="_xlnm.Print_Titles" localSheetId="21">'Lewis Pgs 40-41'!$1:$4</definedName>
    <definedName name="_xlnm.Print_Titles" localSheetId="0">'LHJ Summary Pg 3-Do Not Input'!$3:$4</definedName>
    <definedName name="_xlnm.Print_Titles" localSheetId="22">'Lincoln Pgs 42-43'!$1:$4</definedName>
    <definedName name="_xlnm.Print_Titles" localSheetId="23">'Mason Pgs 44-45'!$1:$4</definedName>
    <definedName name="_xlnm.Print_Titles" localSheetId="24">'Northeast Tri Pgs 46-47'!$1:$4</definedName>
    <definedName name="_xlnm.Print_Titles" localSheetId="25">'Okanogan Pgs 48-49'!$1:$4</definedName>
    <definedName name="_xlnm.Print_Titles" localSheetId="26">'Pacific Pgs 50-51'!$1:$4</definedName>
    <definedName name="_xlnm.Print_Titles" localSheetId="27">'San Juan Pgs 52-53'!$1:$4</definedName>
    <definedName name="_xlnm.Print_Titles" localSheetId="28">'Seattle-King Pgs 54-55'!$1:$4</definedName>
    <definedName name="_xlnm.Print_Titles" localSheetId="29">'Skagit Pgs 56-57'!$1:$4</definedName>
    <definedName name="_xlnm.Print_Titles" localSheetId="30">'Skamania Pgs 58-59'!$1:$4</definedName>
    <definedName name="_xlnm.Print_Titles" localSheetId="31">'Snohomish Pgs 60-61'!$1:$4</definedName>
    <definedName name="_xlnm.Print_Titles" localSheetId="32">'Spokane Pgs 62-63'!$1:$4</definedName>
    <definedName name="_xlnm.Print_Titles" localSheetId="33">'Tacoma-Pierce Pgs 64-65'!$1:$4</definedName>
    <definedName name="_xlnm.Print_Titles" localSheetId="34">'Thurston Pgs 66-67'!$1:$4</definedName>
    <definedName name="_xlnm.Print_Titles" localSheetId="35">'Wahkiakum Pgs 68-69'!$1:$4</definedName>
    <definedName name="_xlnm.Print_Titles" localSheetId="36">'Walla Walla Pgs 70-71'!$1:$4</definedName>
    <definedName name="_xlnm.Print_Titles" localSheetId="37">'Whatcom Pgs 72-73'!$1:$4</definedName>
    <definedName name="_xlnm.Print_Titles" localSheetId="38">'Whitman Pgs 74-75'!$1:$4</definedName>
    <definedName name="_xlnm.Print_Titles" localSheetId="39">'Yakima Pgs 76-77'!$1:$4</definedName>
  </definedNames>
  <calcPr calcId="152511"/>
</workbook>
</file>

<file path=xl/calcChain.xml><?xml version="1.0" encoding="utf-8"?>
<calcChain xmlns="http://schemas.openxmlformats.org/spreadsheetml/2006/main">
  <c r="K46" i="46" l="1"/>
  <c r="I35" i="46"/>
  <c r="H46" i="46"/>
  <c r="H24" i="46"/>
  <c r="F43" i="46"/>
  <c r="E44" i="46"/>
  <c r="J5" i="46"/>
  <c r="I14" i="45"/>
  <c r="D72" i="18" l="1"/>
  <c r="D71" i="18"/>
  <c r="F60" i="18"/>
  <c r="G60" i="18"/>
  <c r="G48" i="18"/>
  <c r="F48" i="18"/>
  <c r="J48" i="18" l="1"/>
  <c r="J60" i="18" s="1"/>
  <c r="L6" i="44" l="1"/>
  <c r="L7" i="44"/>
  <c r="L8" i="44"/>
  <c r="L9" i="44"/>
  <c r="L10" i="44"/>
  <c r="L6" i="43"/>
  <c r="L7" i="43"/>
  <c r="L8" i="43"/>
  <c r="L9" i="43"/>
  <c r="L10" i="43"/>
  <c r="L6" i="42"/>
  <c r="L7" i="42"/>
  <c r="L8" i="42"/>
  <c r="L9" i="42"/>
  <c r="L10" i="42"/>
  <c r="L6" i="41"/>
  <c r="L7" i="41"/>
  <c r="L8" i="41"/>
  <c r="L9" i="41"/>
  <c r="L10" i="41"/>
  <c r="L6" i="40"/>
  <c r="L7" i="40"/>
  <c r="L8" i="40"/>
  <c r="L9" i="40"/>
  <c r="L10" i="40"/>
  <c r="L6" i="39"/>
  <c r="L7" i="39"/>
  <c r="L8" i="39"/>
  <c r="L9" i="39"/>
  <c r="L10" i="39"/>
  <c r="L6" i="38"/>
  <c r="L7" i="38"/>
  <c r="L8" i="38"/>
  <c r="L9" i="38"/>
  <c r="L10" i="38"/>
  <c r="L6" i="37"/>
  <c r="L7" i="37"/>
  <c r="L8" i="37"/>
  <c r="L9" i="37"/>
  <c r="L10" i="37"/>
  <c r="L6" i="36"/>
  <c r="L7" i="36"/>
  <c r="L8" i="36"/>
  <c r="L9" i="36"/>
  <c r="L10" i="36"/>
  <c r="L6" i="35"/>
  <c r="L7" i="35"/>
  <c r="L8" i="35"/>
  <c r="L9" i="35"/>
  <c r="L10" i="35"/>
  <c r="L6" i="34"/>
  <c r="L7" i="34"/>
  <c r="L8" i="34"/>
  <c r="L9" i="34"/>
  <c r="L10" i="34"/>
  <c r="L6" i="61"/>
  <c r="L7" i="61"/>
  <c r="L8" i="61"/>
  <c r="L9" i="61"/>
  <c r="L10" i="61"/>
  <c r="L6" i="32"/>
  <c r="L7" i="32"/>
  <c r="L8" i="32"/>
  <c r="L9" i="32"/>
  <c r="L10" i="32"/>
  <c r="L6" i="30"/>
  <c r="L7" i="30"/>
  <c r="L8" i="30"/>
  <c r="L9" i="30"/>
  <c r="L10" i="30"/>
  <c r="L6" i="29"/>
  <c r="L7" i="29"/>
  <c r="L8" i="29"/>
  <c r="L9" i="29"/>
  <c r="L10" i="29"/>
  <c r="L6" i="28"/>
  <c r="L7" i="28"/>
  <c r="L8" i="28"/>
  <c r="L9" i="28"/>
  <c r="L10" i="28"/>
  <c r="L6" i="27"/>
  <c r="L7" i="27"/>
  <c r="L8" i="27"/>
  <c r="L9" i="27"/>
  <c r="L10" i="27"/>
  <c r="L6" i="26"/>
  <c r="L7" i="26"/>
  <c r="L8" i="26"/>
  <c r="L9" i="26"/>
  <c r="L10" i="26"/>
  <c r="L6" i="25"/>
  <c r="L7" i="25"/>
  <c r="L8" i="25"/>
  <c r="L9" i="25"/>
  <c r="L10" i="25"/>
  <c r="L6" i="24"/>
  <c r="L7" i="24"/>
  <c r="L8" i="24"/>
  <c r="L9" i="24"/>
  <c r="L10" i="24"/>
  <c r="L6" i="23"/>
  <c r="L7" i="23"/>
  <c r="L8" i="23"/>
  <c r="L9" i="23"/>
  <c r="L10" i="23"/>
  <c r="L6" i="22"/>
  <c r="L7" i="22"/>
  <c r="L8" i="22"/>
  <c r="L9" i="22"/>
  <c r="L10" i="22"/>
  <c r="L6" i="21"/>
  <c r="L7" i="21"/>
  <c r="L8" i="21"/>
  <c r="L9" i="21"/>
  <c r="L10" i="21"/>
  <c r="L6" i="20"/>
  <c r="L7" i="20"/>
  <c r="L8" i="20"/>
  <c r="L9" i="20"/>
  <c r="L10" i="20"/>
  <c r="L6" i="19"/>
  <c r="L7" i="19"/>
  <c r="L8" i="19"/>
  <c r="L9" i="19"/>
  <c r="L10" i="19"/>
  <c r="L6" i="18"/>
  <c r="L7" i="18"/>
  <c r="L8" i="18"/>
  <c r="L9" i="18"/>
  <c r="L10" i="18"/>
  <c r="L6" i="17"/>
  <c r="L7" i="17"/>
  <c r="L8" i="17"/>
  <c r="L9" i="17"/>
  <c r="L10" i="17"/>
  <c r="L6" i="14"/>
  <c r="L7" i="14"/>
  <c r="L8" i="14"/>
  <c r="L9" i="14"/>
  <c r="L10" i="14"/>
  <c r="L6" i="15"/>
  <c r="L7" i="15"/>
  <c r="L8" i="15"/>
  <c r="L9" i="15"/>
  <c r="L10" i="15"/>
  <c r="L6" i="16"/>
  <c r="L7" i="16"/>
  <c r="L8" i="16"/>
  <c r="L9" i="16"/>
  <c r="L10" i="16"/>
  <c r="L6" i="13"/>
  <c r="L7" i="13"/>
  <c r="L8" i="13"/>
  <c r="L9" i="13"/>
  <c r="L10" i="13"/>
  <c r="L6" i="12"/>
  <c r="L7" i="12"/>
  <c r="L8" i="12"/>
  <c r="L9" i="12"/>
  <c r="L10" i="12"/>
  <c r="L6" i="11"/>
  <c r="L7" i="11"/>
  <c r="L8" i="11"/>
  <c r="L9" i="11"/>
  <c r="L10" i="11"/>
  <c r="L6" i="8"/>
  <c r="L7" i="8"/>
  <c r="L8" i="8"/>
  <c r="L9" i="8"/>
  <c r="L10" i="8"/>
  <c r="L11" i="10"/>
  <c r="L6" i="10"/>
  <c r="L7" i="10"/>
  <c r="L8" i="10"/>
  <c r="L9" i="10"/>
  <c r="L10" i="10"/>
  <c r="K51" i="46" l="1"/>
  <c r="K53" i="46"/>
  <c r="K55" i="46"/>
  <c r="K56" i="46"/>
  <c r="K57" i="46"/>
  <c r="K58" i="46"/>
  <c r="K59" i="46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4" i="46"/>
  <c r="K25" i="46"/>
  <c r="K26" i="46"/>
  <c r="K27" i="46"/>
  <c r="K28" i="46"/>
  <c r="K29" i="46"/>
  <c r="K30" i="46"/>
  <c r="K31" i="46"/>
  <c r="K32" i="46"/>
  <c r="K33" i="46"/>
  <c r="K35" i="46"/>
  <c r="K36" i="46"/>
  <c r="K37" i="46"/>
  <c r="K38" i="46"/>
  <c r="K40" i="46"/>
  <c r="K41" i="46"/>
  <c r="K42" i="46"/>
  <c r="K44" i="46"/>
  <c r="K45" i="46"/>
  <c r="J47" i="46"/>
  <c r="L14" i="45"/>
  <c r="L13" i="45"/>
  <c r="J53" i="46"/>
  <c r="J56" i="46"/>
  <c r="J57" i="46"/>
  <c r="G53" i="46"/>
  <c r="G59" i="46"/>
  <c r="H39" i="45"/>
  <c r="H36" i="59" s="1"/>
  <c r="H29" i="45"/>
  <c r="H26" i="59" s="1"/>
  <c r="H24" i="45"/>
  <c r="H21" i="59" s="1"/>
  <c r="H22" i="45"/>
  <c r="H19" i="59" s="1"/>
  <c r="H19" i="45"/>
  <c r="H16" i="59" s="1"/>
  <c r="H15" i="45"/>
  <c r="H12" i="59" s="1"/>
  <c r="H14" i="45"/>
  <c r="H11" i="59" s="1"/>
  <c r="H6" i="45"/>
  <c r="H3" i="59" s="1"/>
  <c r="H7" i="45"/>
  <c r="H4" i="59" s="1"/>
  <c r="H8" i="45"/>
  <c r="H5" i="59" s="1"/>
  <c r="H9" i="45"/>
  <c r="H6" i="59" s="1"/>
  <c r="H10" i="45"/>
  <c r="H7" i="59" s="1"/>
  <c r="H11" i="45"/>
  <c r="H8" i="59" s="1"/>
  <c r="H12" i="45"/>
  <c r="H9" i="59" s="1"/>
  <c r="H13" i="45"/>
  <c r="H10" i="59" s="1"/>
  <c r="H16" i="45"/>
  <c r="H13" i="59" s="1"/>
  <c r="H17" i="45"/>
  <c r="H14" i="59" s="1"/>
  <c r="H18" i="45"/>
  <c r="H15" i="59" s="1"/>
  <c r="H20" i="45"/>
  <c r="H17" i="59" s="1"/>
  <c r="H21" i="45"/>
  <c r="H18" i="59" s="1"/>
  <c r="H23" i="45"/>
  <c r="H20" i="59" s="1"/>
  <c r="H25" i="45"/>
  <c r="H22" i="59" s="1"/>
  <c r="H26" i="45"/>
  <c r="H23" i="59" s="1"/>
  <c r="H28" i="45"/>
  <c r="H25" i="59" s="1"/>
  <c r="H30" i="45"/>
  <c r="H27" i="59" s="1"/>
  <c r="H31" i="45"/>
  <c r="H28" i="59" s="1"/>
  <c r="H32" i="45"/>
  <c r="H29" i="59" s="1"/>
  <c r="H33" i="45"/>
  <c r="H30" i="59" s="1"/>
  <c r="H34" i="45"/>
  <c r="H31" i="59" s="1"/>
  <c r="H35" i="45"/>
  <c r="H32" i="59" s="1"/>
  <c r="H36" i="45"/>
  <c r="H33" i="59" s="1"/>
  <c r="H37" i="45"/>
  <c r="H34" i="59" s="1"/>
  <c r="H38" i="45"/>
  <c r="H35" i="59" s="1"/>
  <c r="F47" i="46"/>
  <c r="F6" i="46"/>
  <c r="G6" i="45"/>
  <c r="I55" i="46" l="1"/>
  <c r="H55" i="46"/>
  <c r="D55" i="46"/>
  <c r="G47" i="46"/>
  <c r="C47" i="46"/>
  <c r="C71" i="44"/>
  <c r="D71" i="43"/>
  <c r="C71" i="43"/>
  <c r="D71" i="41"/>
  <c r="C71" i="41"/>
  <c r="D71" i="40"/>
  <c r="C71" i="40"/>
  <c r="D71" i="39"/>
  <c r="C71" i="39"/>
  <c r="C71" i="38"/>
  <c r="D71" i="37"/>
  <c r="C71" i="37"/>
  <c r="D71" i="36"/>
  <c r="C71" i="36"/>
  <c r="D71" i="35"/>
  <c r="C71" i="35"/>
  <c r="C71" i="34"/>
  <c r="D71" i="61"/>
  <c r="C71" i="61"/>
  <c r="F48" i="30"/>
  <c r="D71" i="29"/>
  <c r="C71" i="29"/>
  <c r="D71" i="28"/>
  <c r="C71" i="28"/>
  <c r="D71" i="27"/>
  <c r="C71" i="27"/>
  <c r="D71" i="26"/>
  <c r="C71" i="26"/>
  <c r="C71" i="25"/>
  <c r="D71" i="24"/>
  <c r="C71" i="24"/>
  <c r="D71" i="23"/>
  <c r="C71" i="23"/>
  <c r="D71" i="22"/>
  <c r="C71" i="22"/>
  <c r="D71" i="21"/>
  <c r="C71" i="21"/>
  <c r="C71" i="20"/>
  <c r="D71" i="19"/>
  <c r="C71" i="19"/>
  <c r="C71" i="18"/>
  <c r="D71" i="17"/>
  <c r="C71" i="17"/>
  <c r="D71" i="14"/>
  <c r="C71" i="14"/>
  <c r="D71" i="15"/>
  <c r="C71" i="15"/>
  <c r="D71" i="16"/>
  <c r="C71" i="16"/>
  <c r="D71" i="13"/>
  <c r="C71" i="13"/>
  <c r="D71" i="12"/>
  <c r="C71" i="12"/>
  <c r="D71" i="11"/>
  <c r="C71" i="11"/>
  <c r="D71" i="8"/>
  <c r="C71" i="8"/>
  <c r="E48" i="8"/>
  <c r="E60" i="8" s="1"/>
  <c r="C42" i="46" l="1"/>
  <c r="D42" i="46"/>
  <c r="G42" i="46"/>
  <c r="L42" i="10"/>
  <c r="L42" i="8"/>
  <c r="L42" i="46" l="1"/>
  <c r="D59" i="46"/>
  <c r="C59" i="46"/>
  <c r="H58" i="46"/>
  <c r="D58" i="46"/>
  <c r="C58" i="46"/>
  <c r="I57" i="46"/>
  <c r="H57" i="46"/>
  <c r="C57" i="46"/>
  <c r="D56" i="46"/>
  <c r="C56" i="46"/>
  <c r="D54" i="46"/>
  <c r="C54" i="46"/>
  <c r="D53" i="46"/>
  <c r="C53" i="46"/>
  <c r="D51" i="46"/>
  <c r="K50" i="46"/>
  <c r="H50" i="46"/>
  <c r="E50" i="46"/>
  <c r="D50" i="46"/>
  <c r="C50" i="46"/>
  <c r="J49" i="46"/>
  <c r="I46" i="46"/>
  <c r="G46" i="46"/>
  <c r="D46" i="46"/>
  <c r="G45" i="46"/>
  <c r="F45" i="46"/>
  <c r="D45" i="46"/>
  <c r="C45" i="46"/>
  <c r="I44" i="46"/>
  <c r="F44" i="46"/>
  <c r="J43" i="46"/>
  <c r="I43" i="46"/>
  <c r="G43" i="46"/>
  <c r="D43" i="46"/>
  <c r="C43" i="46"/>
  <c r="J41" i="46"/>
  <c r="G41" i="46"/>
  <c r="C41" i="46"/>
  <c r="I40" i="46"/>
  <c r="G40" i="46"/>
  <c r="E40" i="46"/>
  <c r="D40" i="46"/>
  <c r="G39" i="46"/>
  <c r="C39" i="46"/>
  <c r="G38" i="46"/>
  <c r="F38" i="46"/>
  <c r="C38" i="46"/>
  <c r="J37" i="46"/>
  <c r="H37" i="46"/>
  <c r="G37" i="46"/>
  <c r="F37" i="46"/>
  <c r="E37" i="46"/>
  <c r="J36" i="46"/>
  <c r="G36" i="46"/>
  <c r="F36" i="46"/>
  <c r="J35" i="46"/>
  <c r="H35" i="46"/>
  <c r="G35" i="46"/>
  <c r="F35" i="46"/>
  <c r="C35" i="46"/>
  <c r="J34" i="46"/>
  <c r="H34" i="46"/>
  <c r="G34" i="46"/>
  <c r="F34" i="46"/>
  <c r="E34" i="46"/>
  <c r="C34" i="46"/>
  <c r="I33" i="46"/>
  <c r="G33" i="46"/>
  <c r="F33" i="46"/>
  <c r="E33" i="46"/>
  <c r="C33" i="46"/>
  <c r="G32" i="46"/>
  <c r="D32" i="46"/>
  <c r="C32" i="46"/>
  <c r="G31" i="46"/>
  <c r="F31" i="46"/>
  <c r="C31" i="46"/>
  <c r="J30" i="46"/>
  <c r="G30" i="46"/>
  <c r="F30" i="46"/>
  <c r="C30" i="46"/>
  <c r="J29" i="46"/>
  <c r="I29" i="46"/>
  <c r="H29" i="46"/>
  <c r="G29" i="46"/>
  <c r="F29" i="46"/>
  <c r="E29" i="46"/>
  <c r="C29" i="46"/>
  <c r="F28" i="46"/>
  <c r="E28" i="46"/>
  <c r="D28" i="46"/>
  <c r="C28" i="46"/>
  <c r="J27" i="46"/>
  <c r="I27" i="46"/>
  <c r="H27" i="46"/>
  <c r="G27" i="46"/>
  <c r="C27" i="46"/>
  <c r="G26" i="46"/>
  <c r="E26" i="46"/>
  <c r="D26" i="46"/>
  <c r="J25" i="46"/>
  <c r="G25" i="46"/>
  <c r="E25" i="46"/>
  <c r="C25" i="46"/>
  <c r="J24" i="46"/>
  <c r="I24" i="46"/>
  <c r="G24" i="46"/>
  <c r="D24" i="46"/>
  <c r="J23" i="46"/>
  <c r="I23" i="46"/>
  <c r="G23" i="46"/>
  <c r="J22" i="46"/>
  <c r="F22" i="46"/>
  <c r="E22" i="46"/>
  <c r="D22" i="46"/>
  <c r="H21" i="46"/>
  <c r="G21" i="46"/>
  <c r="C21" i="46"/>
  <c r="I20" i="46"/>
  <c r="G20" i="46"/>
  <c r="F20" i="46"/>
  <c r="E20" i="46"/>
  <c r="C20" i="46"/>
  <c r="J19" i="46"/>
  <c r="I19" i="46"/>
  <c r="G19" i="46"/>
  <c r="F19" i="46"/>
  <c r="E19" i="46"/>
  <c r="D19" i="46"/>
  <c r="C19" i="46"/>
  <c r="H18" i="46"/>
  <c r="F18" i="46"/>
  <c r="E18" i="46"/>
  <c r="I17" i="46"/>
  <c r="H17" i="46"/>
  <c r="C17" i="46"/>
  <c r="D16" i="46"/>
  <c r="C16" i="46"/>
  <c r="J15" i="46"/>
  <c r="I15" i="46"/>
  <c r="G15" i="46"/>
  <c r="E15" i="46"/>
  <c r="D15" i="46"/>
  <c r="C15" i="46"/>
  <c r="I14" i="46"/>
  <c r="G14" i="46"/>
  <c r="E14" i="46"/>
  <c r="C14" i="46"/>
  <c r="G13" i="46"/>
  <c r="F13" i="46"/>
  <c r="E13" i="46"/>
  <c r="D13" i="46"/>
  <c r="C13" i="46"/>
  <c r="I12" i="46"/>
  <c r="H12" i="46"/>
  <c r="G12" i="46"/>
  <c r="E12" i="46"/>
  <c r="D12" i="46"/>
  <c r="G11" i="46"/>
  <c r="E11" i="46"/>
  <c r="G10" i="46"/>
  <c r="F10" i="46"/>
  <c r="F9" i="46"/>
  <c r="C9" i="46"/>
  <c r="J8" i="46"/>
  <c r="G8" i="46"/>
  <c r="F8" i="46"/>
  <c r="G7" i="46"/>
  <c r="F7" i="46"/>
  <c r="G6" i="46"/>
  <c r="G5" i="46"/>
  <c r="F5" i="46"/>
  <c r="D28" i="45"/>
  <c r="C28" i="45"/>
  <c r="B28" i="45"/>
  <c r="C48" i="61"/>
  <c r="C60" i="61" s="1"/>
  <c r="E28" i="45" s="1"/>
  <c r="D48" i="61"/>
  <c r="D60" i="61" s="1"/>
  <c r="F28" i="45" s="1"/>
  <c r="E48" i="61"/>
  <c r="E60" i="61" s="1"/>
  <c r="G28" i="45" s="1"/>
  <c r="F48" i="61"/>
  <c r="F60" i="61" s="1"/>
  <c r="G48" i="61"/>
  <c r="G60" i="61" s="1"/>
  <c r="I28" i="45" s="1"/>
  <c r="H48" i="61"/>
  <c r="H60" i="61" s="1"/>
  <c r="J28" i="45" s="1"/>
  <c r="I48" i="61"/>
  <c r="I60" i="61" s="1"/>
  <c r="K28" i="45" s="1"/>
  <c r="J48" i="61"/>
  <c r="J60" i="61" s="1"/>
  <c r="L28" i="45" s="1"/>
  <c r="K48" i="61"/>
  <c r="K60" i="61" s="1"/>
  <c r="M28" i="45" s="1"/>
  <c r="L59" i="61"/>
  <c r="L58" i="61"/>
  <c r="L57" i="61"/>
  <c r="L56" i="61"/>
  <c r="L55" i="61"/>
  <c r="L54" i="61"/>
  <c r="L53" i="61"/>
  <c r="L52" i="61"/>
  <c r="L51" i="61"/>
  <c r="L50" i="61"/>
  <c r="L49" i="61"/>
  <c r="L47" i="61"/>
  <c r="L46" i="61"/>
  <c r="L45" i="61"/>
  <c r="L44" i="61"/>
  <c r="L43" i="61"/>
  <c r="L42" i="61"/>
  <c r="L41" i="61"/>
  <c r="L40" i="61"/>
  <c r="L39" i="61"/>
  <c r="L38" i="61"/>
  <c r="L37" i="61"/>
  <c r="L36" i="61"/>
  <c r="L35" i="61"/>
  <c r="L34" i="61"/>
  <c r="L33" i="61"/>
  <c r="L32" i="61"/>
  <c r="L31" i="61"/>
  <c r="L30" i="61"/>
  <c r="L28" i="61"/>
  <c r="L27" i="61"/>
  <c r="L26" i="61"/>
  <c r="L25" i="61"/>
  <c r="L24" i="61"/>
  <c r="L23" i="61"/>
  <c r="L22" i="61"/>
  <c r="L21" i="61"/>
  <c r="L20" i="61"/>
  <c r="L19" i="61"/>
  <c r="L18" i="61"/>
  <c r="L17" i="61"/>
  <c r="L16" i="61"/>
  <c r="L15" i="61"/>
  <c r="L14" i="61"/>
  <c r="L13" i="61"/>
  <c r="L12" i="61"/>
  <c r="L11" i="61"/>
  <c r="L5" i="61"/>
  <c r="C1" i="28"/>
  <c r="L25" i="59" l="1"/>
  <c r="O25" i="59"/>
  <c r="I25" i="59"/>
  <c r="J25" i="59" s="1"/>
  <c r="F25" i="59"/>
  <c r="F48" i="46"/>
  <c r="C67" i="61"/>
  <c r="C77" i="61"/>
  <c r="C72" i="61"/>
  <c r="C80" i="61"/>
  <c r="L60" i="61"/>
  <c r="D67" i="61" s="1"/>
  <c r="C66" i="61"/>
  <c r="C73" i="61"/>
  <c r="L29" i="61"/>
  <c r="L48" i="61"/>
  <c r="C70" i="61"/>
  <c r="C76" i="61"/>
  <c r="D29" i="34"/>
  <c r="C68" i="61" l="1"/>
  <c r="D66" i="61"/>
  <c r="D68" i="61" s="1"/>
  <c r="D76" i="61"/>
  <c r="C74" i="61"/>
  <c r="D77" i="61"/>
  <c r="D80" i="61"/>
  <c r="C78" i="61"/>
  <c r="D73" i="61"/>
  <c r="D70" i="61"/>
  <c r="D72" i="61"/>
  <c r="K56" i="42"/>
  <c r="I35" i="42"/>
  <c r="D78" i="61" l="1"/>
  <c r="C81" i="61"/>
  <c r="D74" i="61"/>
  <c r="D81" i="61" l="1"/>
  <c r="F60" i="30"/>
  <c r="C71" i="30" l="1"/>
  <c r="D33" i="44"/>
  <c r="D30" i="44"/>
  <c r="D35" i="43" l="1"/>
  <c r="D21" i="43"/>
  <c r="I18" i="43"/>
  <c r="D36" i="41" l="1"/>
  <c r="D31" i="41"/>
  <c r="D27" i="41"/>
  <c r="D27" i="46" s="1"/>
  <c r="D20" i="41"/>
  <c r="I18" i="41"/>
  <c r="D18" i="41"/>
  <c r="D5" i="41"/>
  <c r="I16" i="40" l="1"/>
  <c r="K57" i="38" l="1"/>
  <c r="C46" i="38"/>
  <c r="C40" i="38"/>
  <c r="C40" i="46" s="1"/>
  <c r="K37" i="38"/>
  <c r="I37" i="38"/>
  <c r="C36" i="38"/>
  <c r="C36" i="46" s="1"/>
  <c r="K35" i="38"/>
  <c r="D35" i="38"/>
  <c r="K33" i="38"/>
  <c r="K31" i="38"/>
  <c r="K28" i="38"/>
  <c r="I26" i="38"/>
  <c r="C26" i="38"/>
  <c r="C26" i="46" s="1"/>
  <c r="C24" i="38"/>
  <c r="C24" i="46" s="1"/>
  <c r="K22" i="38"/>
  <c r="C22" i="38"/>
  <c r="C22" i="46" s="1"/>
  <c r="E21" i="38"/>
  <c r="J20" i="38"/>
  <c r="J20" i="46" s="1"/>
  <c r="C18" i="38"/>
  <c r="K12" i="38"/>
  <c r="C12" i="38"/>
  <c r="C12" i="46" s="1"/>
  <c r="K8" i="38"/>
  <c r="K7" i="38"/>
  <c r="C10" i="38"/>
  <c r="C10" i="46" s="1"/>
  <c r="C8" i="38"/>
  <c r="C8" i="46" s="1"/>
  <c r="C7" i="38"/>
  <c r="C7" i="46" s="1"/>
  <c r="C6" i="38"/>
  <c r="C6" i="46" s="1"/>
  <c r="C5" i="38"/>
  <c r="D57" i="37" l="1"/>
  <c r="D57" i="46" s="1"/>
  <c r="J44" i="37"/>
  <c r="J44" i="46" s="1"/>
  <c r="D44" i="37"/>
  <c r="D44" i="46" s="1"/>
  <c r="J40" i="37"/>
  <c r="J40" i="46" s="1"/>
  <c r="D35" i="37"/>
  <c r="D33" i="37"/>
  <c r="D31" i="37"/>
  <c r="H30" i="37"/>
  <c r="D30" i="37"/>
  <c r="I25" i="37"/>
  <c r="I25" i="46" s="1"/>
  <c r="E21" i="37"/>
  <c r="D21" i="37"/>
  <c r="D21" i="46" s="1"/>
  <c r="I18" i="37"/>
  <c r="I16" i="37"/>
  <c r="J13" i="37"/>
  <c r="J13" i="46" s="1"/>
  <c r="I13" i="37"/>
  <c r="H13" i="37"/>
  <c r="H13" i="46" s="1"/>
  <c r="J12" i="37"/>
  <c r="J12" i="46" s="1"/>
  <c r="H11" i="37"/>
  <c r="H11" i="46" s="1"/>
  <c r="E5" i="37"/>
  <c r="E5" i="46" s="1"/>
  <c r="K30" i="36"/>
  <c r="K38" i="36"/>
  <c r="D38" i="36"/>
  <c r="D35" i="36"/>
  <c r="I21" i="36"/>
  <c r="I21" i="46" s="1"/>
  <c r="E21" i="36"/>
  <c r="E21" i="46" s="1"/>
  <c r="D20" i="36"/>
  <c r="K18" i="36"/>
  <c r="J18" i="36"/>
  <c r="I18" i="36"/>
  <c r="J11" i="36"/>
  <c r="D5" i="36"/>
  <c r="C5" i="36"/>
  <c r="F48" i="27" l="1"/>
  <c r="F60" i="27" s="1"/>
  <c r="I37" i="27"/>
  <c r="D33" i="27"/>
  <c r="E31" i="27"/>
  <c r="E31" i="46" s="1"/>
  <c r="D31" i="27"/>
  <c r="D30" i="27"/>
  <c r="D29" i="27"/>
  <c r="I18" i="27"/>
  <c r="C11" i="27"/>
  <c r="H56" i="46" l="1"/>
  <c r="J45" i="25"/>
  <c r="J45" i="46" s="1"/>
  <c r="D31" i="25"/>
  <c r="D18" i="25"/>
  <c r="H5" i="25"/>
  <c r="D5" i="25"/>
  <c r="D36" i="16" l="1"/>
  <c r="D36" i="46" s="1"/>
  <c r="D34" i="16"/>
  <c r="D33" i="16"/>
  <c r="H30" i="16"/>
  <c r="D30" i="16"/>
  <c r="D29" i="16"/>
  <c r="J28" i="16"/>
  <c r="I22" i="16"/>
  <c r="I22" i="46" s="1"/>
  <c r="K21" i="16"/>
  <c r="J21" i="16"/>
  <c r="J21" i="46" s="1"/>
  <c r="K13" i="16"/>
  <c r="J11" i="16"/>
  <c r="J11" i="46" s="1"/>
  <c r="F48" i="43" l="1"/>
  <c r="F60" i="43" s="1"/>
  <c r="F48" i="42"/>
  <c r="F60" i="42" s="1"/>
  <c r="F48" i="41"/>
  <c r="F48" i="40"/>
  <c r="F60" i="40" s="1"/>
  <c r="F48" i="39"/>
  <c r="F60" i="39" s="1"/>
  <c r="F48" i="38"/>
  <c r="F60" i="38" s="1"/>
  <c r="F48" i="37"/>
  <c r="F60" i="37" s="1"/>
  <c r="F48" i="36"/>
  <c r="F60" i="36" s="1"/>
  <c r="F60" i="35"/>
  <c r="F48" i="35"/>
  <c r="J59" i="32"/>
  <c r="J59" i="46" s="1"/>
  <c r="H59" i="46"/>
  <c r="F48" i="32"/>
  <c r="F60" i="32" s="1"/>
  <c r="H27" i="45" s="1"/>
  <c r="H24" i="59" s="1"/>
  <c r="D11" i="32"/>
  <c r="D11" i="46" s="1"/>
  <c r="D5" i="32"/>
  <c r="C71" i="42" l="1"/>
  <c r="C71" i="32"/>
  <c r="F60" i="41"/>
  <c r="L9" i="46"/>
  <c r="L10" i="46"/>
  <c r="L8" i="46"/>
  <c r="L6" i="46"/>
  <c r="F60" i="46"/>
  <c r="F48" i="29"/>
  <c r="F60" i="29" s="1"/>
  <c r="D35" i="29"/>
  <c r="D33" i="29"/>
  <c r="C71" i="46" l="1"/>
  <c r="F48" i="28"/>
  <c r="F60" i="28" s="1"/>
  <c r="D33" i="28"/>
  <c r="D30" i="28"/>
  <c r="I13" i="28"/>
  <c r="I13" i="46" s="1"/>
  <c r="K5" i="28"/>
  <c r="F48" i="26" l="1"/>
  <c r="F60" i="26" s="1"/>
  <c r="D39" i="26"/>
  <c r="D39" i="46" s="1"/>
  <c r="D38" i="26"/>
  <c r="D38" i="46" s="1"/>
  <c r="H26" i="26"/>
  <c r="H26" i="46" s="1"/>
  <c r="I16" i="26"/>
  <c r="H5" i="26"/>
  <c r="F48" i="25" l="1"/>
  <c r="F60" i="25" s="1"/>
  <c r="F48" i="24"/>
  <c r="F60" i="24" s="1"/>
  <c r="F48" i="23"/>
  <c r="F60" i="23" s="1"/>
  <c r="J46" i="23"/>
  <c r="J46" i="46" s="1"/>
  <c r="C46" i="23"/>
  <c r="C46" i="46" s="1"/>
  <c r="D35" i="23"/>
  <c r="D33" i="23"/>
  <c r="I18" i="23"/>
  <c r="D17" i="23"/>
  <c r="D17" i="46" s="1"/>
  <c r="K5" i="23"/>
  <c r="C44" i="22" l="1"/>
  <c r="C44" i="46" s="1"/>
  <c r="K37" i="22"/>
  <c r="C37" i="22"/>
  <c r="C37" i="46" s="1"/>
  <c r="J33" i="22"/>
  <c r="K31" i="22"/>
  <c r="D29" i="22"/>
  <c r="I28" i="22"/>
  <c r="I28" i="46" s="1"/>
  <c r="K21" i="22"/>
  <c r="F48" i="22"/>
  <c r="F60" i="22" s="1"/>
  <c r="H53" i="20" l="1"/>
  <c r="H53" i="46" s="1"/>
  <c r="F48" i="8" l="1"/>
  <c r="F60" i="8" s="1"/>
  <c r="F48" i="21" l="1"/>
  <c r="F60" i="21" s="1"/>
  <c r="D35" i="21"/>
  <c r="K31" i="21"/>
  <c r="J26" i="21"/>
  <c r="J26" i="46" s="1"/>
  <c r="K21" i="21"/>
  <c r="I18" i="21"/>
  <c r="C18" i="21"/>
  <c r="C18" i="46" s="1"/>
  <c r="K17" i="21"/>
  <c r="J17" i="21"/>
  <c r="I16" i="21"/>
  <c r="K14" i="21"/>
  <c r="J14" i="21"/>
  <c r="J14" i="46" s="1"/>
  <c r="D14" i="21"/>
  <c r="K11" i="21"/>
  <c r="H5" i="21"/>
  <c r="H5" i="46" s="1"/>
  <c r="C5" i="21"/>
  <c r="F48" i="20" l="1"/>
  <c r="F60" i="20" s="1"/>
  <c r="K46" i="20"/>
  <c r="H30" i="20"/>
  <c r="D30" i="20"/>
  <c r="D29" i="20"/>
  <c r="G28" i="20"/>
  <c r="G28" i="46" s="1"/>
  <c r="G22" i="20"/>
  <c r="G22" i="46" s="1"/>
  <c r="D20" i="20"/>
  <c r="D20" i="46" s="1"/>
  <c r="I18" i="20"/>
  <c r="D18" i="20"/>
  <c r="D18" i="46" s="1"/>
  <c r="I16" i="20"/>
  <c r="C11" i="20"/>
  <c r="C11" i="46" s="1"/>
  <c r="D5" i="20"/>
  <c r="C5" i="20"/>
  <c r="F48" i="19" l="1"/>
  <c r="F60" i="19" s="1"/>
  <c r="J28" i="19"/>
  <c r="J28" i="46" s="1"/>
  <c r="H28" i="19"/>
  <c r="H28" i="46" s="1"/>
  <c r="K21" i="19"/>
  <c r="J17" i="19"/>
  <c r="J17" i="46" s="1"/>
  <c r="K17" i="19"/>
  <c r="I16" i="19"/>
  <c r="D14" i="19"/>
  <c r="D14" i="46" s="1"/>
  <c r="K12" i="19"/>
  <c r="K5" i="19"/>
  <c r="F48" i="17" l="1"/>
  <c r="F60" i="17" s="1"/>
  <c r="D34" i="17"/>
  <c r="D34" i="46" s="1"/>
  <c r="D31" i="17"/>
  <c r="I18" i="17"/>
  <c r="C5" i="17"/>
  <c r="C5" i="46" s="1"/>
  <c r="C48" i="46" s="1"/>
  <c r="C60" i="46" l="1"/>
  <c r="F48" i="14"/>
  <c r="F60" i="14" s="1"/>
  <c r="D37" i="14"/>
  <c r="D37" i="46" s="1"/>
  <c r="D35" i="14"/>
  <c r="D35" i="46" s="1"/>
  <c r="J33" i="14"/>
  <c r="J33" i="46" s="1"/>
  <c r="D33" i="14"/>
  <c r="D31" i="14"/>
  <c r="D30" i="14"/>
  <c r="D29" i="14"/>
  <c r="K28" i="14"/>
  <c r="K5" i="14"/>
  <c r="K44" i="15" l="1"/>
  <c r="G44" i="15"/>
  <c r="G44" i="46" s="1"/>
  <c r="D33" i="15"/>
  <c r="D31" i="15"/>
  <c r="G18" i="15"/>
  <c r="G18" i="46" s="1"/>
  <c r="K17" i="15"/>
  <c r="G17" i="15"/>
  <c r="G17" i="46" s="1"/>
  <c r="I16" i="15"/>
  <c r="G16" i="15"/>
  <c r="G16" i="46" s="1"/>
  <c r="D7" i="15"/>
  <c r="D7" i="46" s="1"/>
  <c r="L7" i="46" s="1"/>
  <c r="F48" i="15" l="1"/>
  <c r="F60" i="15" s="1"/>
  <c r="F48" i="16"/>
  <c r="F60" i="16" s="1"/>
  <c r="F48" i="13"/>
  <c r="F60" i="13" s="1"/>
  <c r="I37" i="13"/>
  <c r="I37" i="46" s="1"/>
  <c r="I31" i="13"/>
  <c r="I31" i="46" s="1"/>
  <c r="D31" i="13"/>
  <c r="H30" i="13"/>
  <c r="H30" i="46" s="1"/>
  <c r="D30" i="13"/>
  <c r="K29" i="13"/>
  <c r="J18" i="13"/>
  <c r="J18" i="46" s="1"/>
  <c r="I18" i="13"/>
  <c r="J16" i="13"/>
  <c r="J16" i="46" s="1"/>
  <c r="I16" i="13"/>
  <c r="I16" i="46" s="1"/>
  <c r="K11" i="13"/>
  <c r="I5" i="13"/>
  <c r="I5" i="46" s="1"/>
  <c r="D5" i="13"/>
  <c r="F48" i="12" l="1"/>
  <c r="F60" i="12" s="1"/>
  <c r="D33" i="12"/>
  <c r="D31" i="12"/>
  <c r="D31" i="46" s="1"/>
  <c r="D30" i="12"/>
  <c r="D30" i="46" s="1"/>
  <c r="D29" i="12"/>
  <c r="D5" i="12"/>
  <c r="D5" i="46" s="1"/>
  <c r="F60" i="11" l="1"/>
  <c r="F48" i="11"/>
  <c r="I45" i="11"/>
  <c r="I45" i="46" s="1"/>
  <c r="D33" i="11"/>
  <c r="D33" i="46" s="1"/>
  <c r="D29" i="11"/>
  <c r="D29" i="46" s="1"/>
  <c r="I26" i="11"/>
  <c r="I26" i="46" s="1"/>
  <c r="I18" i="11"/>
  <c r="I18" i="46" s="1"/>
  <c r="I11" i="11"/>
  <c r="I11" i="46" s="1"/>
  <c r="K5" i="8" l="1"/>
  <c r="K5" i="46" s="1"/>
  <c r="K48" i="46" s="1"/>
  <c r="K60" i="46" s="1"/>
  <c r="F48" i="10" l="1"/>
  <c r="F60" i="10" s="1"/>
  <c r="H5" i="45" l="1"/>
  <c r="H40" i="45" s="1"/>
  <c r="C53" i="49" s="1"/>
  <c r="C72" i="10"/>
  <c r="H2" i="59"/>
  <c r="C25" i="59"/>
  <c r="K25" i="59"/>
  <c r="M25" i="59" s="1"/>
  <c r="E25" i="59"/>
  <c r="G25" i="59" s="1"/>
  <c r="D39" i="45"/>
  <c r="C36" i="59" s="1"/>
  <c r="C39" i="45"/>
  <c r="B39" i="45"/>
  <c r="D38" i="45"/>
  <c r="C35" i="59" s="1"/>
  <c r="C38" i="45"/>
  <c r="B38" i="45"/>
  <c r="D37" i="45"/>
  <c r="C34" i="59" s="1"/>
  <c r="C37" i="45"/>
  <c r="B37" i="45"/>
  <c r="D36" i="45"/>
  <c r="C33" i="59" s="1"/>
  <c r="C36" i="45"/>
  <c r="B36" i="45"/>
  <c r="D35" i="45"/>
  <c r="C32" i="59" s="1"/>
  <c r="C35" i="45"/>
  <c r="B35" i="45"/>
  <c r="D34" i="45"/>
  <c r="C31" i="59" s="1"/>
  <c r="C34" i="45"/>
  <c r="B34" i="45"/>
  <c r="D32" i="45"/>
  <c r="C29" i="59" s="1"/>
  <c r="C32" i="45"/>
  <c r="B32" i="45"/>
  <c r="D33" i="45"/>
  <c r="C30" i="59" s="1"/>
  <c r="C33" i="45"/>
  <c r="B33" i="45"/>
  <c r="D31" i="45"/>
  <c r="C28" i="59" s="1"/>
  <c r="C31" i="45"/>
  <c r="B31" i="45"/>
  <c r="D30" i="45"/>
  <c r="C27" i="59" s="1"/>
  <c r="C30" i="45"/>
  <c r="B30" i="45"/>
  <c r="D29" i="45"/>
  <c r="C26" i="59" s="1"/>
  <c r="C29" i="45"/>
  <c r="B29" i="45"/>
  <c r="B25" i="59"/>
  <c r="D27" i="45"/>
  <c r="C24" i="59" s="1"/>
  <c r="C27" i="45"/>
  <c r="D26" i="45"/>
  <c r="C23" i="59" s="1"/>
  <c r="C26" i="45"/>
  <c r="B26" i="45"/>
  <c r="B27" i="45"/>
  <c r="D25" i="45"/>
  <c r="C25" i="45"/>
  <c r="B25" i="45"/>
  <c r="D24" i="45"/>
  <c r="C21" i="59" s="1"/>
  <c r="B24" i="45"/>
  <c r="D23" i="45"/>
  <c r="C20" i="59" s="1"/>
  <c r="C23" i="45"/>
  <c r="B23" i="45"/>
  <c r="D22" i="45"/>
  <c r="C19" i="59" s="1"/>
  <c r="C22" i="45"/>
  <c r="B22" i="45"/>
  <c r="D21" i="45"/>
  <c r="C18" i="59" s="1"/>
  <c r="C21" i="45"/>
  <c r="B21" i="45"/>
  <c r="B20" i="45"/>
  <c r="C19" i="45"/>
  <c r="D19" i="45"/>
  <c r="C16" i="59" s="1"/>
  <c r="D20" i="45"/>
  <c r="C17" i="59" s="1"/>
  <c r="C20" i="45"/>
  <c r="B19" i="45"/>
  <c r="D18" i="45"/>
  <c r="C15" i="59" s="1"/>
  <c r="C18" i="45"/>
  <c r="B18" i="45"/>
  <c r="D17" i="45"/>
  <c r="C14" i="59" s="1"/>
  <c r="C17" i="45"/>
  <c r="B17" i="45"/>
  <c r="C16" i="45"/>
  <c r="B16" i="45"/>
  <c r="D15" i="45"/>
  <c r="C12" i="59" s="1"/>
  <c r="D16" i="45"/>
  <c r="C13" i="59" s="1"/>
  <c r="C15" i="45"/>
  <c r="B15" i="45"/>
  <c r="D13" i="45"/>
  <c r="C13" i="45"/>
  <c r="B13" i="45"/>
  <c r="D14" i="45"/>
  <c r="C11" i="59" s="1"/>
  <c r="C14" i="45"/>
  <c r="B14" i="45"/>
  <c r="D12" i="45"/>
  <c r="C9" i="59" s="1"/>
  <c r="C12" i="45"/>
  <c r="B9" i="59" s="1"/>
  <c r="B12" i="45"/>
  <c r="D11" i="45"/>
  <c r="C8" i="59" s="1"/>
  <c r="C11" i="45"/>
  <c r="B11" i="45"/>
  <c r="D10" i="45"/>
  <c r="C7" i="59" s="1"/>
  <c r="C10" i="45"/>
  <c r="B10" i="45"/>
  <c r="D9" i="45"/>
  <c r="C6" i="59" s="1"/>
  <c r="C9" i="45"/>
  <c r="B9" i="45"/>
  <c r="D8" i="45"/>
  <c r="C5" i="59" s="1"/>
  <c r="B8" i="45"/>
  <c r="D7" i="45"/>
  <c r="C4" i="59" s="1"/>
  <c r="B7" i="45"/>
  <c r="D5" i="45"/>
  <c r="C2" i="59" s="1"/>
  <c r="C5" i="45"/>
  <c r="D6" i="45"/>
  <c r="C3" i="59" s="1"/>
  <c r="C6" i="45"/>
  <c r="B6" i="45"/>
  <c r="B5" i="45"/>
  <c r="C22" i="59"/>
  <c r="B14" i="59"/>
  <c r="C10" i="59"/>
  <c r="B17" i="59" l="1"/>
  <c r="L17" i="59"/>
  <c r="I17" i="59"/>
  <c r="J17" i="59" s="1"/>
  <c r="O17" i="59"/>
  <c r="F17" i="59"/>
  <c r="B3" i="59"/>
  <c r="D3" i="59" s="1"/>
  <c r="F3" i="59"/>
  <c r="I3" i="59"/>
  <c r="J3" i="59" s="1"/>
  <c r="O3" i="59"/>
  <c r="L3" i="59"/>
  <c r="B7" i="59"/>
  <c r="F7" i="59"/>
  <c r="O7" i="59"/>
  <c r="I7" i="59"/>
  <c r="J7" i="59" s="1"/>
  <c r="L7" i="59"/>
  <c r="B10" i="59"/>
  <c r="D10" i="59" s="1"/>
  <c r="O10" i="59"/>
  <c r="L10" i="59"/>
  <c r="F10" i="59"/>
  <c r="I10" i="59"/>
  <c r="J10" i="59" s="1"/>
  <c r="B19" i="59"/>
  <c r="F19" i="59"/>
  <c r="O19" i="59"/>
  <c r="I19" i="59"/>
  <c r="J19" i="59" s="1"/>
  <c r="L19" i="59"/>
  <c r="B22" i="59"/>
  <c r="D22" i="59" s="1"/>
  <c r="O22" i="59"/>
  <c r="F22" i="59"/>
  <c r="L22" i="59"/>
  <c r="I22" i="59"/>
  <c r="J22" i="59" s="1"/>
  <c r="B23" i="59"/>
  <c r="F23" i="59"/>
  <c r="I23" i="59"/>
  <c r="J23" i="59" s="1"/>
  <c r="L23" i="59"/>
  <c r="O23" i="59"/>
  <c r="B28" i="59"/>
  <c r="D28" i="59" s="1"/>
  <c r="I28" i="59"/>
  <c r="J28" i="59" s="1"/>
  <c r="F28" i="59"/>
  <c r="L28" i="59"/>
  <c r="O28" i="59"/>
  <c r="B32" i="59"/>
  <c r="I32" i="59"/>
  <c r="J32" i="59" s="1"/>
  <c r="L32" i="59"/>
  <c r="O32" i="59"/>
  <c r="F32" i="59"/>
  <c r="B36" i="59"/>
  <c r="D36" i="59" s="1"/>
  <c r="I36" i="59"/>
  <c r="J36" i="59" s="1"/>
  <c r="L36" i="59"/>
  <c r="F36" i="59"/>
  <c r="O36" i="59"/>
  <c r="B6" i="59"/>
  <c r="O6" i="59"/>
  <c r="F6" i="59"/>
  <c r="I6" i="59"/>
  <c r="J6" i="59" s="1"/>
  <c r="L6" i="59"/>
  <c r="B11" i="59"/>
  <c r="D11" i="59" s="1"/>
  <c r="F11" i="59"/>
  <c r="I11" i="59"/>
  <c r="J11" i="59" s="1"/>
  <c r="L11" i="59"/>
  <c r="O11" i="59"/>
  <c r="O14" i="59"/>
  <c r="F14" i="59"/>
  <c r="I14" i="59"/>
  <c r="J14" i="59" s="1"/>
  <c r="L14" i="59"/>
  <c r="B18" i="59"/>
  <c r="D18" i="59" s="1"/>
  <c r="O18" i="59"/>
  <c r="L18" i="59"/>
  <c r="F18" i="59"/>
  <c r="I18" i="59"/>
  <c r="J18" i="59" s="1"/>
  <c r="B27" i="59"/>
  <c r="D27" i="59" s="1"/>
  <c r="F27" i="59"/>
  <c r="I27" i="59"/>
  <c r="J27" i="59" s="1"/>
  <c r="L27" i="59"/>
  <c r="O27" i="59"/>
  <c r="B31" i="59"/>
  <c r="F31" i="59"/>
  <c r="O31" i="59"/>
  <c r="I31" i="59"/>
  <c r="J31" i="59" s="1"/>
  <c r="L31" i="59"/>
  <c r="B35" i="59"/>
  <c r="D35" i="59" s="1"/>
  <c r="F35" i="59"/>
  <c r="I35" i="59"/>
  <c r="J35" i="59" s="1"/>
  <c r="O35" i="59"/>
  <c r="L35" i="59"/>
  <c r="C50" i="56"/>
  <c r="B2" i="59"/>
  <c r="D2" i="59" s="1"/>
  <c r="O2" i="59"/>
  <c r="F2" i="59"/>
  <c r="L2" i="59"/>
  <c r="I2" i="59"/>
  <c r="J2" i="59" s="1"/>
  <c r="L9" i="59"/>
  <c r="O9" i="59"/>
  <c r="F9" i="59"/>
  <c r="I9" i="59"/>
  <c r="J9" i="59" s="1"/>
  <c r="B16" i="59"/>
  <c r="D16" i="59" s="1"/>
  <c r="I16" i="59"/>
  <c r="J16" i="59" s="1"/>
  <c r="F16" i="59"/>
  <c r="L16" i="59"/>
  <c r="O16" i="59"/>
  <c r="B24" i="59"/>
  <c r="D24" i="59" s="1"/>
  <c r="I24" i="59"/>
  <c r="J24" i="59" s="1"/>
  <c r="L24" i="59"/>
  <c r="F24" i="59"/>
  <c r="O24" i="59"/>
  <c r="B26" i="59"/>
  <c r="D26" i="59" s="1"/>
  <c r="O26" i="59"/>
  <c r="F26" i="59"/>
  <c r="I26" i="59"/>
  <c r="J26" i="59" s="1"/>
  <c r="L26" i="59"/>
  <c r="B29" i="59"/>
  <c r="D29" i="59" s="1"/>
  <c r="L29" i="59"/>
  <c r="I29" i="59"/>
  <c r="J29" i="59" s="1"/>
  <c r="O29" i="59"/>
  <c r="F29" i="59"/>
  <c r="B34" i="59"/>
  <c r="D34" i="59" s="1"/>
  <c r="O34" i="59"/>
  <c r="F34" i="59"/>
  <c r="I34" i="59"/>
  <c r="J34" i="59" s="1"/>
  <c r="L34" i="59"/>
  <c r="B8" i="59"/>
  <c r="D8" i="59" s="1"/>
  <c r="I8" i="59"/>
  <c r="J8" i="59" s="1"/>
  <c r="L8" i="59"/>
  <c r="F8" i="59"/>
  <c r="O8" i="59"/>
  <c r="B12" i="59"/>
  <c r="I12" i="59"/>
  <c r="J12" i="59" s="1"/>
  <c r="L12" i="59"/>
  <c r="O12" i="59"/>
  <c r="F12" i="59"/>
  <c r="B30" i="59"/>
  <c r="D30" i="59" s="1"/>
  <c r="O30" i="59"/>
  <c r="L30" i="59"/>
  <c r="F30" i="59"/>
  <c r="I30" i="59"/>
  <c r="J30" i="59" s="1"/>
  <c r="B33" i="59"/>
  <c r="D33" i="59" s="1"/>
  <c r="L33" i="59"/>
  <c r="O33" i="59"/>
  <c r="F33" i="59"/>
  <c r="I33" i="59"/>
  <c r="J33" i="59" s="1"/>
  <c r="H37" i="59"/>
  <c r="B13" i="59"/>
  <c r="D13" i="59" s="1"/>
  <c r="L13" i="59"/>
  <c r="O13" i="59"/>
  <c r="I13" i="59"/>
  <c r="J13" i="59" s="1"/>
  <c r="F13" i="59"/>
  <c r="B20" i="59"/>
  <c r="D20" i="59" s="1"/>
  <c r="I20" i="59"/>
  <c r="J20" i="59" s="1"/>
  <c r="L20" i="59"/>
  <c r="O20" i="59"/>
  <c r="F20" i="59"/>
  <c r="B15" i="59"/>
  <c r="D15" i="59" s="1"/>
  <c r="F15" i="59"/>
  <c r="I15" i="59"/>
  <c r="J15" i="59" s="1"/>
  <c r="O15" i="59"/>
  <c r="L15" i="59"/>
  <c r="D9" i="59"/>
  <c r="D6" i="59"/>
  <c r="D32" i="59"/>
  <c r="D31" i="59"/>
  <c r="D25" i="59"/>
  <c r="D23" i="59"/>
  <c r="D19" i="59"/>
  <c r="D17" i="59"/>
  <c r="D14" i="59"/>
  <c r="D12" i="59"/>
  <c r="C37" i="59"/>
  <c r="D7" i="59"/>
  <c r="L53" i="30" l="1"/>
  <c r="L11" i="21" l="1"/>
  <c r="C24" i="45" l="1"/>
  <c r="C8" i="45"/>
  <c r="C7" i="45"/>
  <c r="B21" i="59" l="1"/>
  <c r="D21" i="59" s="1"/>
  <c r="L21" i="59"/>
  <c r="O21" i="59"/>
  <c r="F21" i="59"/>
  <c r="I21" i="59"/>
  <c r="J21" i="59" s="1"/>
  <c r="B4" i="59"/>
  <c r="I4" i="59"/>
  <c r="F4" i="59"/>
  <c r="L4" i="59"/>
  <c r="O4" i="59"/>
  <c r="B5" i="59"/>
  <c r="D5" i="59" s="1"/>
  <c r="L5" i="59"/>
  <c r="I5" i="59"/>
  <c r="J5" i="59" s="1"/>
  <c r="O5" i="59"/>
  <c r="F5" i="59"/>
  <c r="D4" i="59"/>
  <c r="L59" i="10"/>
  <c r="L58" i="10"/>
  <c r="L57" i="10"/>
  <c r="L56" i="10"/>
  <c r="L55" i="10"/>
  <c r="L54" i="10"/>
  <c r="L53" i="10"/>
  <c r="L52" i="10"/>
  <c r="L51" i="10"/>
  <c r="L50" i="10"/>
  <c r="L49" i="10"/>
  <c r="L47" i="10"/>
  <c r="L46" i="10"/>
  <c r="L45" i="10"/>
  <c r="L44" i="10"/>
  <c r="L43" i="10"/>
  <c r="L41" i="10"/>
  <c r="L40" i="10"/>
  <c r="L39" i="10"/>
  <c r="L38" i="10"/>
  <c r="L37" i="10"/>
  <c r="L36" i="10"/>
  <c r="L35" i="10"/>
  <c r="L34" i="10"/>
  <c r="L33" i="10"/>
  <c r="L32" i="10"/>
  <c r="L30" i="10"/>
  <c r="L28" i="10"/>
  <c r="L27" i="10"/>
  <c r="L26" i="10"/>
  <c r="L25" i="10"/>
  <c r="L24" i="10"/>
  <c r="L23" i="10"/>
  <c r="L22" i="10"/>
  <c r="L21" i="10"/>
  <c r="L20" i="10"/>
  <c r="L19" i="10"/>
  <c r="L17" i="10"/>
  <c r="L15" i="10"/>
  <c r="L14" i="10"/>
  <c r="L13" i="10"/>
  <c r="L12" i="10"/>
  <c r="L59" i="17"/>
  <c r="L58" i="17"/>
  <c r="L57" i="17"/>
  <c r="L56" i="17"/>
  <c r="L55" i="17"/>
  <c r="L54" i="17"/>
  <c r="L53" i="17"/>
  <c r="L52" i="17"/>
  <c r="L51" i="17"/>
  <c r="L50" i="17"/>
  <c r="L49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7" i="17"/>
  <c r="L16" i="17"/>
  <c r="L15" i="17"/>
  <c r="L14" i="17"/>
  <c r="L13" i="17"/>
  <c r="L12" i="17"/>
  <c r="L11" i="17"/>
  <c r="L59" i="18"/>
  <c r="L58" i="18"/>
  <c r="L57" i="18"/>
  <c r="L56" i="18"/>
  <c r="L55" i="18"/>
  <c r="L54" i="18"/>
  <c r="L53" i="18"/>
  <c r="L52" i="18"/>
  <c r="L51" i="18"/>
  <c r="L50" i="18"/>
  <c r="L49" i="18"/>
  <c r="L47" i="18"/>
  <c r="L46" i="18"/>
  <c r="L45" i="18"/>
  <c r="L43" i="18"/>
  <c r="L42" i="18"/>
  <c r="L41" i="18"/>
  <c r="L39" i="18"/>
  <c r="L38" i="18"/>
  <c r="L37" i="18"/>
  <c r="L36" i="18"/>
  <c r="L34" i="18"/>
  <c r="L32" i="18"/>
  <c r="L28" i="18"/>
  <c r="L27" i="18"/>
  <c r="L25" i="18"/>
  <c r="L24" i="18"/>
  <c r="L17" i="18"/>
  <c r="L16" i="18"/>
  <c r="L15" i="18"/>
  <c r="L14" i="18"/>
  <c r="L13" i="18"/>
  <c r="L59" i="19"/>
  <c r="L58" i="19"/>
  <c r="L57" i="19"/>
  <c r="L56" i="19"/>
  <c r="L55" i="19"/>
  <c r="L54" i="19"/>
  <c r="L53" i="19"/>
  <c r="L52" i="19"/>
  <c r="L51" i="19"/>
  <c r="L50" i="19"/>
  <c r="L49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7" i="19"/>
  <c r="L26" i="19"/>
  <c r="L25" i="19"/>
  <c r="L24" i="19"/>
  <c r="L23" i="19"/>
  <c r="L22" i="19"/>
  <c r="L21" i="19"/>
  <c r="L20" i="19"/>
  <c r="L19" i="19"/>
  <c r="L15" i="19"/>
  <c r="L13" i="19"/>
  <c r="L12" i="19"/>
  <c r="L58" i="20"/>
  <c r="L57" i="20"/>
  <c r="L56" i="20"/>
  <c r="L55" i="20"/>
  <c r="L54" i="20"/>
  <c r="L53" i="20"/>
  <c r="L52" i="20"/>
  <c r="L51" i="20"/>
  <c r="L50" i="20"/>
  <c r="L49" i="20"/>
  <c r="L47" i="20"/>
  <c r="L46" i="20"/>
  <c r="L45" i="20"/>
  <c r="L44" i="20"/>
  <c r="L43" i="20"/>
  <c r="L42" i="20"/>
  <c r="L41" i="20"/>
  <c r="L40" i="20"/>
  <c r="L39" i="20"/>
  <c r="L38" i="20"/>
  <c r="L36" i="20"/>
  <c r="L35" i="20"/>
  <c r="L34" i="20"/>
  <c r="L33" i="20"/>
  <c r="L32" i="20"/>
  <c r="L27" i="20"/>
  <c r="L26" i="20"/>
  <c r="L25" i="20"/>
  <c r="L24" i="20"/>
  <c r="L23" i="20"/>
  <c r="L21" i="20"/>
  <c r="L19" i="20"/>
  <c r="L15" i="20"/>
  <c r="L14" i="20"/>
  <c r="L13" i="20"/>
  <c r="L12" i="20"/>
  <c r="L59" i="21"/>
  <c r="L56" i="21"/>
  <c r="L55" i="21"/>
  <c r="L54" i="21"/>
  <c r="L53" i="21"/>
  <c r="L52" i="21"/>
  <c r="L51" i="21"/>
  <c r="L50" i="21"/>
  <c r="L49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4" i="21"/>
  <c r="L32" i="21"/>
  <c r="L28" i="21"/>
  <c r="L27" i="21"/>
  <c r="L26" i="21"/>
  <c r="L25" i="21"/>
  <c r="L24" i="21"/>
  <c r="L23" i="21"/>
  <c r="L22" i="21"/>
  <c r="L21" i="21"/>
  <c r="L15" i="21"/>
  <c r="L13" i="21"/>
  <c r="L12" i="21"/>
  <c r="L59" i="22"/>
  <c r="L58" i="22"/>
  <c r="L57" i="22"/>
  <c r="L56" i="22"/>
  <c r="L55" i="22"/>
  <c r="L54" i="22"/>
  <c r="L53" i="22"/>
  <c r="L52" i="22"/>
  <c r="L51" i="22"/>
  <c r="L50" i="22"/>
  <c r="L49" i="22"/>
  <c r="L47" i="22"/>
  <c r="L46" i="22"/>
  <c r="L45" i="22"/>
  <c r="L44" i="22"/>
  <c r="L43" i="22"/>
  <c r="L42" i="22"/>
  <c r="L41" i="22"/>
  <c r="L40" i="22"/>
  <c r="L39" i="22"/>
  <c r="L38" i="22"/>
  <c r="L36" i="22"/>
  <c r="L35" i="22"/>
  <c r="L34" i="22"/>
  <c r="L32" i="22"/>
  <c r="L28" i="22"/>
  <c r="L27" i="22"/>
  <c r="L26" i="22"/>
  <c r="L25" i="22"/>
  <c r="L24" i="22"/>
  <c r="L23" i="22"/>
  <c r="L22" i="22"/>
  <c r="L20" i="22"/>
  <c r="L19" i="22"/>
  <c r="L18" i="22"/>
  <c r="L17" i="22"/>
  <c r="L16" i="22"/>
  <c r="L15" i="22"/>
  <c r="L14" i="22"/>
  <c r="L13" i="22"/>
  <c r="L12" i="22"/>
  <c r="L59" i="23"/>
  <c r="L58" i="23"/>
  <c r="L57" i="23"/>
  <c r="L56" i="23"/>
  <c r="L55" i="23"/>
  <c r="L54" i="23"/>
  <c r="L53" i="23"/>
  <c r="L52" i="23"/>
  <c r="L51" i="23"/>
  <c r="L50" i="23"/>
  <c r="L49" i="23"/>
  <c r="L47" i="23"/>
  <c r="L45" i="23"/>
  <c r="L44" i="23"/>
  <c r="L43" i="23"/>
  <c r="L42" i="23"/>
  <c r="L41" i="23"/>
  <c r="L40" i="23"/>
  <c r="L39" i="23"/>
  <c r="L38" i="23"/>
  <c r="L37" i="23"/>
  <c r="L36" i="23"/>
  <c r="L34" i="23"/>
  <c r="L32" i="23"/>
  <c r="L30" i="23"/>
  <c r="L28" i="23"/>
  <c r="L27" i="23"/>
  <c r="L25" i="23"/>
  <c r="L24" i="23"/>
  <c r="L23" i="23"/>
  <c r="L22" i="23"/>
  <c r="L21" i="23"/>
  <c r="L20" i="23"/>
  <c r="L19" i="23"/>
  <c r="L18" i="23"/>
  <c r="L16" i="23"/>
  <c r="L15" i="23"/>
  <c r="L14" i="23"/>
  <c r="L13" i="23"/>
  <c r="L12" i="23"/>
  <c r="L11" i="23"/>
  <c r="L59" i="24"/>
  <c r="L58" i="24"/>
  <c r="L56" i="24"/>
  <c r="L55" i="24"/>
  <c r="L54" i="24"/>
  <c r="L53" i="24"/>
  <c r="L52" i="24"/>
  <c r="L51" i="24"/>
  <c r="L50" i="24"/>
  <c r="L49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2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7" i="24"/>
  <c r="L16" i="24"/>
  <c r="L15" i="24"/>
  <c r="L13" i="24"/>
  <c r="L12" i="24"/>
  <c r="L11" i="24"/>
  <c r="L58" i="25"/>
  <c r="L56" i="25"/>
  <c r="L55" i="25"/>
  <c r="L54" i="25"/>
  <c r="L53" i="25"/>
  <c r="L52" i="25"/>
  <c r="L51" i="25"/>
  <c r="L50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32" i="25"/>
  <c r="L30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5" i="25"/>
  <c r="L14" i="25"/>
  <c r="L13" i="25"/>
  <c r="L12" i="25"/>
  <c r="L11" i="25"/>
  <c r="L59" i="26"/>
  <c r="L58" i="26"/>
  <c r="L57" i="26"/>
  <c r="L56" i="26"/>
  <c r="L55" i="26"/>
  <c r="L54" i="26"/>
  <c r="L53" i="26"/>
  <c r="L52" i="26"/>
  <c r="L51" i="26"/>
  <c r="L50" i="26"/>
  <c r="L49" i="26"/>
  <c r="L47" i="26"/>
  <c r="L46" i="26"/>
  <c r="L45" i="26"/>
  <c r="L44" i="26"/>
  <c r="L43" i="26"/>
  <c r="L42" i="26"/>
  <c r="L41" i="26"/>
  <c r="L40" i="26"/>
  <c r="L37" i="26"/>
  <c r="L36" i="26"/>
  <c r="L35" i="26"/>
  <c r="L34" i="26"/>
  <c r="L32" i="26"/>
  <c r="L30" i="26"/>
  <c r="L27" i="26"/>
  <c r="L26" i="26"/>
  <c r="L25" i="26"/>
  <c r="L24" i="26"/>
  <c r="L23" i="26"/>
  <c r="L22" i="26"/>
  <c r="L21" i="26"/>
  <c r="L20" i="26"/>
  <c r="L19" i="26"/>
  <c r="L17" i="26"/>
  <c r="L15" i="26"/>
  <c r="L14" i="26"/>
  <c r="L13" i="26"/>
  <c r="L12" i="26"/>
  <c r="L59" i="27"/>
  <c r="L58" i="27"/>
  <c r="L56" i="27"/>
  <c r="L55" i="27"/>
  <c r="L54" i="27"/>
  <c r="L53" i="27"/>
  <c r="L52" i="27"/>
  <c r="L51" i="27"/>
  <c r="L50" i="27"/>
  <c r="L49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2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59" i="28"/>
  <c r="L58" i="28"/>
  <c r="L57" i="28"/>
  <c r="L56" i="28"/>
  <c r="L55" i="28"/>
  <c r="L54" i="28"/>
  <c r="L53" i="28"/>
  <c r="L52" i="28"/>
  <c r="L51" i="28"/>
  <c r="L50" i="28"/>
  <c r="L49" i="28"/>
  <c r="L47" i="28"/>
  <c r="L46" i="28"/>
  <c r="L45" i="28"/>
  <c r="L44" i="28"/>
  <c r="L43" i="28"/>
  <c r="L42" i="28"/>
  <c r="L41" i="28"/>
  <c r="L40" i="28"/>
  <c r="L39" i="28"/>
  <c r="L36" i="28"/>
  <c r="L34" i="28"/>
  <c r="L32" i="28"/>
  <c r="L28" i="28"/>
  <c r="L27" i="28"/>
  <c r="L26" i="28"/>
  <c r="L25" i="28"/>
  <c r="L24" i="28"/>
  <c r="L23" i="28"/>
  <c r="L22" i="28"/>
  <c r="L21" i="28"/>
  <c r="L19" i="28"/>
  <c r="L17" i="28"/>
  <c r="L16" i="28"/>
  <c r="L13" i="28"/>
  <c r="L12" i="28"/>
  <c r="L11" i="28"/>
  <c r="L59" i="29"/>
  <c r="L58" i="29"/>
  <c r="L57" i="29"/>
  <c r="L56" i="29"/>
  <c r="L55" i="29"/>
  <c r="L54" i="29"/>
  <c r="L52" i="29"/>
  <c r="L51" i="29"/>
  <c r="L50" i="29"/>
  <c r="L49" i="29"/>
  <c r="L47" i="29"/>
  <c r="L46" i="29"/>
  <c r="L45" i="29"/>
  <c r="L44" i="29"/>
  <c r="L43" i="29"/>
  <c r="L42" i="29"/>
  <c r="L41" i="29"/>
  <c r="L40" i="29"/>
  <c r="L39" i="29"/>
  <c r="L37" i="29"/>
  <c r="L35" i="29"/>
  <c r="L34" i="29"/>
  <c r="L32" i="29"/>
  <c r="L28" i="29"/>
  <c r="L27" i="29"/>
  <c r="L26" i="29"/>
  <c r="L25" i="29"/>
  <c r="L24" i="29"/>
  <c r="L23" i="29"/>
  <c r="L22" i="29"/>
  <c r="L21" i="29"/>
  <c r="L20" i="29"/>
  <c r="L19" i="29"/>
  <c r="L17" i="29"/>
  <c r="L16" i="29"/>
  <c r="L15" i="29"/>
  <c r="L14" i="29"/>
  <c r="L13" i="29"/>
  <c r="L12" i="29"/>
  <c r="L59" i="30"/>
  <c r="L58" i="30"/>
  <c r="L57" i="30"/>
  <c r="L56" i="30"/>
  <c r="L55" i="30"/>
  <c r="L54" i="30"/>
  <c r="L52" i="30"/>
  <c r="L51" i="30"/>
  <c r="L50" i="30"/>
  <c r="L49" i="30"/>
  <c r="L46" i="30"/>
  <c r="L44" i="30"/>
  <c r="L43" i="30"/>
  <c r="L42" i="30"/>
  <c r="L41" i="30"/>
  <c r="L40" i="30"/>
  <c r="L39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3" i="30"/>
  <c r="L12" i="30"/>
  <c r="L11" i="30"/>
  <c r="L53" i="32"/>
  <c r="L52" i="32"/>
  <c r="L51" i="32"/>
  <c r="L50" i="32"/>
  <c r="L49" i="32"/>
  <c r="L47" i="32"/>
  <c r="L46" i="32"/>
  <c r="L45" i="32"/>
  <c r="L44" i="32"/>
  <c r="L43" i="32"/>
  <c r="L42" i="32"/>
  <c r="L41" i="32"/>
  <c r="L40" i="32"/>
  <c r="L39" i="32"/>
  <c r="L38" i="32"/>
  <c r="L37" i="32"/>
  <c r="L36" i="32"/>
  <c r="L35" i="32"/>
  <c r="L34" i="32"/>
  <c r="L33" i="32"/>
  <c r="L32" i="32"/>
  <c r="L30" i="32"/>
  <c r="L28" i="32"/>
  <c r="L27" i="32"/>
  <c r="L26" i="32"/>
  <c r="L25" i="32"/>
  <c r="L24" i="32"/>
  <c r="L23" i="32"/>
  <c r="L22" i="32"/>
  <c r="L21" i="32"/>
  <c r="L20" i="32"/>
  <c r="L19" i="32"/>
  <c r="L18" i="32"/>
  <c r="L15" i="32"/>
  <c r="L14" i="32"/>
  <c r="L13" i="32"/>
  <c r="L12" i="32"/>
  <c r="L11" i="32"/>
  <c r="L59" i="34"/>
  <c r="L58" i="34"/>
  <c r="L57" i="34"/>
  <c r="L56" i="34"/>
  <c r="L55" i="34"/>
  <c r="L54" i="34"/>
  <c r="L53" i="34"/>
  <c r="L52" i="34"/>
  <c r="L51" i="34"/>
  <c r="L50" i="34"/>
  <c r="L49" i="34"/>
  <c r="L47" i="34"/>
  <c r="L46" i="34"/>
  <c r="L45" i="34"/>
  <c r="L44" i="34"/>
  <c r="L43" i="34"/>
  <c r="L42" i="34"/>
  <c r="L41" i="34"/>
  <c r="L40" i="34"/>
  <c r="L39" i="34"/>
  <c r="L38" i="34"/>
  <c r="L37" i="34"/>
  <c r="L36" i="34"/>
  <c r="L34" i="34"/>
  <c r="L32" i="34"/>
  <c r="L28" i="34"/>
  <c r="L27" i="34"/>
  <c r="L26" i="34"/>
  <c r="L25" i="34"/>
  <c r="L24" i="34"/>
  <c r="L23" i="34"/>
  <c r="L22" i="34"/>
  <c r="L21" i="34"/>
  <c r="L17" i="34"/>
  <c r="L14" i="34"/>
  <c r="L13" i="34"/>
  <c r="L12" i="34"/>
  <c r="L59" i="35"/>
  <c r="L55" i="35"/>
  <c r="L54" i="35"/>
  <c r="L53" i="35"/>
  <c r="L52" i="35"/>
  <c r="L51" i="35"/>
  <c r="L50" i="35"/>
  <c r="L49" i="35"/>
  <c r="L47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6" i="35"/>
  <c r="L15" i="35"/>
  <c r="L14" i="35"/>
  <c r="L13" i="35"/>
  <c r="L11" i="35"/>
  <c r="L59" i="36"/>
  <c r="L58" i="36"/>
  <c r="L57" i="36"/>
  <c r="L56" i="36"/>
  <c r="L55" i="36"/>
  <c r="L54" i="36"/>
  <c r="L53" i="36"/>
  <c r="L52" i="36"/>
  <c r="L51" i="36"/>
  <c r="L50" i="36"/>
  <c r="L49" i="36"/>
  <c r="L47" i="36"/>
  <c r="L46" i="36"/>
  <c r="L44" i="36"/>
  <c r="L43" i="36"/>
  <c r="L42" i="36"/>
  <c r="L41" i="36"/>
  <c r="L40" i="36"/>
  <c r="L39" i="36"/>
  <c r="L37" i="36"/>
  <c r="L36" i="36"/>
  <c r="L34" i="36"/>
  <c r="L33" i="36"/>
  <c r="L28" i="36"/>
  <c r="L27" i="36"/>
  <c r="L25" i="36"/>
  <c r="L24" i="36"/>
  <c r="L23" i="36"/>
  <c r="L22" i="36"/>
  <c r="L19" i="36"/>
  <c r="L17" i="36"/>
  <c r="L16" i="36"/>
  <c r="L15" i="36"/>
  <c r="L14" i="36"/>
  <c r="L13" i="36"/>
  <c r="L11" i="36"/>
  <c r="L59" i="37"/>
  <c r="L58" i="37"/>
  <c r="L56" i="37"/>
  <c r="L55" i="37"/>
  <c r="L54" i="37"/>
  <c r="L53" i="37"/>
  <c r="L52" i="37"/>
  <c r="L51" i="37"/>
  <c r="L50" i="37"/>
  <c r="L49" i="37"/>
  <c r="L47" i="37"/>
  <c r="L46" i="37"/>
  <c r="L42" i="37"/>
  <c r="L41" i="37"/>
  <c r="L40" i="37"/>
  <c r="L39" i="37"/>
  <c r="L38" i="37"/>
  <c r="L37" i="37"/>
  <c r="L36" i="37"/>
  <c r="L35" i="37"/>
  <c r="L32" i="37"/>
  <c r="L30" i="37"/>
  <c r="L29" i="37"/>
  <c r="L28" i="37"/>
  <c r="L27" i="37"/>
  <c r="L24" i="37"/>
  <c r="L23" i="37"/>
  <c r="L22" i="37"/>
  <c r="L19" i="37"/>
  <c r="L18" i="37"/>
  <c r="L17" i="37"/>
  <c r="L15" i="37"/>
  <c r="L14" i="37"/>
  <c r="L58" i="38"/>
  <c r="L56" i="38"/>
  <c r="L55" i="38"/>
  <c r="L54" i="38"/>
  <c r="L53" i="38"/>
  <c r="L52" i="38"/>
  <c r="L51" i="38"/>
  <c r="L50" i="38"/>
  <c r="L49" i="38"/>
  <c r="L47" i="38"/>
  <c r="L46" i="38"/>
  <c r="L43" i="38"/>
  <c r="L42" i="38"/>
  <c r="L40" i="38"/>
  <c r="L39" i="38"/>
  <c r="L38" i="38"/>
  <c r="L34" i="38"/>
  <c r="L32" i="38"/>
  <c r="L27" i="38"/>
  <c r="L25" i="38"/>
  <c r="L23" i="38"/>
  <c r="L16" i="38"/>
  <c r="L15" i="38"/>
  <c r="L14" i="38"/>
  <c r="L13" i="38"/>
  <c r="L59" i="39"/>
  <c r="L58" i="39"/>
  <c r="L57" i="39"/>
  <c r="L56" i="39"/>
  <c r="L55" i="39"/>
  <c r="L54" i="39"/>
  <c r="L53" i="39"/>
  <c r="L52" i="39"/>
  <c r="L51" i="39"/>
  <c r="L50" i="39"/>
  <c r="L49" i="39"/>
  <c r="L47" i="39"/>
  <c r="L46" i="39"/>
  <c r="L45" i="39"/>
  <c r="L43" i="39"/>
  <c r="L42" i="39"/>
  <c r="L41" i="39"/>
  <c r="L40" i="39"/>
  <c r="L38" i="39"/>
  <c r="L35" i="39"/>
  <c r="L32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59" i="40"/>
  <c r="L58" i="40"/>
  <c r="L57" i="40"/>
  <c r="L56" i="40"/>
  <c r="L55" i="40"/>
  <c r="L54" i="40"/>
  <c r="L53" i="40"/>
  <c r="L52" i="40"/>
  <c r="L51" i="40"/>
  <c r="L50" i="40"/>
  <c r="L49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11" i="40"/>
  <c r="L59" i="41"/>
  <c r="L58" i="41"/>
  <c r="L57" i="41"/>
  <c r="L56" i="41"/>
  <c r="L55" i="41"/>
  <c r="L54" i="41"/>
  <c r="L53" i="41"/>
  <c r="L52" i="41"/>
  <c r="L51" i="41"/>
  <c r="L50" i="41"/>
  <c r="L49" i="41"/>
  <c r="L47" i="41"/>
  <c r="L45" i="41"/>
  <c r="L44" i="41"/>
  <c r="L43" i="41"/>
  <c r="L42" i="41"/>
  <c r="L41" i="41"/>
  <c r="L40" i="41"/>
  <c r="L39" i="41"/>
  <c r="L37" i="41"/>
  <c r="L36" i="41"/>
  <c r="L34" i="41"/>
  <c r="L32" i="41"/>
  <c r="L28" i="41"/>
  <c r="L27" i="41"/>
  <c r="L26" i="41"/>
  <c r="L25" i="41"/>
  <c r="L24" i="41"/>
  <c r="L23" i="41"/>
  <c r="L22" i="41"/>
  <c r="L21" i="41"/>
  <c r="L19" i="41"/>
  <c r="L17" i="41"/>
  <c r="L15" i="41"/>
  <c r="L14" i="41"/>
  <c r="L13" i="41"/>
  <c r="L12" i="41"/>
  <c r="L58" i="42"/>
  <c r="L55" i="42"/>
  <c r="L54" i="42"/>
  <c r="L53" i="42"/>
  <c r="L52" i="42"/>
  <c r="L51" i="42"/>
  <c r="L50" i="42"/>
  <c r="L49" i="42"/>
  <c r="L47" i="42"/>
  <c r="L46" i="42"/>
  <c r="L45" i="42"/>
  <c r="L44" i="42"/>
  <c r="L43" i="42"/>
  <c r="L42" i="42"/>
  <c r="L41" i="42"/>
  <c r="L40" i="42"/>
  <c r="L39" i="42"/>
  <c r="L36" i="42"/>
  <c r="L34" i="42"/>
  <c r="L32" i="42"/>
  <c r="L28" i="42"/>
  <c r="L27" i="42"/>
  <c r="L26" i="42"/>
  <c r="L25" i="42"/>
  <c r="L24" i="42"/>
  <c r="L23" i="42"/>
  <c r="L22" i="42"/>
  <c r="L21" i="42"/>
  <c r="L20" i="42"/>
  <c r="L19" i="42"/>
  <c r="L18" i="42"/>
  <c r="L17" i="42"/>
  <c r="L15" i="42"/>
  <c r="L14" i="42"/>
  <c r="L13" i="42"/>
  <c r="L12" i="42"/>
  <c r="L11" i="42"/>
  <c r="L59" i="43"/>
  <c r="L58" i="43"/>
  <c r="L57" i="43"/>
  <c r="L56" i="43"/>
  <c r="L55" i="43"/>
  <c r="L54" i="43"/>
  <c r="L53" i="43"/>
  <c r="L52" i="43"/>
  <c r="L51" i="43"/>
  <c r="L50" i="43"/>
  <c r="L49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4" i="43"/>
  <c r="L32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5" i="43"/>
  <c r="L14" i="43"/>
  <c r="L13" i="43"/>
  <c r="L12" i="43"/>
  <c r="L11" i="43"/>
  <c r="L59" i="44"/>
  <c r="L58" i="44"/>
  <c r="L57" i="44"/>
  <c r="L56" i="44"/>
  <c r="L55" i="44"/>
  <c r="L54" i="44"/>
  <c r="L53" i="44"/>
  <c r="L52" i="44"/>
  <c r="L51" i="44"/>
  <c r="L50" i="44"/>
  <c r="L49" i="44"/>
  <c r="L47" i="44"/>
  <c r="L46" i="44"/>
  <c r="L45" i="44"/>
  <c r="L44" i="44"/>
  <c r="L43" i="44"/>
  <c r="L42" i="44"/>
  <c r="L41" i="44"/>
  <c r="L40" i="44"/>
  <c r="L39" i="44"/>
  <c r="L37" i="44"/>
  <c r="L36" i="44"/>
  <c r="L34" i="44"/>
  <c r="L32" i="44"/>
  <c r="L28" i="44"/>
  <c r="L27" i="44"/>
  <c r="L26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59" i="14"/>
  <c r="L58" i="14"/>
  <c r="L57" i="14"/>
  <c r="L56" i="14"/>
  <c r="L55" i="14"/>
  <c r="L54" i="14"/>
  <c r="L53" i="14"/>
  <c r="L52" i="14"/>
  <c r="L51" i="14"/>
  <c r="L50" i="14"/>
  <c r="L49" i="14"/>
  <c r="L47" i="14"/>
  <c r="L46" i="14"/>
  <c r="L45" i="14"/>
  <c r="L44" i="14"/>
  <c r="L43" i="14"/>
  <c r="L42" i="14"/>
  <c r="L41" i="14"/>
  <c r="L40" i="14"/>
  <c r="L39" i="14"/>
  <c r="L38" i="14"/>
  <c r="L37" i="14"/>
  <c r="L35" i="14"/>
  <c r="L34" i="14"/>
  <c r="L32" i="14"/>
  <c r="L30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5" i="19"/>
  <c r="L5" i="27"/>
  <c r="L5" i="40"/>
  <c r="L59" i="12"/>
  <c r="L58" i="12"/>
  <c r="L57" i="12"/>
  <c r="L56" i="12"/>
  <c r="L55" i="12"/>
  <c r="L54" i="12"/>
  <c r="L53" i="12"/>
  <c r="L52" i="12"/>
  <c r="L51" i="12"/>
  <c r="L50" i="12"/>
  <c r="L49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4" i="12"/>
  <c r="L32" i="12"/>
  <c r="L28" i="12"/>
  <c r="L27" i="12"/>
  <c r="L26" i="12"/>
  <c r="L25" i="12"/>
  <c r="L24" i="12"/>
  <c r="L23" i="12"/>
  <c r="L22" i="12"/>
  <c r="L21" i="12"/>
  <c r="L20" i="12"/>
  <c r="L19" i="12"/>
  <c r="L17" i="12"/>
  <c r="L16" i="12"/>
  <c r="L15" i="12"/>
  <c r="L14" i="12"/>
  <c r="L11" i="12"/>
  <c r="L59" i="13"/>
  <c r="L58" i="13"/>
  <c r="L57" i="13"/>
  <c r="L56" i="13"/>
  <c r="L55" i="13"/>
  <c r="L54" i="13"/>
  <c r="L53" i="13"/>
  <c r="L52" i="13"/>
  <c r="L51" i="13"/>
  <c r="L50" i="13"/>
  <c r="L49" i="13"/>
  <c r="L47" i="13"/>
  <c r="L46" i="13"/>
  <c r="L45" i="13"/>
  <c r="L44" i="13"/>
  <c r="L43" i="13"/>
  <c r="L42" i="13"/>
  <c r="L41" i="13"/>
  <c r="L40" i="13"/>
  <c r="L39" i="13"/>
  <c r="L38" i="13"/>
  <c r="L36" i="13"/>
  <c r="L35" i="13"/>
  <c r="L34" i="13"/>
  <c r="L33" i="13"/>
  <c r="L32" i="13"/>
  <c r="L29" i="13"/>
  <c r="L28" i="13"/>
  <c r="L27" i="13"/>
  <c r="L26" i="13"/>
  <c r="L25" i="13"/>
  <c r="L24" i="13"/>
  <c r="L23" i="13"/>
  <c r="L22" i="13"/>
  <c r="L20" i="13"/>
  <c r="L19" i="13"/>
  <c r="L17" i="13"/>
  <c r="L16" i="13"/>
  <c r="L15" i="13"/>
  <c r="L14" i="13"/>
  <c r="L13" i="13"/>
  <c r="L12" i="13"/>
  <c r="L11" i="13"/>
  <c r="L59" i="16"/>
  <c r="L58" i="16"/>
  <c r="L57" i="16"/>
  <c r="L56" i="16"/>
  <c r="L55" i="16"/>
  <c r="L54" i="16"/>
  <c r="L53" i="16"/>
  <c r="L52" i="16"/>
  <c r="L51" i="16"/>
  <c r="L50" i="16"/>
  <c r="L49" i="16"/>
  <c r="L47" i="16"/>
  <c r="L46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0" i="16"/>
  <c r="L27" i="16"/>
  <c r="L26" i="16"/>
  <c r="L25" i="16"/>
  <c r="L24" i="16"/>
  <c r="L23" i="16"/>
  <c r="L19" i="16"/>
  <c r="L16" i="16"/>
  <c r="L15" i="16"/>
  <c r="L14" i="16"/>
  <c r="L12" i="16"/>
  <c r="L59" i="15"/>
  <c r="L58" i="15"/>
  <c r="L57" i="15"/>
  <c r="L56" i="15"/>
  <c r="L55" i="15"/>
  <c r="L54" i="15"/>
  <c r="L53" i="15"/>
  <c r="L52" i="15"/>
  <c r="L51" i="15"/>
  <c r="L50" i="15"/>
  <c r="L49" i="15"/>
  <c r="L47" i="15"/>
  <c r="L46" i="15"/>
  <c r="L45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5" i="15"/>
  <c r="L14" i="15"/>
  <c r="L13" i="15"/>
  <c r="L12" i="15"/>
  <c r="L11" i="15"/>
  <c r="L59" i="11"/>
  <c r="L58" i="11"/>
  <c r="L57" i="11"/>
  <c r="L56" i="11"/>
  <c r="L55" i="11"/>
  <c r="L54" i="11"/>
  <c r="L53" i="11"/>
  <c r="L52" i="11"/>
  <c r="L51" i="11"/>
  <c r="L50" i="11"/>
  <c r="L49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4" i="11"/>
  <c r="L32" i="11"/>
  <c r="L31" i="11"/>
  <c r="L30" i="11"/>
  <c r="L29" i="11"/>
  <c r="L28" i="11"/>
  <c r="L27" i="11"/>
  <c r="L26" i="11"/>
  <c r="L25" i="11"/>
  <c r="L24" i="11"/>
  <c r="L23" i="11"/>
  <c r="L22" i="11"/>
  <c r="L20" i="11"/>
  <c r="L19" i="11"/>
  <c r="L18" i="11"/>
  <c r="L17" i="11"/>
  <c r="L16" i="11"/>
  <c r="L15" i="11"/>
  <c r="L14" i="11"/>
  <c r="L13" i="11"/>
  <c r="L12" i="11"/>
  <c r="L5" i="11"/>
  <c r="L59" i="8"/>
  <c r="L58" i="8"/>
  <c r="L57" i="8"/>
  <c r="L56" i="8"/>
  <c r="L55" i="8"/>
  <c r="L54" i="8"/>
  <c r="L53" i="8"/>
  <c r="L52" i="8"/>
  <c r="L51" i="8"/>
  <c r="L50" i="8"/>
  <c r="L49" i="8"/>
  <c r="L47" i="8"/>
  <c r="L46" i="8"/>
  <c r="L45" i="8"/>
  <c r="L44" i="8"/>
  <c r="L43" i="8"/>
  <c r="L41" i="8"/>
  <c r="L40" i="8"/>
  <c r="L39" i="8"/>
  <c r="L38" i="8"/>
  <c r="L37" i="8"/>
  <c r="L36" i="8"/>
  <c r="L35" i="8"/>
  <c r="L34" i="8"/>
  <c r="L33" i="8"/>
  <c r="L32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5" i="8"/>
  <c r="B37" i="59" l="1"/>
  <c r="D37" i="59" s="1"/>
  <c r="F37" i="59"/>
  <c r="J4" i="59"/>
  <c r="I37" i="59"/>
  <c r="J37" i="59" s="1"/>
  <c r="O37" i="59"/>
  <c r="L37" i="59"/>
  <c r="L43" i="37"/>
  <c r="L20" i="34" l="1"/>
  <c r="L19" i="34"/>
  <c r="L18" i="34"/>
  <c r="L15" i="34"/>
  <c r="L38" i="28"/>
  <c r="L35" i="28"/>
  <c r="L33" i="28"/>
  <c r="L31" i="28"/>
  <c r="L30" i="28"/>
  <c r="L29" i="28"/>
  <c r="L20" i="28"/>
  <c r="L18" i="28"/>
  <c r="L15" i="28"/>
  <c r="L14" i="28"/>
  <c r="L59" i="20" l="1"/>
  <c r="L18" i="12"/>
  <c r="L13" i="12"/>
  <c r="L12" i="12"/>
  <c r="L5" i="12"/>
  <c r="L12" i="35" l="1"/>
  <c r="L38" i="29" l="1"/>
  <c r="L36" i="29"/>
  <c r="L31" i="29"/>
  <c r="L30" i="29"/>
  <c r="L29" i="29"/>
  <c r="L57" i="24" l="1"/>
  <c r="O29" i="45" l="1"/>
  <c r="N28" i="45" l="1"/>
  <c r="N25" i="59" l="1"/>
  <c r="P25" i="59" s="1"/>
  <c r="B3" i="50" l="1"/>
  <c r="B1" i="50"/>
  <c r="L50" i="46" l="1"/>
  <c r="L51" i="46"/>
  <c r="L27" i="46"/>
  <c r="L15" i="46"/>
  <c r="L47" i="46"/>
  <c r="L43" i="46"/>
  <c r="L55" i="46"/>
  <c r="D40" i="45"/>
  <c r="C2" i="46" s="1"/>
  <c r="C40" i="45" l="1"/>
  <c r="C1" i="46" s="1"/>
  <c r="L31" i="42"/>
  <c r="L5" i="42"/>
  <c r="L31" i="41"/>
  <c r="L30" i="41"/>
  <c r="L5" i="39"/>
  <c r="L5" i="30"/>
  <c r="L11" i="29"/>
  <c r="L37" i="28"/>
  <c r="L33" i="24"/>
  <c r="L11" i="22"/>
  <c r="L20" i="20"/>
  <c r="L17" i="20"/>
  <c r="L17" i="19"/>
  <c r="L11" i="19"/>
  <c r="L17" i="15"/>
  <c r="L5" i="13"/>
  <c r="L5" i="10"/>
  <c r="L35" i="43" l="1"/>
  <c r="L5" i="43"/>
  <c r="L35" i="41"/>
  <c r="L46" i="41"/>
  <c r="L18" i="29"/>
  <c r="L36" i="39"/>
  <c r="L44" i="39"/>
  <c r="L39" i="39"/>
  <c r="L34" i="39"/>
  <c r="L33" i="39"/>
  <c r="L31" i="39"/>
  <c r="L30" i="39"/>
  <c r="L29" i="39"/>
  <c r="L11" i="39"/>
  <c r="L37" i="39" l="1"/>
  <c r="L57" i="38"/>
  <c r="L45" i="38"/>
  <c r="L35" i="38"/>
  <c r="L31" i="38"/>
  <c r="L19" i="38"/>
  <c r="L11" i="38"/>
  <c r="L5" i="38"/>
  <c r="L38" i="44"/>
  <c r="L35" i="44"/>
  <c r="L33" i="44"/>
  <c r="L31" i="44"/>
  <c r="L30" i="44"/>
  <c r="L5" i="44"/>
  <c r="L33" i="43"/>
  <c r="L31" i="43"/>
  <c r="L17" i="43"/>
  <c r="L16" i="43"/>
  <c r="L25" i="44" l="1"/>
  <c r="L29" i="44"/>
  <c r="L33" i="38"/>
  <c r="L22" i="38"/>
  <c r="L41" i="46"/>
  <c r="L41" i="38"/>
  <c r="L20" i="38"/>
  <c r="L28" i="38"/>
  <c r="L18" i="38"/>
  <c r="L12" i="38"/>
  <c r="L21" i="38"/>
  <c r="L44" i="38"/>
  <c r="L26" i="38"/>
  <c r="L29" i="38"/>
  <c r="L17" i="38"/>
  <c r="L30" i="38"/>
  <c r="L36" i="38"/>
  <c r="L59" i="38"/>
  <c r="L24" i="46"/>
  <c r="L24" i="38"/>
  <c r="L37" i="38"/>
  <c r="L57" i="42"/>
  <c r="L38" i="42"/>
  <c r="L35" i="42"/>
  <c r="L33" i="42"/>
  <c r="L30" i="42"/>
  <c r="L29" i="42"/>
  <c r="L37" i="42"/>
  <c r="L16" i="42"/>
  <c r="L38" i="41"/>
  <c r="L33" i="41"/>
  <c r="L29" i="41"/>
  <c r="L20" i="41"/>
  <c r="L18" i="41"/>
  <c r="L16" i="41"/>
  <c r="L11" i="41"/>
  <c r="L59" i="42" l="1"/>
  <c r="L56" i="42"/>
  <c r="L5" i="41"/>
  <c r="L26" i="37"/>
  <c r="L33" i="37"/>
  <c r="L45" i="37"/>
  <c r="L31" i="37"/>
  <c r="L21" i="37"/>
  <c r="L20" i="37"/>
  <c r="L16" i="37"/>
  <c r="L13" i="37"/>
  <c r="L12" i="37"/>
  <c r="L11" i="37"/>
  <c r="L5" i="37"/>
  <c r="L45" i="36"/>
  <c r="L35" i="36"/>
  <c r="L32" i="36"/>
  <c r="L31" i="36"/>
  <c r="L29" i="36"/>
  <c r="L26" i="36"/>
  <c r="L21" i="36"/>
  <c r="L20" i="36"/>
  <c r="L18" i="36"/>
  <c r="L12" i="36"/>
  <c r="L58" i="35"/>
  <c r="L5" i="35"/>
  <c r="L35" i="34"/>
  <c r="L33" i="34"/>
  <c r="L31" i="34"/>
  <c r="L30" i="34"/>
  <c r="L29" i="34"/>
  <c r="L16" i="34"/>
  <c r="L5" i="34"/>
  <c r="L59" i="32"/>
  <c r="L58" i="32"/>
  <c r="L56" i="32"/>
  <c r="L29" i="32"/>
  <c r="L16" i="32"/>
  <c r="L5" i="32"/>
  <c r="L45" i="30"/>
  <c r="L33" i="29"/>
  <c r="L5" i="29"/>
  <c r="L5" i="28"/>
  <c r="L34" i="46" l="1"/>
  <c r="L34" i="37"/>
  <c r="L44" i="37"/>
  <c r="L25" i="46"/>
  <c r="L25" i="37"/>
  <c r="L57" i="37"/>
  <c r="L5" i="36"/>
  <c r="L38" i="36"/>
  <c r="L30" i="36"/>
  <c r="L56" i="46"/>
  <c r="L56" i="35"/>
  <c r="L57" i="35"/>
  <c r="L11" i="34"/>
  <c r="L17" i="32"/>
  <c r="L54" i="46"/>
  <c r="L55" i="32"/>
  <c r="L31" i="32"/>
  <c r="L57" i="32"/>
  <c r="L38" i="30"/>
  <c r="L53" i="46"/>
  <c r="L53" i="29"/>
  <c r="L57" i="27"/>
  <c r="L30" i="27"/>
  <c r="L33" i="27"/>
  <c r="L31" i="27"/>
  <c r="L31" i="26"/>
  <c r="L33" i="26"/>
  <c r="L29" i="26"/>
  <c r="L28" i="26"/>
  <c r="L16" i="26"/>
  <c r="L57" i="25"/>
  <c r="L33" i="25"/>
  <c r="L31" i="25"/>
  <c r="L29" i="25"/>
  <c r="L16" i="25"/>
  <c r="L31" i="24"/>
  <c r="L18" i="24"/>
  <c r="L14" i="24"/>
  <c r="L5" i="24"/>
  <c r="L35" i="23"/>
  <c r="L33" i="23"/>
  <c r="L31" i="23"/>
  <c r="L29" i="23"/>
  <c r="L17" i="23"/>
  <c r="L5" i="23"/>
  <c r="L33" i="22"/>
  <c r="L31" i="22"/>
  <c r="L30" i="22"/>
  <c r="L29" i="22"/>
  <c r="L5" i="22"/>
  <c r="L20" i="21"/>
  <c r="L18" i="21"/>
  <c r="L35" i="21"/>
  <c r="L29" i="21"/>
  <c r="L33" i="21"/>
  <c r="L31" i="21"/>
  <c r="L16" i="21"/>
  <c r="L31" i="20"/>
  <c r="L30" i="20"/>
  <c r="L29" i="20"/>
  <c r="L18" i="20"/>
  <c r="L16" i="20"/>
  <c r="L5" i="20"/>
  <c r="L28" i="19"/>
  <c r="L18" i="19"/>
  <c r="L16" i="19"/>
  <c r="L14" i="19"/>
  <c r="L44" i="18"/>
  <c r="L35" i="18"/>
  <c r="L33" i="18"/>
  <c r="L21" i="18"/>
  <c r="L20" i="18"/>
  <c r="L18" i="18"/>
  <c r="L11" i="18"/>
  <c r="L32" i="17"/>
  <c r="L31" i="17"/>
  <c r="L18" i="17"/>
  <c r="L49" i="46" l="1"/>
  <c r="L49" i="25"/>
  <c r="L18" i="26"/>
  <c r="L59" i="46"/>
  <c r="L59" i="25"/>
  <c r="L5" i="25"/>
  <c r="L5" i="26"/>
  <c r="L38" i="46"/>
  <c r="L38" i="26"/>
  <c r="L11" i="26"/>
  <c r="L39" i="46"/>
  <c r="L39" i="26"/>
  <c r="L5" i="21"/>
  <c r="L19" i="21"/>
  <c r="L14" i="21"/>
  <c r="L57" i="46"/>
  <c r="L57" i="21"/>
  <c r="L26" i="23"/>
  <c r="L58" i="46"/>
  <c r="L58" i="21"/>
  <c r="L37" i="22"/>
  <c r="L46" i="46"/>
  <c r="L46" i="23"/>
  <c r="L17" i="21"/>
  <c r="L30" i="21"/>
  <c r="L21" i="22"/>
  <c r="L40" i="46"/>
  <c r="L40" i="18"/>
  <c r="L5" i="17"/>
  <c r="L12" i="46"/>
  <c r="L12" i="18"/>
  <c r="L26" i="18"/>
  <c r="L29" i="18"/>
  <c r="L23" i="46"/>
  <c r="L23" i="18"/>
  <c r="L22" i="18"/>
  <c r="L11" i="20"/>
  <c r="L19" i="18"/>
  <c r="L28" i="20"/>
  <c r="L30" i="18"/>
  <c r="L31" i="18"/>
  <c r="L37" i="20"/>
  <c r="L5" i="18"/>
  <c r="B2" i="50"/>
  <c r="L22" i="20"/>
  <c r="L14" i="46"/>
  <c r="L33" i="14"/>
  <c r="L31" i="14"/>
  <c r="L29" i="14"/>
  <c r="L28" i="14"/>
  <c r="L16" i="15"/>
  <c r="L19" i="46" l="1"/>
  <c r="L26" i="46"/>
  <c r="L36" i="46"/>
  <c r="L36" i="14"/>
  <c r="L5" i="14"/>
  <c r="G48" i="46"/>
  <c r="G60" i="46" s="1"/>
  <c r="L11" i="14"/>
  <c r="L44" i="46"/>
  <c r="L44" i="15"/>
  <c r="L5" i="15"/>
  <c r="L18" i="15"/>
  <c r="L31" i="16"/>
  <c r="C72" i="46" l="1"/>
  <c r="L21" i="16"/>
  <c r="L5" i="46"/>
  <c r="L5" i="16"/>
  <c r="L29" i="16"/>
  <c r="L28" i="46"/>
  <c r="L28" i="16"/>
  <c r="L11" i="16"/>
  <c r="L17" i="46"/>
  <c r="L17" i="16"/>
  <c r="L32" i="46"/>
  <c r="L32" i="16"/>
  <c r="L13" i="46"/>
  <c r="L13" i="16"/>
  <c r="L22" i="46"/>
  <c r="L22" i="16"/>
  <c r="L45" i="46"/>
  <c r="L45" i="16"/>
  <c r="L18" i="16"/>
  <c r="L20" i="46"/>
  <c r="L20" i="16"/>
  <c r="L21" i="13"/>
  <c r="L35" i="12"/>
  <c r="L33" i="12"/>
  <c r="L31" i="12"/>
  <c r="L29" i="12"/>
  <c r="L35" i="11"/>
  <c r="L33" i="11"/>
  <c r="H48" i="46" l="1"/>
  <c r="H60" i="46" s="1"/>
  <c r="L30" i="13"/>
  <c r="L30" i="12"/>
  <c r="L31" i="13"/>
  <c r="L37" i="46"/>
  <c r="L37" i="13"/>
  <c r="C80" i="46"/>
  <c r="L18" i="13"/>
  <c r="L21" i="46"/>
  <c r="L21" i="11"/>
  <c r="L33" i="46"/>
  <c r="L35" i="46"/>
  <c r="B12" i="50"/>
  <c r="C66" i="46"/>
  <c r="L31" i="10"/>
  <c r="K48" i="44"/>
  <c r="K60" i="44" s="1"/>
  <c r="M39" i="45" s="1"/>
  <c r="C48" i="44"/>
  <c r="J48" i="44"/>
  <c r="J60" i="44" s="1"/>
  <c r="L39" i="45" s="1"/>
  <c r="I48" i="44"/>
  <c r="I60" i="44" s="1"/>
  <c r="K39" i="45" s="1"/>
  <c r="H48" i="44"/>
  <c r="H60" i="44" s="1"/>
  <c r="J39" i="45" s="1"/>
  <c r="G48" i="44"/>
  <c r="G60" i="44" s="1"/>
  <c r="I39" i="45" s="1"/>
  <c r="K36" i="59" s="1"/>
  <c r="M36" i="59" s="1"/>
  <c r="E48" i="44"/>
  <c r="E60" i="44" s="1"/>
  <c r="G39" i="45" s="1"/>
  <c r="D48" i="44"/>
  <c r="D60" i="44" s="1"/>
  <c r="F39" i="45" s="1"/>
  <c r="K48" i="43"/>
  <c r="K60" i="43" s="1"/>
  <c r="M38" i="45" s="1"/>
  <c r="C48" i="43"/>
  <c r="J48" i="43"/>
  <c r="J60" i="43" s="1"/>
  <c r="L38" i="45" s="1"/>
  <c r="I48" i="43"/>
  <c r="I60" i="43" s="1"/>
  <c r="K38" i="45" s="1"/>
  <c r="H48" i="43"/>
  <c r="H60" i="43" s="1"/>
  <c r="J38" i="45" s="1"/>
  <c r="G48" i="43"/>
  <c r="G60" i="43" s="1"/>
  <c r="I38" i="45" s="1"/>
  <c r="K35" i="59" s="1"/>
  <c r="M35" i="59" s="1"/>
  <c r="D48" i="43"/>
  <c r="D60" i="43" s="1"/>
  <c r="F38" i="45" s="1"/>
  <c r="K48" i="42"/>
  <c r="K60" i="42" s="1"/>
  <c r="M37" i="45" s="1"/>
  <c r="C48" i="42"/>
  <c r="J48" i="42"/>
  <c r="J60" i="42" s="1"/>
  <c r="L37" i="45" s="1"/>
  <c r="I48" i="42"/>
  <c r="I60" i="42" s="1"/>
  <c r="K37" i="45" s="1"/>
  <c r="H48" i="42"/>
  <c r="H60" i="42" s="1"/>
  <c r="J37" i="45" s="1"/>
  <c r="G48" i="42"/>
  <c r="G60" i="42" s="1"/>
  <c r="I37" i="45" s="1"/>
  <c r="K34" i="59" s="1"/>
  <c r="M34" i="59" s="1"/>
  <c r="E48" i="42"/>
  <c r="E60" i="42" s="1"/>
  <c r="G37" i="45" s="1"/>
  <c r="K48" i="41"/>
  <c r="K60" i="41" s="1"/>
  <c r="M36" i="45" s="1"/>
  <c r="C48" i="41"/>
  <c r="J48" i="41"/>
  <c r="J60" i="41" s="1"/>
  <c r="L36" i="45" s="1"/>
  <c r="I48" i="41"/>
  <c r="I60" i="41" s="1"/>
  <c r="K36" i="45" s="1"/>
  <c r="H48" i="41"/>
  <c r="H60" i="41" s="1"/>
  <c r="J36" i="45" s="1"/>
  <c r="G48" i="41"/>
  <c r="G60" i="41" s="1"/>
  <c r="I36" i="45" s="1"/>
  <c r="K33" i="59" s="1"/>
  <c r="M33" i="59" s="1"/>
  <c r="E48" i="41"/>
  <c r="E60" i="41" s="1"/>
  <c r="G36" i="45" s="1"/>
  <c r="K48" i="40"/>
  <c r="K60" i="40" s="1"/>
  <c r="M35" i="45" s="1"/>
  <c r="C48" i="40"/>
  <c r="J48" i="40"/>
  <c r="J60" i="40" s="1"/>
  <c r="L35" i="45" s="1"/>
  <c r="I48" i="40"/>
  <c r="I60" i="40" s="1"/>
  <c r="K35" i="45" s="1"/>
  <c r="H48" i="40"/>
  <c r="H60" i="40" s="1"/>
  <c r="J35" i="45" s="1"/>
  <c r="G48" i="40"/>
  <c r="G60" i="40" s="1"/>
  <c r="I35" i="45" s="1"/>
  <c r="K32" i="59" s="1"/>
  <c r="M32" i="59" s="1"/>
  <c r="D48" i="40"/>
  <c r="D60" i="40" s="1"/>
  <c r="F35" i="45" s="1"/>
  <c r="K48" i="39"/>
  <c r="K60" i="39" s="1"/>
  <c r="M34" i="45" s="1"/>
  <c r="C48" i="39"/>
  <c r="J48" i="39"/>
  <c r="J60" i="39" s="1"/>
  <c r="L34" i="45" s="1"/>
  <c r="I48" i="39"/>
  <c r="I60" i="39" s="1"/>
  <c r="K34" i="45" s="1"/>
  <c r="H48" i="39"/>
  <c r="H60" i="39" s="1"/>
  <c r="J34" i="45" s="1"/>
  <c r="G48" i="39"/>
  <c r="G60" i="39" s="1"/>
  <c r="I34" i="45" s="1"/>
  <c r="K31" i="59" s="1"/>
  <c r="M31" i="59" s="1"/>
  <c r="E48" i="39"/>
  <c r="E60" i="39" s="1"/>
  <c r="G34" i="45" s="1"/>
  <c r="D48" i="39"/>
  <c r="D60" i="39" s="1"/>
  <c r="F34" i="45" s="1"/>
  <c r="K48" i="38"/>
  <c r="K60" i="38" s="1"/>
  <c r="M33" i="45" s="1"/>
  <c r="C48" i="38"/>
  <c r="J48" i="38"/>
  <c r="J60" i="38" s="1"/>
  <c r="L33" i="45" s="1"/>
  <c r="I48" i="38"/>
  <c r="I60" i="38" s="1"/>
  <c r="K33" i="45" s="1"/>
  <c r="H48" i="38"/>
  <c r="H60" i="38" s="1"/>
  <c r="J33" i="45" s="1"/>
  <c r="G48" i="38"/>
  <c r="G60" i="38" s="1"/>
  <c r="I33" i="45" s="1"/>
  <c r="K30" i="59" s="1"/>
  <c r="M30" i="59" s="1"/>
  <c r="E48" i="38"/>
  <c r="E60" i="38" s="1"/>
  <c r="G33" i="45" s="1"/>
  <c r="D48" i="38"/>
  <c r="D60" i="38" s="1"/>
  <c r="F33" i="45" s="1"/>
  <c r="K48" i="37"/>
  <c r="K60" i="37" s="1"/>
  <c r="M32" i="45" s="1"/>
  <c r="C48" i="37"/>
  <c r="J48" i="37"/>
  <c r="J60" i="37" s="1"/>
  <c r="L32" i="45" s="1"/>
  <c r="I48" i="37"/>
  <c r="I60" i="37" s="1"/>
  <c r="K32" i="45" s="1"/>
  <c r="H48" i="37"/>
  <c r="H60" i="37" s="1"/>
  <c r="J32" i="45" s="1"/>
  <c r="G48" i="37"/>
  <c r="G60" i="37" s="1"/>
  <c r="I32" i="45" s="1"/>
  <c r="K29" i="59" s="1"/>
  <c r="M29" i="59" s="1"/>
  <c r="E48" i="37"/>
  <c r="E60" i="37" s="1"/>
  <c r="G32" i="45" s="1"/>
  <c r="D48" i="37"/>
  <c r="D60" i="37" s="1"/>
  <c r="F32" i="45" s="1"/>
  <c r="K48" i="36"/>
  <c r="K60" i="36" s="1"/>
  <c r="M31" i="45" s="1"/>
  <c r="C48" i="36"/>
  <c r="J48" i="36"/>
  <c r="J60" i="36" s="1"/>
  <c r="L31" i="45" s="1"/>
  <c r="I48" i="36"/>
  <c r="I60" i="36" s="1"/>
  <c r="K31" i="45" s="1"/>
  <c r="H48" i="36"/>
  <c r="H60" i="36" s="1"/>
  <c r="J31" i="45" s="1"/>
  <c r="G48" i="36"/>
  <c r="G60" i="36" s="1"/>
  <c r="I31" i="45" s="1"/>
  <c r="K28" i="59" s="1"/>
  <c r="M28" i="59" s="1"/>
  <c r="E48" i="36"/>
  <c r="E60" i="36" s="1"/>
  <c r="G31" i="45" s="1"/>
  <c r="D48" i="36"/>
  <c r="D60" i="36" s="1"/>
  <c r="F31" i="45" s="1"/>
  <c r="K60" i="35"/>
  <c r="C48" i="35"/>
  <c r="J48" i="35"/>
  <c r="J60" i="35" s="1"/>
  <c r="L30" i="45" s="1"/>
  <c r="I48" i="35"/>
  <c r="I60" i="35" s="1"/>
  <c r="K30" i="45" s="1"/>
  <c r="H48" i="35"/>
  <c r="H60" i="35" s="1"/>
  <c r="J30" i="45" s="1"/>
  <c r="G48" i="35"/>
  <c r="G60" i="35" s="1"/>
  <c r="I30" i="45" s="1"/>
  <c r="K27" i="59" s="1"/>
  <c r="M27" i="59" s="1"/>
  <c r="E48" i="35"/>
  <c r="E60" i="35" s="1"/>
  <c r="G30" i="45" s="1"/>
  <c r="D48" i="35"/>
  <c r="D60" i="35" s="1"/>
  <c r="F30" i="45" s="1"/>
  <c r="K48" i="34"/>
  <c r="K60" i="34" s="1"/>
  <c r="M29" i="45" s="1"/>
  <c r="C48" i="34"/>
  <c r="J48" i="34"/>
  <c r="J60" i="34" s="1"/>
  <c r="L29" i="45" s="1"/>
  <c r="I48" i="34"/>
  <c r="I60" i="34" s="1"/>
  <c r="K29" i="45" s="1"/>
  <c r="H48" i="34"/>
  <c r="H60" i="34" s="1"/>
  <c r="J29" i="45" s="1"/>
  <c r="G48" i="34"/>
  <c r="G60" i="34" s="1"/>
  <c r="I29" i="45" s="1"/>
  <c r="K26" i="59" s="1"/>
  <c r="M26" i="59" s="1"/>
  <c r="E48" i="34"/>
  <c r="E60" i="34" s="1"/>
  <c r="G29" i="45" s="1"/>
  <c r="D48" i="34"/>
  <c r="D60" i="34" s="1"/>
  <c r="F29" i="45" s="1"/>
  <c r="K48" i="32"/>
  <c r="K60" i="32" s="1"/>
  <c r="M27" i="45" s="1"/>
  <c r="C48" i="32"/>
  <c r="J48" i="32"/>
  <c r="J60" i="32" s="1"/>
  <c r="L27" i="45" s="1"/>
  <c r="I48" i="32"/>
  <c r="I60" i="32" s="1"/>
  <c r="K27" i="45" s="1"/>
  <c r="H48" i="32"/>
  <c r="H60" i="32" s="1"/>
  <c r="G48" i="32"/>
  <c r="G60" i="32" s="1"/>
  <c r="E48" i="32"/>
  <c r="E60" i="32" s="1"/>
  <c r="D48" i="32"/>
  <c r="D60" i="32" s="1"/>
  <c r="F27" i="45" s="1"/>
  <c r="K48" i="30"/>
  <c r="K60" i="30" s="1"/>
  <c r="M26" i="45" s="1"/>
  <c r="C48" i="30"/>
  <c r="J48" i="30"/>
  <c r="J60" i="30" s="1"/>
  <c r="L26" i="45" s="1"/>
  <c r="I48" i="30"/>
  <c r="I60" i="30" s="1"/>
  <c r="K26" i="45" s="1"/>
  <c r="H48" i="30"/>
  <c r="H60" i="30" s="1"/>
  <c r="J26" i="45" s="1"/>
  <c r="G48" i="30"/>
  <c r="G60" i="30" s="1"/>
  <c r="I26" i="45" s="1"/>
  <c r="K23" i="59" s="1"/>
  <c r="M23" i="59" s="1"/>
  <c r="E48" i="30"/>
  <c r="E60" i="30" s="1"/>
  <c r="G26" i="45" s="1"/>
  <c r="D48" i="30"/>
  <c r="D60" i="30" s="1"/>
  <c r="F26" i="45" s="1"/>
  <c r="K48" i="29"/>
  <c r="K60" i="29" s="1"/>
  <c r="M25" i="45" s="1"/>
  <c r="C48" i="29"/>
  <c r="J48" i="29"/>
  <c r="J60" i="29" s="1"/>
  <c r="L25" i="45" s="1"/>
  <c r="I48" i="29"/>
  <c r="I60" i="29" s="1"/>
  <c r="K25" i="45" s="1"/>
  <c r="H48" i="29"/>
  <c r="H60" i="29" s="1"/>
  <c r="J25" i="45" s="1"/>
  <c r="G48" i="29"/>
  <c r="G60" i="29" s="1"/>
  <c r="I25" i="45" s="1"/>
  <c r="K22" i="59" s="1"/>
  <c r="M22" i="59" s="1"/>
  <c r="E48" i="29"/>
  <c r="E60" i="29" s="1"/>
  <c r="G25" i="45" s="1"/>
  <c r="D48" i="29"/>
  <c r="D60" i="29" s="1"/>
  <c r="F25" i="45" s="1"/>
  <c r="K48" i="28"/>
  <c r="K60" i="28" s="1"/>
  <c r="M24" i="45" s="1"/>
  <c r="C48" i="28"/>
  <c r="J48" i="28"/>
  <c r="J60" i="28" s="1"/>
  <c r="L24" i="45" s="1"/>
  <c r="I48" i="28"/>
  <c r="I60" i="28" s="1"/>
  <c r="K24" i="45" s="1"/>
  <c r="H48" i="28"/>
  <c r="H60" i="28" s="1"/>
  <c r="J24" i="45" s="1"/>
  <c r="G48" i="28"/>
  <c r="G60" i="28" s="1"/>
  <c r="I24" i="45" s="1"/>
  <c r="K21" i="59" s="1"/>
  <c r="M21" i="59" s="1"/>
  <c r="E48" i="28"/>
  <c r="E60" i="28" s="1"/>
  <c r="G24" i="45" s="1"/>
  <c r="D48" i="28"/>
  <c r="D60" i="28" s="1"/>
  <c r="F24" i="45" s="1"/>
  <c r="K48" i="27"/>
  <c r="K60" i="27" s="1"/>
  <c r="M23" i="45" s="1"/>
  <c r="C48" i="27"/>
  <c r="J48" i="27"/>
  <c r="J60" i="27" s="1"/>
  <c r="L23" i="45" s="1"/>
  <c r="I48" i="27"/>
  <c r="I60" i="27" s="1"/>
  <c r="K23" i="45" s="1"/>
  <c r="H48" i="27"/>
  <c r="H60" i="27" s="1"/>
  <c r="J23" i="45" s="1"/>
  <c r="G48" i="27"/>
  <c r="G60" i="27" s="1"/>
  <c r="I23" i="45" s="1"/>
  <c r="K20" i="59" s="1"/>
  <c r="M20" i="59" s="1"/>
  <c r="E48" i="27"/>
  <c r="E60" i="27" s="1"/>
  <c r="G23" i="45" s="1"/>
  <c r="D48" i="27"/>
  <c r="D60" i="27" s="1"/>
  <c r="F23" i="45" s="1"/>
  <c r="K48" i="26"/>
  <c r="K60" i="26" s="1"/>
  <c r="M22" i="45" s="1"/>
  <c r="C48" i="26"/>
  <c r="J48" i="26"/>
  <c r="J60" i="26" s="1"/>
  <c r="L22" i="45" s="1"/>
  <c r="I48" i="26"/>
  <c r="I60" i="26" s="1"/>
  <c r="K22" i="45" s="1"/>
  <c r="H48" i="26"/>
  <c r="H60" i="26" s="1"/>
  <c r="J22" i="45" s="1"/>
  <c r="G48" i="26"/>
  <c r="G60" i="26" s="1"/>
  <c r="I22" i="45" s="1"/>
  <c r="K19" i="59" s="1"/>
  <c r="M19" i="59" s="1"/>
  <c r="E48" i="26"/>
  <c r="E60" i="26" s="1"/>
  <c r="G22" i="45" s="1"/>
  <c r="D48" i="26"/>
  <c r="D60" i="26" s="1"/>
  <c r="F22" i="45" s="1"/>
  <c r="K48" i="25"/>
  <c r="K60" i="25" s="1"/>
  <c r="M21" i="45" s="1"/>
  <c r="C48" i="25"/>
  <c r="J48" i="25"/>
  <c r="J60" i="25" s="1"/>
  <c r="L21" i="45" s="1"/>
  <c r="I48" i="25"/>
  <c r="I60" i="25" s="1"/>
  <c r="K21" i="45" s="1"/>
  <c r="H48" i="25"/>
  <c r="H60" i="25" s="1"/>
  <c r="J21" i="45" s="1"/>
  <c r="G48" i="25"/>
  <c r="G60" i="25" s="1"/>
  <c r="I21" i="45" s="1"/>
  <c r="K18" i="59" s="1"/>
  <c r="M18" i="59" s="1"/>
  <c r="E48" i="25"/>
  <c r="E60" i="25" s="1"/>
  <c r="G21" i="45" s="1"/>
  <c r="D48" i="25"/>
  <c r="D60" i="25" s="1"/>
  <c r="F21" i="45" s="1"/>
  <c r="K48" i="24"/>
  <c r="K60" i="24" s="1"/>
  <c r="M20" i="45" s="1"/>
  <c r="C48" i="24"/>
  <c r="J48" i="24"/>
  <c r="J60" i="24" s="1"/>
  <c r="L20" i="45" s="1"/>
  <c r="I48" i="24"/>
  <c r="I60" i="24" s="1"/>
  <c r="K20" i="45" s="1"/>
  <c r="G48" i="24"/>
  <c r="G60" i="24" s="1"/>
  <c r="I20" i="45" s="1"/>
  <c r="K17" i="59" s="1"/>
  <c r="M17" i="59" s="1"/>
  <c r="E48" i="24"/>
  <c r="E60" i="24" s="1"/>
  <c r="G20" i="45" s="1"/>
  <c r="D48" i="24"/>
  <c r="D60" i="24" s="1"/>
  <c r="F20" i="45" s="1"/>
  <c r="K48" i="23"/>
  <c r="K60" i="23" s="1"/>
  <c r="M19" i="45" s="1"/>
  <c r="C48" i="23"/>
  <c r="J48" i="23"/>
  <c r="J60" i="23" s="1"/>
  <c r="L19" i="45" s="1"/>
  <c r="I48" i="23"/>
  <c r="I60" i="23" s="1"/>
  <c r="K19" i="45" s="1"/>
  <c r="H48" i="23"/>
  <c r="H60" i="23" s="1"/>
  <c r="J19" i="45" s="1"/>
  <c r="G48" i="23"/>
  <c r="G60" i="23" s="1"/>
  <c r="I19" i="45" s="1"/>
  <c r="K16" i="59" s="1"/>
  <c r="M16" i="59" s="1"/>
  <c r="E48" i="23"/>
  <c r="E60" i="23" s="1"/>
  <c r="G19" i="45" s="1"/>
  <c r="D48" i="23"/>
  <c r="D60" i="23" s="1"/>
  <c r="F19" i="45" s="1"/>
  <c r="K48" i="22"/>
  <c r="K60" i="22" s="1"/>
  <c r="M18" i="45" s="1"/>
  <c r="C48" i="22"/>
  <c r="J48" i="22"/>
  <c r="J60" i="22" s="1"/>
  <c r="L18" i="45" s="1"/>
  <c r="I48" i="22"/>
  <c r="I60" i="22" s="1"/>
  <c r="K18" i="45" s="1"/>
  <c r="H48" i="22"/>
  <c r="H60" i="22" s="1"/>
  <c r="J18" i="45" s="1"/>
  <c r="G48" i="22"/>
  <c r="G60" i="22" s="1"/>
  <c r="I18" i="45" s="1"/>
  <c r="K15" i="59" s="1"/>
  <c r="M15" i="59" s="1"/>
  <c r="E48" i="22"/>
  <c r="E60" i="22" s="1"/>
  <c r="G18" i="45" s="1"/>
  <c r="D48" i="22"/>
  <c r="D60" i="22" s="1"/>
  <c r="F18" i="45" s="1"/>
  <c r="K48" i="21"/>
  <c r="K60" i="21" s="1"/>
  <c r="M17" i="45" s="1"/>
  <c r="C48" i="21"/>
  <c r="J48" i="21"/>
  <c r="J60" i="21" s="1"/>
  <c r="L17" i="45" s="1"/>
  <c r="I48" i="21"/>
  <c r="I60" i="21" s="1"/>
  <c r="K17" i="45" s="1"/>
  <c r="H48" i="21"/>
  <c r="H60" i="21" s="1"/>
  <c r="J17" i="45" s="1"/>
  <c r="G48" i="21"/>
  <c r="G60" i="21" s="1"/>
  <c r="I17" i="45" s="1"/>
  <c r="K14" i="59" s="1"/>
  <c r="M14" i="59" s="1"/>
  <c r="E48" i="21"/>
  <c r="E60" i="21" s="1"/>
  <c r="G17" i="45" s="1"/>
  <c r="D48" i="21"/>
  <c r="D60" i="21" s="1"/>
  <c r="F17" i="45" s="1"/>
  <c r="K48" i="20"/>
  <c r="K60" i="20" s="1"/>
  <c r="M16" i="45" s="1"/>
  <c r="C48" i="20"/>
  <c r="J48" i="20"/>
  <c r="J60" i="20" s="1"/>
  <c r="L16" i="45" s="1"/>
  <c r="I48" i="20"/>
  <c r="I60" i="20" s="1"/>
  <c r="K16" i="45" s="1"/>
  <c r="H48" i="20"/>
  <c r="H60" i="20" s="1"/>
  <c r="J16" i="45" s="1"/>
  <c r="G48" i="20"/>
  <c r="G60" i="20" s="1"/>
  <c r="I16" i="45" s="1"/>
  <c r="K13" i="59" s="1"/>
  <c r="M13" i="59" s="1"/>
  <c r="E48" i="20"/>
  <c r="E60" i="20" s="1"/>
  <c r="G16" i="45" s="1"/>
  <c r="D48" i="20"/>
  <c r="D60" i="20" s="1"/>
  <c r="F16" i="45" s="1"/>
  <c r="K48" i="19"/>
  <c r="K60" i="19" s="1"/>
  <c r="M15" i="45" s="1"/>
  <c r="C48" i="19"/>
  <c r="J48" i="19"/>
  <c r="J60" i="19" s="1"/>
  <c r="L15" i="45" s="1"/>
  <c r="I48" i="19"/>
  <c r="I60" i="19" s="1"/>
  <c r="K15" i="45" s="1"/>
  <c r="H48" i="19"/>
  <c r="H60" i="19" s="1"/>
  <c r="J15" i="45" s="1"/>
  <c r="G48" i="19"/>
  <c r="G60" i="19" s="1"/>
  <c r="I15" i="45" s="1"/>
  <c r="K12" i="59" s="1"/>
  <c r="M12" i="59" s="1"/>
  <c r="E48" i="19"/>
  <c r="E60" i="19" s="1"/>
  <c r="G15" i="45" s="1"/>
  <c r="D48" i="19"/>
  <c r="D60" i="19" s="1"/>
  <c r="F15" i="45" s="1"/>
  <c r="K48" i="18"/>
  <c r="K60" i="18" s="1"/>
  <c r="M14" i="45" s="1"/>
  <c r="C48" i="18"/>
  <c r="I48" i="18"/>
  <c r="I60" i="18" s="1"/>
  <c r="K14" i="45" s="1"/>
  <c r="H48" i="18"/>
  <c r="H60" i="18" s="1"/>
  <c r="J14" i="45" s="1"/>
  <c r="K11" i="59"/>
  <c r="M11" i="59" s="1"/>
  <c r="E48" i="18"/>
  <c r="E60" i="18" s="1"/>
  <c r="G14" i="45" s="1"/>
  <c r="D48" i="18"/>
  <c r="D60" i="18" s="1"/>
  <c r="F14" i="45" s="1"/>
  <c r="K48" i="17"/>
  <c r="K60" i="17" s="1"/>
  <c r="M13" i="45" s="1"/>
  <c r="C48" i="17"/>
  <c r="I48" i="17"/>
  <c r="I60" i="17" s="1"/>
  <c r="K13" i="45" s="1"/>
  <c r="H48" i="17"/>
  <c r="H60" i="17" s="1"/>
  <c r="J13" i="45" s="1"/>
  <c r="G48" i="17"/>
  <c r="G60" i="17" s="1"/>
  <c r="I13" i="45" s="1"/>
  <c r="K10" i="59" s="1"/>
  <c r="M10" i="59" s="1"/>
  <c r="D48" i="17"/>
  <c r="D60" i="17" s="1"/>
  <c r="F13" i="45" s="1"/>
  <c r="K48" i="16"/>
  <c r="K60" i="16" s="1"/>
  <c r="M10" i="45" s="1"/>
  <c r="C48" i="16"/>
  <c r="J48" i="16"/>
  <c r="J60" i="16" s="1"/>
  <c r="L10" i="45" s="1"/>
  <c r="I48" i="16"/>
  <c r="I60" i="16" s="1"/>
  <c r="K10" i="45" s="1"/>
  <c r="H48" i="16"/>
  <c r="H60" i="16" s="1"/>
  <c r="J10" i="45" s="1"/>
  <c r="G48" i="16"/>
  <c r="G60" i="16" s="1"/>
  <c r="I10" i="45" s="1"/>
  <c r="K7" i="59" s="1"/>
  <c r="M7" i="59" s="1"/>
  <c r="E48" i="16"/>
  <c r="E60" i="16" s="1"/>
  <c r="G10" i="45" s="1"/>
  <c r="D48" i="16"/>
  <c r="D60" i="16" s="1"/>
  <c r="F10" i="45" s="1"/>
  <c r="K48" i="15"/>
  <c r="K60" i="15" s="1"/>
  <c r="M11" i="45" s="1"/>
  <c r="C48" i="15"/>
  <c r="J48" i="15"/>
  <c r="J60" i="15" s="1"/>
  <c r="L11" i="45" s="1"/>
  <c r="I48" i="15"/>
  <c r="I60" i="15" s="1"/>
  <c r="K11" i="45" s="1"/>
  <c r="H48" i="15"/>
  <c r="H60" i="15" s="1"/>
  <c r="J11" i="45" s="1"/>
  <c r="G48" i="15"/>
  <c r="G60" i="15" s="1"/>
  <c r="I11" i="45" s="1"/>
  <c r="K8" i="59" s="1"/>
  <c r="M8" i="59" s="1"/>
  <c r="D48" i="15"/>
  <c r="D60" i="15" s="1"/>
  <c r="F11" i="45" s="1"/>
  <c r="K48" i="14"/>
  <c r="K60" i="14" s="1"/>
  <c r="M12" i="45" s="1"/>
  <c r="C48" i="14"/>
  <c r="J48" i="14"/>
  <c r="J60" i="14" s="1"/>
  <c r="L12" i="45" s="1"/>
  <c r="I48" i="14"/>
  <c r="I60" i="14" s="1"/>
  <c r="K12" i="45" s="1"/>
  <c r="H48" i="14"/>
  <c r="H60" i="14" s="1"/>
  <c r="J12" i="45" s="1"/>
  <c r="G48" i="14"/>
  <c r="G60" i="14" s="1"/>
  <c r="I12" i="45" s="1"/>
  <c r="K9" i="59" s="1"/>
  <c r="M9" i="59" s="1"/>
  <c r="E48" i="14"/>
  <c r="E60" i="14" s="1"/>
  <c r="G12" i="45" s="1"/>
  <c r="D48" i="14"/>
  <c r="D60" i="14" s="1"/>
  <c r="F12" i="45" s="1"/>
  <c r="K48" i="13"/>
  <c r="K60" i="13" s="1"/>
  <c r="M9" i="45" s="1"/>
  <c r="C48" i="13"/>
  <c r="J48" i="13"/>
  <c r="J60" i="13" s="1"/>
  <c r="L9" i="45" s="1"/>
  <c r="I48" i="13"/>
  <c r="I60" i="13" s="1"/>
  <c r="K9" i="45" s="1"/>
  <c r="H48" i="13"/>
  <c r="H60" i="13" s="1"/>
  <c r="J9" i="45" s="1"/>
  <c r="G48" i="13"/>
  <c r="G60" i="13" s="1"/>
  <c r="I9" i="45" s="1"/>
  <c r="E48" i="13"/>
  <c r="E60" i="13" s="1"/>
  <c r="G9" i="45" s="1"/>
  <c r="D48" i="13"/>
  <c r="D60" i="13" s="1"/>
  <c r="F9" i="45" s="1"/>
  <c r="C48" i="12"/>
  <c r="J48" i="12"/>
  <c r="J60" i="12" s="1"/>
  <c r="L8" i="45" s="1"/>
  <c r="I48" i="12"/>
  <c r="I60" i="12" s="1"/>
  <c r="K8" i="45" s="1"/>
  <c r="H48" i="12"/>
  <c r="G48" i="12"/>
  <c r="G60" i="12" s="1"/>
  <c r="I8" i="45" s="1"/>
  <c r="E48" i="12"/>
  <c r="E60" i="12" s="1"/>
  <c r="G8" i="45" s="1"/>
  <c r="D48" i="12"/>
  <c r="D60" i="12" s="1"/>
  <c r="F8" i="45" s="1"/>
  <c r="C48" i="11"/>
  <c r="J48" i="11"/>
  <c r="J60" i="11" s="1"/>
  <c r="L7" i="45" s="1"/>
  <c r="H48" i="11"/>
  <c r="H60" i="11" s="1"/>
  <c r="J7" i="45" s="1"/>
  <c r="G48" i="11"/>
  <c r="E48" i="11"/>
  <c r="E60" i="11" s="1"/>
  <c r="G7" i="45" s="1"/>
  <c r="D48" i="11"/>
  <c r="D60" i="11" s="1"/>
  <c r="F7" i="45" s="1"/>
  <c r="K48" i="10"/>
  <c r="K60" i="10" s="1"/>
  <c r="M5" i="45" s="1"/>
  <c r="C48" i="10"/>
  <c r="J48" i="10"/>
  <c r="J60" i="10" s="1"/>
  <c r="L5" i="45" s="1"/>
  <c r="H48" i="10"/>
  <c r="H60" i="10" s="1"/>
  <c r="J5" i="45" s="1"/>
  <c r="G48" i="10"/>
  <c r="G60" i="10" s="1"/>
  <c r="I5" i="45" s="1"/>
  <c r="E48" i="10"/>
  <c r="E60" i="10" s="1"/>
  <c r="G5" i="45" s="1"/>
  <c r="G60" i="11" l="1"/>
  <c r="I7" i="45" s="1"/>
  <c r="K4" i="59" s="1"/>
  <c r="M4" i="59" s="1"/>
  <c r="H60" i="12"/>
  <c r="J8" i="45"/>
  <c r="K6" i="59"/>
  <c r="M6" i="59" s="1"/>
  <c r="K5" i="59"/>
  <c r="M5" i="59" s="1"/>
  <c r="K2" i="59"/>
  <c r="M2" i="59" s="1"/>
  <c r="C60" i="44"/>
  <c r="L48" i="44"/>
  <c r="C60" i="43"/>
  <c r="C66" i="43" s="1"/>
  <c r="L48" i="43"/>
  <c r="C60" i="42"/>
  <c r="C66" i="42" s="1"/>
  <c r="C60" i="41"/>
  <c r="C66" i="41" s="1"/>
  <c r="C60" i="40"/>
  <c r="C66" i="40" s="1"/>
  <c r="L48" i="40"/>
  <c r="C60" i="39"/>
  <c r="C66" i="39" s="1"/>
  <c r="L48" i="39"/>
  <c r="C60" i="38"/>
  <c r="C66" i="38" s="1"/>
  <c r="L48" i="38"/>
  <c r="C60" i="37"/>
  <c r="C66" i="37" s="1"/>
  <c r="L48" i="37"/>
  <c r="C60" i="36"/>
  <c r="C66" i="36" s="1"/>
  <c r="L48" i="36"/>
  <c r="C60" i="35"/>
  <c r="C66" i="35" s="1"/>
  <c r="L48" i="35"/>
  <c r="C60" i="34"/>
  <c r="C66" i="34" s="1"/>
  <c r="L48" i="34"/>
  <c r="G27" i="45"/>
  <c r="C70" i="32"/>
  <c r="I27" i="45"/>
  <c r="K24" i="59" s="1"/>
  <c r="M24" i="59" s="1"/>
  <c r="C72" i="32"/>
  <c r="J27" i="45"/>
  <c r="C73" i="32"/>
  <c r="C60" i="32"/>
  <c r="C66" i="32" s="1"/>
  <c r="L48" i="32"/>
  <c r="C60" i="30"/>
  <c r="C66" i="30" s="1"/>
  <c r="L48" i="30"/>
  <c r="C60" i="29"/>
  <c r="C66" i="29" s="1"/>
  <c r="L48" i="29"/>
  <c r="C60" i="26"/>
  <c r="C66" i="26" s="1"/>
  <c r="L48" i="26"/>
  <c r="C60" i="28"/>
  <c r="C66" i="28" s="1"/>
  <c r="L48" i="28"/>
  <c r="C60" i="27"/>
  <c r="C66" i="27" s="1"/>
  <c r="L48" i="27"/>
  <c r="C60" i="25"/>
  <c r="C66" i="25" s="1"/>
  <c r="L48" i="25"/>
  <c r="L30" i="46"/>
  <c r="C60" i="24"/>
  <c r="C66" i="24" s="1"/>
  <c r="L48" i="24"/>
  <c r="C60" i="23"/>
  <c r="C66" i="23" s="1"/>
  <c r="L48" i="23"/>
  <c r="C60" i="22"/>
  <c r="C66" i="22" s="1"/>
  <c r="C60" i="21"/>
  <c r="L48" i="21"/>
  <c r="C60" i="19"/>
  <c r="C66" i="19" s="1"/>
  <c r="L48" i="19"/>
  <c r="C60" i="18"/>
  <c r="C66" i="18" s="1"/>
  <c r="L48" i="18"/>
  <c r="C60" i="17"/>
  <c r="C66" i="17" s="1"/>
  <c r="L48" i="17"/>
  <c r="C60" i="14"/>
  <c r="C66" i="14" s="1"/>
  <c r="L48" i="14"/>
  <c r="C60" i="20"/>
  <c r="C66" i="20" s="1"/>
  <c r="L48" i="20"/>
  <c r="C60" i="12"/>
  <c r="C66" i="12" s="1"/>
  <c r="L48" i="12"/>
  <c r="C60" i="13"/>
  <c r="C66" i="13" s="1"/>
  <c r="C60" i="15"/>
  <c r="C66" i="15" s="1"/>
  <c r="L48" i="15"/>
  <c r="C60" i="16"/>
  <c r="C66" i="16" s="1"/>
  <c r="L48" i="16"/>
  <c r="E48" i="46"/>
  <c r="E60" i="46" s="1"/>
  <c r="L11" i="46"/>
  <c r="L11" i="11"/>
  <c r="I48" i="11"/>
  <c r="I60" i="11" s="1"/>
  <c r="K7" i="45" s="1"/>
  <c r="C60" i="11"/>
  <c r="C66" i="11" s="1"/>
  <c r="L16" i="46"/>
  <c r="L16" i="10"/>
  <c r="J48" i="46"/>
  <c r="L18" i="10"/>
  <c r="C60" i="10"/>
  <c r="C67" i="10" s="1"/>
  <c r="L29" i="46"/>
  <c r="L29" i="10"/>
  <c r="M30" i="45"/>
  <c r="I48" i="10"/>
  <c r="I60" i="10" s="1"/>
  <c r="K5" i="45" s="1"/>
  <c r="C73" i="46"/>
  <c r="D48" i="10"/>
  <c r="D60" i="10" s="1"/>
  <c r="F5" i="45" s="1"/>
  <c r="C67" i="44"/>
  <c r="C70" i="44"/>
  <c r="C73" i="44"/>
  <c r="C77" i="44"/>
  <c r="C80" i="44"/>
  <c r="C72" i="44"/>
  <c r="C76" i="44"/>
  <c r="C66" i="44"/>
  <c r="C67" i="43"/>
  <c r="C70" i="43"/>
  <c r="C73" i="43"/>
  <c r="C77" i="43"/>
  <c r="C80" i="43"/>
  <c r="C72" i="43"/>
  <c r="C76" i="43"/>
  <c r="C70" i="42"/>
  <c r="C73" i="42"/>
  <c r="C77" i="42"/>
  <c r="C80" i="42"/>
  <c r="C72" i="42"/>
  <c r="C76" i="42"/>
  <c r="D48" i="42"/>
  <c r="D60" i="42" s="1"/>
  <c r="F37" i="45" s="1"/>
  <c r="C70" i="41"/>
  <c r="C73" i="41"/>
  <c r="C77" i="41"/>
  <c r="C80" i="41"/>
  <c r="C72" i="41"/>
  <c r="C76" i="41"/>
  <c r="D48" i="41"/>
  <c r="D60" i="41" s="1"/>
  <c r="F36" i="45" s="1"/>
  <c r="C67" i="40"/>
  <c r="C70" i="40"/>
  <c r="C73" i="40"/>
  <c r="C77" i="40"/>
  <c r="C80" i="40"/>
  <c r="C72" i="40"/>
  <c r="C76" i="40"/>
  <c r="C67" i="39"/>
  <c r="C70" i="39"/>
  <c r="C73" i="39"/>
  <c r="C77" i="39"/>
  <c r="C80" i="39"/>
  <c r="C72" i="39"/>
  <c r="C76" i="39"/>
  <c r="C67" i="38"/>
  <c r="C70" i="38"/>
  <c r="C73" i="38"/>
  <c r="C77" i="38"/>
  <c r="C80" i="38"/>
  <c r="C72" i="38"/>
  <c r="C76" i="38"/>
  <c r="C67" i="37"/>
  <c r="C70" i="37"/>
  <c r="C73" i="37"/>
  <c r="C77" i="37"/>
  <c r="C80" i="37"/>
  <c r="C72" i="37"/>
  <c r="C76" i="37"/>
  <c r="C67" i="36"/>
  <c r="C70" i="36"/>
  <c r="C73" i="36"/>
  <c r="C77" i="36"/>
  <c r="C80" i="36"/>
  <c r="C72" i="36"/>
  <c r="C76" i="36"/>
  <c r="C67" i="35"/>
  <c r="C70" i="35"/>
  <c r="C73" i="35"/>
  <c r="C77" i="35"/>
  <c r="C80" i="35"/>
  <c r="C72" i="35"/>
  <c r="C76" i="35"/>
  <c r="C67" i="34"/>
  <c r="C70" i="34"/>
  <c r="C73" i="34"/>
  <c r="C77" i="34"/>
  <c r="C80" i="34"/>
  <c r="C72" i="34"/>
  <c r="C76" i="34"/>
  <c r="C67" i="32"/>
  <c r="C77" i="32"/>
  <c r="C80" i="32"/>
  <c r="C76" i="32"/>
  <c r="C67" i="30"/>
  <c r="C70" i="30"/>
  <c r="C73" i="30"/>
  <c r="C77" i="30"/>
  <c r="C80" i="30"/>
  <c r="C72" i="30"/>
  <c r="C76" i="30"/>
  <c r="C67" i="29"/>
  <c r="C70" i="29"/>
  <c r="C73" i="29"/>
  <c r="C77" i="29"/>
  <c r="C80" i="29"/>
  <c r="C72" i="29"/>
  <c r="C76" i="29"/>
  <c r="C67" i="28"/>
  <c r="C70" i="28"/>
  <c r="C73" i="28"/>
  <c r="C77" i="28"/>
  <c r="C80" i="28"/>
  <c r="C72" i="28"/>
  <c r="C76" i="28"/>
  <c r="C67" i="27"/>
  <c r="C70" i="27"/>
  <c r="C73" i="27"/>
  <c r="C77" i="27"/>
  <c r="C80" i="27"/>
  <c r="C72" i="27"/>
  <c r="C76" i="27"/>
  <c r="C67" i="26"/>
  <c r="C70" i="26"/>
  <c r="C73" i="26"/>
  <c r="C77" i="26"/>
  <c r="C80" i="26"/>
  <c r="C72" i="26"/>
  <c r="C76" i="26"/>
  <c r="C67" i="25"/>
  <c r="C70" i="25"/>
  <c r="C73" i="25"/>
  <c r="C77" i="25"/>
  <c r="C80" i="25"/>
  <c r="C72" i="25"/>
  <c r="C76" i="25"/>
  <c r="C67" i="24"/>
  <c r="C70" i="24"/>
  <c r="C73" i="24"/>
  <c r="C77" i="24"/>
  <c r="C80" i="24"/>
  <c r="C72" i="24"/>
  <c r="C76" i="24"/>
  <c r="C67" i="23"/>
  <c r="C70" i="23"/>
  <c r="C73" i="23"/>
  <c r="C77" i="23"/>
  <c r="C80" i="23"/>
  <c r="C72" i="23"/>
  <c r="C76" i="23"/>
  <c r="C67" i="22"/>
  <c r="C70" i="22"/>
  <c r="C73" i="22"/>
  <c r="C77" i="22"/>
  <c r="C80" i="22"/>
  <c r="C72" i="22"/>
  <c r="C76" i="22"/>
  <c r="C67" i="21"/>
  <c r="C70" i="21"/>
  <c r="C73" i="21"/>
  <c r="C77" i="21"/>
  <c r="C80" i="21"/>
  <c r="C72" i="21"/>
  <c r="C76" i="21"/>
  <c r="C67" i="20"/>
  <c r="C70" i="20"/>
  <c r="C73" i="20"/>
  <c r="C77" i="20"/>
  <c r="C80" i="20"/>
  <c r="C72" i="20"/>
  <c r="C76" i="20"/>
  <c r="C67" i="19"/>
  <c r="C70" i="19"/>
  <c r="C73" i="19"/>
  <c r="C77" i="19"/>
  <c r="C80" i="19"/>
  <c r="C72" i="19"/>
  <c r="C76" i="19"/>
  <c r="C67" i="18"/>
  <c r="C70" i="18"/>
  <c r="C73" i="18"/>
  <c r="C77" i="18"/>
  <c r="C80" i="18"/>
  <c r="C72" i="18"/>
  <c r="C76" i="18"/>
  <c r="C67" i="17"/>
  <c r="C70" i="17"/>
  <c r="C73" i="17"/>
  <c r="C77" i="17"/>
  <c r="C80" i="17"/>
  <c r="C72" i="17"/>
  <c r="C76" i="17"/>
  <c r="C67" i="16"/>
  <c r="C70" i="16"/>
  <c r="C73" i="16"/>
  <c r="C77" i="16"/>
  <c r="C80" i="16"/>
  <c r="C72" i="16"/>
  <c r="C76" i="16"/>
  <c r="C67" i="15"/>
  <c r="C70" i="15"/>
  <c r="C73" i="15"/>
  <c r="C77" i="15"/>
  <c r="C80" i="15"/>
  <c r="C72" i="15"/>
  <c r="C76" i="15"/>
  <c r="C72" i="14"/>
  <c r="C67" i="14"/>
  <c r="C70" i="14"/>
  <c r="C73" i="14"/>
  <c r="C77" i="14"/>
  <c r="C80" i="14"/>
  <c r="C76" i="14"/>
  <c r="C67" i="13"/>
  <c r="C70" i="13"/>
  <c r="C73" i="13"/>
  <c r="C77" i="13"/>
  <c r="C80" i="13"/>
  <c r="C72" i="13"/>
  <c r="C76" i="13"/>
  <c r="C76" i="12"/>
  <c r="C67" i="12"/>
  <c r="C70" i="12"/>
  <c r="C73" i="12"/>
  <c r="C77" i="12"/>
  <c r="C80" i="12"/>
  <c r="C72" i="12"/>
  <c r="C67" i="11"/>
  <c r="C70" i="11"/>
  <c r="C73" i="11"/>
  <c r="C77" i="11"/>
  <c r="C80" i="11"/>
  <c r="C72" i="11"/>
  <c r="C71" i="10"/>
  <c r="C74" i="10"/>
  <c r="C78" i="10"/>
  <c r="C81" i="10"/>
  <c r="C73" i="10"/>
  <c r="J60" i="46" l="1"/>
  <c r="B11" i="50" s="1"/>
  <c r="C78" i="14"/>
  <c r="C78" i="27"/>
  <c r="C68" i="15"/>
  <c r="C78" i="16"/>
  <c r="C68" i="18"/>
  <c r="C68" i="19"/>
  <c r="C68" i="22"/>
  <c r="C76" i="11"/>
  <c r="C78" i="11" s="1"/>
  <c r="L48" i="11"/>
  <c r="C68" i="17"/>
  <c r="C78" i="26"/>
  <c r="E39" i="45"/>
  <c r="L60" i="44"/>
  <c r="D70" i="44" s="1"/>
  <c r="E38" i="45"/>
  <c r="L60" i="43"/>
  <c r="L48" i="42"/>
  <c r="E37" i="45"/>
  <c r="L60" i="42"/>
  <c r="L48" i="41"/>
  <c r="E36" i="45"/>
  <c r="L60" i="41"/>
  <c r="D67" i="41" s="1"/>
  <c r="E35" i="45"/>
  <c r="L60" i="40"/>
  <c r="E34" i="45"/>
  <c r="L60" i="39"/>
  <c r="D72" i="39" s="1"/>
  <c r="E33" i="45"/>
  <c r="L60" i="38"/>
  <c r="C68" i="37"/>
  <c r="E32" i="45"/>
  <c r="L60" i="37"/>
  <c r="D70" i="37" s="1"/>
  <c r="E31" i="45"/>
  <c r="L60" i="36"/>
  <c r="D77" i="36" s="1"/>
  <c r="E30" i="45"/>
  <c r="L60" i="35"/>
  <c r="D73" i="35" s="1"/>
  <c r="E29" i="45"/>
  <c r="L60" i="34"/>
  <c r="D72" i="34" s="1"/>
  <c r="C68" i="32"/>
  <c r="E27" i="45"/>
  <c r="L60" i="32"/>
  <c r="E26" i="45"/>
  <c r="L60" i="30"/>
  <c r="E25" i="45"/>
  <c r="L60" i="29"/>
  <c r="D72" i="29" s="1"/>
  <c r="E21" i="45"/>
  <c r="L60" i="25"/>
  <c r="E23" i="45"/>
  <c r="L60" i="27"/>
  <c r="D67" i="27" s="1"/>
  <c r="E22" i="45"/>
  <c r="L60" i="26"/>
  <c r="D66" i="26" s="1"/>
  <c r="E24" i="45"/>
  <c r="L60" i="28"/>
  <c r="D67" i="28" s="1"/>
  <c r="C78" i="23"/>
  <c r="C78" i="24"/>
  <c r="E18" i="45"/>
  <c r="L60" i="22"/>
  <c r="D67" i="22" s="1"/>
  <c r="E17" i="45"/>
  <c r="L60" i="21"/>
  <c r="D66" i="21" s="1"/>
  <c r="E19" i="45"/>
  <c r="L60" i="23"/>
  <c r="D66" i="23" s="1"/>
  <c r="C66" i="21"/>
  <c r="C68" i="21" s="1"/>
  <c r="E20" i="45"/>
  <c r="L60" i="24"/>
  <c r="D67" i="24" s="1"/>
  <c r="C78" i="17"/>
  <c r="E12" i="45"/>
  <c r="L60" i="14"/>
  <c r="D70" i="14" s="1"/>
  <c r="E13" i="45"/>
  <c r="L60" i="17"/>
  <c r="D67" i="17" s="1"/>
  <c r="E14" i="45"/>
  <c r="L60" i="18"/>
  <c r="E16" i="45"/>
  <c r="L60" i="20"/>
  <c r="E15" i="45"/>
  <c r="L60" i="19"/>
  <c r="D67" i="19" s="1"/>
  <c r="C68" i="13"/>
  <c r="C68" i="16"/>
  <c r="E10" i="45"/>
  <c r="L60" i="16"/>
  <c r="D67" i="16" s="1"/>
  <c r="E11" i="45"/>
  <c r="L60" i="15"/>
  <c r="D67" i="15" s="1"/>
  <c r="E9" i="45"/>
  <c r="L60" i="13"/>
  <c r="D67" i="13" s="1"/>
  <c r="C78" i="15"/>
  <c r="E8" i="45"/>
  <c r="L60" i="12"/>
  <c r="D76" i="12" s="1"/>
  <c r="C68" i="11"/>
  <c r="E7" i="45"/>
  <c r="L60" i="11"/>
  <c r="D67" i="11" s="1"/>
  <c r="L31" i="46"/>
  <c r="L31" i="8"/>
  <c r="I48" i="46"/>
  <c r="I60" i="46" s="1"/>
  <c r="L48" i="10"/>
  <c r="E5" i="45"/>
  <c r="L60" i="10"/>
  <c r="L18" i="46"/>
  <c r="C68" i="10"/>
  <c r="C69" i="10" s="1"/>
  <c r="C78" i="19"/>
  <c r="C68" i="36"/>
  <c r="C78" i="25"/>
  <c r="C78" i="28"/>
  <c r="C78" i="22"/>
  <c r="C68" i="35"/>
  <c r="C68" i="39"/>
  <c r="C68" i="14"/>
  <c r="C77" i="10"/>
  <c r="C79" i="10" s="1"/>
  <c r="C78" i="20"/>
  <c r="C78" i="21"/>
  <c r="C68" i="25"/>
  <c r="C68" i="26"/>
  <c r="C70" i="46"/>
  <c r="C74" i="46" s="1"/>
  <c r="C78" i="13"/>
  <c r="C78" i="29"/>
  <c r="C78" i="30"/>
  <c r="C78" i="32"/>
  <c r="C78" i="34"/>
  <c r="C78" i="35"/>
  <c r="C78" i="36"/>
  <c r="C78" i="37"/>
  <c r="C78" i="38"/>
  <c r="C78" i="39"/>
  <c r="C78" i="40"/>
  <c r="C78" i="43"/>
  <c r="C78" i="44"/>
  <c r="C78" i="42"/>
  <c r="C78" i="41"/>
  <c r="C78" i="18"/>
  <c r="C68" i="44"/>
  <c r="C68" i="40"/>
  <c r="C68" i="38"/>
  <c r="C68" i="30"/>
  <c r="C68" i="29"/>
  <c r="C68" i="28"/>
  <c r="C68" i="27"/>
  <c r="C68" i="24"/>
  <c r="C68" i="23"/>
  <c r="C68" i="20"/>
  <c r="C74" i="44"/>
  <c r="C68" i="43"/>
  <c r="C74" i="43"/>
  <c r="C67" i="42"/>
  <c r="C68" i="42" s="1"/>
  <c r="C74" i="42"/>
  <c r="C67" i="41"/>
  <c r="C68" i="41" s="1"/>
  <c r="C74" i="41"/>
  <c r="C74" i="40"/>
  <c r="C74" i="39"/>
  <c r="C74" i="38"/>
  <c r="C74" i="37"/>
  <c r="C74" i="36"/>
  <c r="C74" i="35"/>
  <c r="C68" i="34"/>
  <c r="C74" i="34"/>
  <c r="C74" i="32"/>
  <c r="C74" i="30"/>
  <c r="C74" i="29"/>
  <c r="C74" i="28"/>
  <c r="C74" i="27"/>
  <c r="C74" i="26"/>
  <c r="C74" i="25"/>
  <c r="C74" i="24"/>
  <c r="C74" i="23"/>
  <c r="C74" i="22"/>
  <c r="C74" i="21"/>
  <c r="C74" i="20"/>
  <c r="C74" i="19"/>
  <c r="C74" i="18"/>
  <c r="C74" i="17"/>
  <c r="C74" i="16"/>
  <c r="C74" i="15"/>
  <c r="C74" i="14"/>
  <c r="C74" i="13"/>
  <c r="C74" i="12"/>
  <c r="C68" i="12"/>
  <c r="C78" i="12"/>
  <c r="C74" i="11"/>
  <c r="C75" i="10"/>
  <c r="D68" i="10" l="1"/>
  <c r="D72" i="10"/>
  <c r="D67" i="18"/>
  <c r="D77" i="18"/>
  <c r="C77" i="46"/>
  <c r="D67" i="42"/>
  <c r="D71" i="42"/>
  <c r="D80" i="38"/>
  <c r="D71" i="38"/>
  <c r="D66" i="32"/>
  <c r="D71" i="32"/>
  <c r="D67" i="25"/>
  <c r="D71" i="25"/>
  <c r="D66" i="20"/>
  <c r="D71" i="20"/>
  <c r="D70" i="30"/>
  <c r="D71" i="30"/>
  <c r="D72" i="13"/>
  <c r="D80" i="14"/>
  <c r="C81" i="14"/>
  <c r="N39" i="45"/>
  <c r="N36" i="59" s="1"/>
  <c r="P36" i="59" s="1"/>
  <c r="E36" i="59"/>
  <c r="G36" i="59" s="1"/>
  <c r="N38" i="45"/>
  <c r="N35" i="59" s="1"/>
  <c r="P35" i="59" s="1"/>
  <c r="E35" i="59"/>
  <c r="G35" i="59" s="1"/>
  <c r="N37" i="45"/>
  <c r="N34" i="59" s="1"/>
  <c r="P34" i="59" s="1"/>
  <c r="E34" i="59"/>
  <c r="G34" i="59" s="1"/>
  <c r="N36" i="45"/>
  <c r="N33" i="59" s="1"/>
  <c r="P33" i="59" s="1"/>
  <c r="E33" i="59"/>
  <c r="G33" i="59" s="1"/>
  <c r="N35" i="45"/>
  <c r="N32" i="59" s="1"/>
  <c r="P32" i="59" s="1"/>
  <c r="E32" i="59"/>
  <c r="G32" i="59" s="1"/>
  <c r="N34" i="45"/>
  <c r="N31" i="59" s="1"/>
  <c r="P31" i="59" s="1"/>
  <c r="E31" i="59"/>
  <c r="G31" i="59" s="1"/>
  <c r="N33" i="45"/>
  <c r="N30" i="59" s="1"/>
  <c r="P30" i="59" s="1"/>
  <c r="E30" i="59"/>
  <c r="G30" i="59" s="1"/>
  <c r="N32" i="45"/>
  <c r="N29" i="59" s="1"/>
  <c r="P29" i="59" s="1"/>
  <c r="E29" i="59"/>
  <c r="G29" i="59" s="1"/>
  <c r="N31" i="45"/>
  <c r="N28" i="59" s="1"/>
  <c r="P28" i="59" s="1"/>
  <c r="E28" i="59"/>
  <c r="G28" i="59" s="1"/>
  <c r="N30" i="45"/>
  <c r="N27" i="59" s="1"/>
  <c r="P27" i="59" s="1"/>
  <c r="E27" i="59"/>
  <c r="G27" i="59" s="1"/>
  <c r="N29" i="45"/>
  <c r="E26" i="59"/>
  <c r="G26" i="59" s="1"/>
  <c r="N27" i="45"/>
  <c r="N24" i="59" s="1"/>
  <c r="P24" i="59" s="1"/>
  <c r="E24" i="59"/>
  <c r="G24" i="59" s="1"/>
  <c r="N26" i="45"/>
  <c r="N23" i="59" s="1"/>
  <c r="P23" i="59" s="1"/>
  <c r="E23" i="59"/>
  <c r="G23" i="59" s="1"/>
  <c r="N25" i="45"/>
  <c r="N22" i="59" s="1"/>
  <c r="P22" i="59" s="1"/>
  <c r="E22" i="59"/>
  <c r="G22" i="59" s="1"/>
  <c r="N24" i="45"/>
  <c r="N21" i="59" s="1"/>
  <c r="P21" i="59" s="1"/>
  <c r="E21" i="59"/>
  <c r="G21" i="59" s="1"/>
  <c r="N23" i="45"/>
  <c r="N20" i="59" s="1"/>
  <c r="P20" i="59" s="1"/>
  <c r="E20" i="59"/>
  <c r="G20" i="59" s="1"/>
  <c r="N22" i="45"/>
  <c r="N19" i="59" s="1"/>
  <c r="P19" i="59" s="1"/>
  <c r="E19" i="59"/>
  <c r="G19" i="59" s="1"/>
  <c r="N21" i="45"/>
  <c r="N18" i="59" s="1"/>
  <c r="P18" i="59" s="1"/>
  <c r="E18" i="59"/>
  <c r="G18" i="59" s="1"/>
  <c r="N20" i="45"/>
  <c r="N17" i="59" s="1"/>
  <c r="P17" i="59" s="1"/>
  <c r="E17" i="59"/>
  <c r="G17" i="59" s="1"/>
  <c r="N19" i="45"/>
  <c r="N16" i="59" s="1"/>
  <c r="P16" i="59" s="1"/>
  <c r="E16" i="59"/>
  <c r="G16" i="59" s="1"/>
  <c r="N18" i="45"/>
  <c r="N15" i="59" s="1"/>
  <c r="P15" i="59" s="1"/>
  <c r="E15" i="59"/>
  <c r="G15" i="59" s="1"/>
  <c r="N17" i="45"/>
  <c r="N14" i="59" s="1"/>
  <c r="P14" i="59" s="1"/>
  <c r="E14" i="59"/>
  <c r="G14" i="59" s="1"/>
  <c r="N16" i="45"/>
  <c r="N13" i="59" s="1"/>
  <c r="P13" i="59" s="1"/>
  <c r="E13" i="59"/>
  <c r="G13" i="59" s="1"/>
  <c r="N15" i="45"/>
  <c r="N12" i="59" s="1"/>
  <c r="P12" i="59" s="1"/>
  <c r="E12" i="59"/>
  <c r="G12" i="59" s="1"/>
  <c r="N14" i="45"/>
  <c r="N11" i="59" s="1"/>
  <c r="P11" i="59" s="1"/>
  <c r="E11" i="59"/>
  <c r="G11" i="59" s="1"/>
  <c r="N13" i="45"/>
  <c r="N10" i="59" s="1"/>
  <c r="P10" i="59" s="1"/>
  <c r="E10" i="59"/>
  <c r="G10" i="59" s="1"/>
  <c r="N12" i="45"/>
  <c r="N9" i="59" s="1"/>
  <c r="P9" i="59" s="1"/>
  <c r="E9" i="59"/>
  <c r="G9" i="59" s="1"/>
  <c r="N11" i="45"/>
  <c r="N8" i="59" s="1"/>
  <c r="P8" i="59" s="1"/>
  <c r="E8" i="59"/>
  <c r="G8" i="59" s="1"/>
  <c r="N10" i="45"/>
  <c r="N7" i="59" s="1"/>
  <c r="P7" i="59" s="1"/>
  <c r="E7" i="59"/>
  <c r="G7" i="59" s="1"/>
  <c r="N7" i="45"/>
  <c r="N4" i="59" s="1"/>
  <c r="P4" i="59" s="1"/>
  <c r="E4" i="59"/>
  <c r="G4" i="59" s="1"/>
  <c r="N9" i="45"/>
  <c r="E6" i="59"/>
  <c r="G6" i="59" s="1"/>
  <c r="N8" i="45"/>
  <c r="E5" i="59"/>
  <c r="G5" i="59" s="1"/>
  <c r="N5" i="45"/>
  <c r="E2" i="59"/>
  <c r="G2" i="59" s="1"/>
  <c r="D70" i="24"/>
  <c r="D77" i="24"/>
  <c r="D66" i="24"/>
  <c r="D68" i="24" s="1"/>
  <c r="D72" i="24"/>
  <c r="D77" i="30"/>
  <c r="D76" i="30"/>
  <c r="D66" i="30"/>
  <c r="D77" i="37"/>
  <c r="D66" i="37"/>
  <c r="D72" i="37"/>
  <c r="D76" i="37"/>
  <c r="D66" i="39"/>
  <c r="D73" i="39"/>
  <c r="D77" i="39"/>
  <c r="D80" i="39"/>
  <c r="C81" i="39"/>
  <c r="D70" i="39"/>
  <c r="C81" i="36"/>
  <c r="D66" i="36"/>
  <c r="D70" i="36"/>
  <c r="D76" i="36"/>
  <c r="D78" i="36" s="1"/>
  <c r="D66" i="27"/>
  <c r="D68" i="27" s="1"/>
  <c r="C81" i="15"/>
  <c r="D80" i="15"/>
  <c r="D77" i="15"/>
  <c r="D72" i="15"/>
  <c r="D73" i="15"/>
  <c r="D76" i="15"/>
  <c r="D66" i="15"/>
  <c r="D68" i="15" s="1"/>
  <c r="D72" i="35"/>
  <c r="D70" i="35"/>
  <c r="D77" i="35"/>
  <c r="D80" i="35"/>
  <c r="D66" i="35"/>
  <c r="D80" i="16"/>
  <c r="D76" i="16"/>
  <c r="D70" i="16"/>
  <c r="D73" i="16"/>
  <c r="C81" i="16"/>
  <c r="D66" i="16"/>
  <c r="D68" i="16" s="1"/>
  <c r="D77" i="16"/>
  <c r="D72" i="16"/>
  <c r="D73" i="18"/>
  <c r="D70" i="18"/>
  <c r="D77" i="34"/>
  <c r="D70" i="34"/>
  <c r="D80" i="34"/>
  <c r="D66" i="34"/>
  <c r="D77" i="21"/>
  <c r="D70" i="21"/>
  <c r="D80" i="21"/>
  <c r="D77" i="14"/>
  <c r="D73" i="14"/>
  <c r="D66" i="14"/>
  <c r="D67" i="14"/>
  <c r="D72" i="19"/>
  <c r="D76" i="19"/>
  <c r="D66" i="19"/>
  <c r="D68" i="19" s="1"/>
  <c r="C81" i="19"/>
  <c r="D70" i="19"/>
  <c r="D73" i="19"/>
  <c r="D77" i="19"/>
  <c r="D80" i="19"/>
  <c r="D67" i="12"/>
  <c r="D66" i="12"/>
  <c r="D70" i="12"/>
  <c r="D73" i="12"/>
  <c r="D77" i="12"/>
  <c r="D78" i="12" s="1"/>
  <c r="D72" i="12"/>
  <c r="D73" i="25"/>
  <c r="D76" i="25"/>
  <c r="D66" i="25"/>
  <c r="D68" i="25" s="1"/>
  <c r="D77" i="25"/>
  <c r="D80" i="25"/>
  <c r="D70" i="25"/>
  <c r="D72" i="38"/>
  <c r="D77" i="38"/>
  <c r="D70" i="38"/>
  <c r="D66" i="38"/>
  <c r="D66" i="22"/>
  <c r="D68" i="22" s="1"/>
  <c r="C81" i="22"/>
  <c r="D70" i="22"/>
  <c r="D73" i="22"/>
  <c r="D77" i="22"/>
  <c r="D80" i="22"/>
  <c r="D72" i="22"/>
  <c r="D76" i="22"/>
  <c r="C81" i="11"/>
  <c r="D70" i="11"/>
  <c r="D73" i="11"/>
  <c r="D72" i="11"/>
  <c r="D76" i="11"/>
  <c r="D77" i="11"/>
  <c r="D66" i="11"/>
  <c r="D68" i="11" s="1"/>
  <c r="C81" i="32"/>
  <c r="D76" i="32"/>
  <c r="D77" i="32"/>
  <c r="D73" i="23"/>
  <c r="D80" i="23"/>
  <c r="C81" i="23"/>
  <c r="D72" i="44"/>
  <c r="D77" i="44"/>
  <c r="D66" i="44"/>
  <c r="D80" i="44"/>
  <c r="D73" i="17"/>
  <c r="D80" i="17"/>
  <c r="D72" i="17"/>
  <c r="D66" i="17"/>
  <c r="D68" i="17" s="1"/>
  <c r="D76" i="17"/>
  <c r="C81" i="17"/>
  <c r="D70" i="26"/>
  <c r="D77" i="26"/>
  <c r="D73" i="26"/>
  <c r="C81" i="26"/>
  <c r="D66" i="28"/>
  <c r="D68" i="28" s="1"/>
  <c r="D77" i="29"/>
  <c r="D66" i="29"/>
  <c r="D80" i="29"/>
  <c r="D70" i="29"/>
  <c r="D73" i="29"/>
  <c r="D67" i="44"/>
  <c r="D73" i="44"/>
  <c r="D76" i="44"/>
  <c r="D77" i="43"/>
  <c r="D66" i="43"/>
  <c r="D72" i="43"/>
  <c r="D67" i="43"/>
  <c r="D76" i="43"/>
  <c r="D73" i="43"/>
  <c r="D80" i="43"/>
  <c r="D66" i="40"/>
  <c r="D72" i="40"/>
  <c r="D67" i="40"/>
  <c r="D76" i="40"/>
  <c r="D73" i="40"/>
  <c r="D80" i="40"/>
  <c r="D77" i="40"/>
  <c r="D76" i="39"/>
  <c r="D67" i="39"/>
  <c r="D73" i="38"/>
  <c r="D67" i="38"/>
  <c r="D76" i="38"/>
  <c r="D67" i="37"/>
  <c r="D73" i="37"/>
  <c r="D80" i="37"/>
  <c r="D80" i="36"/>
  <c r="D73" i="36"/>
  <c r="D72" i="36"/>
  <c r="D67" i="36"/>
  <c r="C81" i="35"/>
  <c r="D76" i="35"/>
  <c r="D67" i="35"/>
  <c r="D73" i="34"/>
  <c r="D76" i="34"/>
  <c r="D67" i="34"/>
  <c r="D70" i="32"/>
  <c r="D72" i="32"/>
  <c r="D73" i="32"/>
  <c r="D80" i="32"/>
  <c r="D67" i="32"/>
  <c r="D73" i="30"/>
  <c r="D80" i="30"/>
  <c r="D67" i="30"/>
  <c r="D72" i="30"/>
  <c r="D67" i="29"/>
  <c r="D68" i="29" s="1"/>
  <c r="D76" i="29"/>
  <c r="D76" i="26"/>
  <c r="D72" i="26"/>
  <c r="D67" i="26"/>
  <c r="D68" i="26" s="1"/>
  <c r="D73" i="28"/>
  <c r="D72" i="27"/>
  <c r="D77" i="28"/>
  <c r="C81" i="27"/>
  <c r="D70" i="27"/>
  <c r="D80" i="28"/>
  <c r="D72" i="25"/>
  <c r="D72" i="28"/>
  <c r="D73" i="27"/>
  <c r="D80" i="27"/>
  <c r="D70" i="28"/>
  <c r="D76" i="28"/>
  <c r="D76" i="27"/>
  <c r="D77" i="27"/>
  <c r="D80" i="26"/>
  <c r="D76" i="23"/>
  <c r="D70" i="23"/>
  <c r="D77" i="23"/>
  <c r="D76" i="24"/>
  <c r="D80" i="24"/>
  <c r="D67" i="23"/>
  <c r="D68" i="23" s="1"/>
  <c r="D72" i="23"/>
  <c r="D73" i="21"/>
  <c r="D67" i="21"/>
  <c r="D68" i="21" s="1"/>
  <c r="D76" i="21"/>
  <c r="D72" i="21"/>
  <c r="D80" i="18"/>
  <c r="D76" i="18"/>
  <c r="D66" i="18"/>
  <c r="C81" i="18"/>
  <c r="D67" i="20"/>
  <c r="D68" i="20" s="1"/>
  <c r="D76" i="20"/>
  <c r="D73" i="20"/>
  <c r="C81" i="20"/>
  <c r="D72" i="20"/>
  <c r="D70" i="20"/>
  <c r="D80" i="20"/>
  <c r="D72" i="14"/>
  <c r="D76" i="14"/>
  <c r="D77" i="20"/>
  <c r="D66" i="13"/>
  <c r="D68" i="13" s="1"/>
  <c r="D70" i="13"/>
  <c r="D73" i="13"/>
  <c r="D76" i="13"/>
  <c r="D77" i="13"/>
  <c r="D80" i="13"/>
  <c r="B10" i="50"/>
  <c r="C76" i="46"/>
  <c r="D48" i="46"/>
  <c r="L48" i="46" s="1"/>
  <c r="D74" i="10"/>
  <c r="D78" i="10"/>
  <c r="D71" i="10"/>
  <c r="C81" i="37"/>
  <c r="D81" i="10"/>
  <c r="C82" i="10"/>
  <c r="D73" i="10"/>
  <c r="C81" i="21"/>
  <c r="C81" i="30"/>
  <c r="D77" i="10"/>
  <c r="C81" i="13"/>
  <c r="C81" i="25"/>
  <c r="D67" i="10"/>
  <c r="D69" i="10" s="1"/>
  <c r="C81" i="44"/>
  <c r="C81" i="29"/>
  <c r="C81" i="28"/>
  <c r="C81" i="24"/>
  <c r="C81" i="38"/>
  <c r="C81" i="34"/>
  <c r="C81" i="42"/>
  <c r="C81" i="41"/>
  <c r="C81" i="40"/>
  <c r="C81" i="43"/>
  <c r="D73" i="42"/>
  <c r="D77" i="42"/>
  <c r="D80" i="42"/>
  <c r="D72" i="42"/>
  <c r="D76" i="42"/>
  <c r="D66" i="42"/>
  <c r="D68" i="42" s="1"/>
  <c r="D70" i="42"/>
  <c r="D73" i="41"/>
  <c r="D77" i="41"/>
  <c r="D80" i="41"/>
  <c r="D72" i="41"/>
  <c r="D76" i="41"/>
  <c r="D66" i="41"/>
  <c r="D68" i="41" s="1"/>
  <c r="D70" i="41"/>
  <c r="C81" i="12"/>
  <c r="C48" i="8"/>
  <c r="K48" i="8"/>
  <c r="K60" i="8" s="1"/>
  <c r="J48" i="8"/>
  <c r="J60" i="8" s="1"/>
  <c r="L6" i="45" s="1"/>
  <c r="L40" i="45" s="1"/>
  <c r="H48" i="8"/>
  <c r="H60" i="8" s="1"/>
  <c r="G48" i="8"/>
  <c r="G60" i="8" s="1"/>
  <c r="I6" i="45" s="1"/>
  <c r="D68" i="18" l="1"/>
  <c r="C78" i="46"/>
  <c r="D68" i="32"/>
  <c r="D78" i="24"/>
  <c r="D74" i="14"/>
  <c r="D74" i="17"/>
  <c r="D78" i="38"/>
  <c r="D78" i="35"/>
  <c r="D74" i="18"/>
  <c r="N26" i="59"/>
  <c r="P26" i="59" s="1"/>
  <c r="N6" i="59"/>
  <c r="P6" i="59" s="1"/>
  <c r="N5" i="59"/>
  <c r="P5" i="59" s="1"/>
  <c r="I40" i="45"/>
  <c r="K3" i="59"/>
  <c r="M3" i="59" s="1"/>
  <c r="N2" i="59"/>
  <c r="P2" i="59" s="1"/>
  <c r="D74" i="24"/>
  <c r="D81" i="24" s="1"/>
  <c r="D78" i="40"/>
  <c r="D68" i="30"/>
  <c r="D78" i="30"/>
  <c r="D74" i="30"/>
  <c r="D78" i="37"/>
  <c r="D68" i="37"/>
  <c r="D74" i="37"/>
  <c r="D74" i="39"/>
  <c r="D78" i="39"/>
  <c r="D68" i="39"/>
  <c r="D74" i="13"/>
  <c r="D78" i="13"/>
  <c r="D68" i="36"/>
  <c r="D74" i="36"/>
  <c r="D74" i="43"/>
  <c r="D78" i="43"/>
  <c r="D74" i="15"/>
  <c r="D78" i="15"/>
  <c r="D74" i="35"/>
  <c r="D68" i="35"/>
  <c r="D74" i="16"/>
  <c r="D78" i="16"/>
  <c r="D78" i="18"/>
  <c r="D78" i="20"/>
  <c r="D74" i="20"/>
  <c r="D78" i="34"/>
  <c r="D74" i="34"/>
  <c r="D68" i="34"/>
  <c r="D78" i="21"/>
  <c r="D74" i="21"/>
  <c r="D68" i="14"/>
  <c r="D78" i="14"/>
  <c r="D78" i="19"/>
  <c r="D74" i="19"/>
  <c r="D74" i="12"/>
  <c r="D68" i="12"/>
  <c r="D74" i="25"/>
  <c r="D78" i="25"/>
  <c r="D74" i="38"/>
  <c r="D68" i="38"/>
  <c r="D78" i="22"/>
  <c r="D74" i="22"/>
  <c r="D74" i="11"/>
  <c r="D78" i="11"/>
  <c r="D74" i="32"/>
  <c r="D78" i="32"/>
  <c r="D78" i="23"/>
  <c r="D74" i="23"/>
  <c r="D78" i="44"/>
  <c r="D74" i="44"/>
  <c r="D68" i="44"/>
  <c r="D78" i="17"/>
  <c r="D74" i="26"/>
  <c r="D78" i="26"/>
  <c r="D78" i="28"/>
  <c r="D78" i="29"/>
  <c r="D74" i="29"/>
  <c r="D79" i="10"/>
  <c r="C60" i="8"/>
  <c r="C66" i="8" s="1"/>
  <c r="D68" i="43"/>
  <c r="D74" i="40"/>
  <c r="D68" i="40"/>
  <c r="D74" i="28"/>
  <c r="D81" i="28" s="1"/>
  <c r="D78" i="27"/>
  <c r="D74" i="27"/>
  <c r="D60" i="46"/>
  <c r="L60" i="46" s="1"/>
  <c r="D71" i="46" s="1"/>
  <c r="D75" i="10"/>
  <c r="C80" i="8"/>
  <c r="M6" i="45"/>
  <c r="C73" i="8"/>
  <c r="J6" i="45"/>
  <c r="D74" i="42"/>
  <c r="D78" i="42"/>
  <c r="D74" i="41"/>
  <c r="D78" i="41"/>
  <c r="I48" i="8"/>
  <c r="I60" i="8" s="1"/>
  <c r="K6" i="45" s="1"/>
  <c r="D48" i="8"/>
  <c r="D60" i="8" s="1"/>
  <c r="F6" i="45" s="1"/>
  <c r="C72" i="8"/>
  <c r="C77" i="8"/>
  <c r="C59" i="49" l="1"/>
  <c r="C56" i="56"/>
  <c r="C54" i="49"/>
  <c r="C51" i="56"/>
  <c r="D81" i="17"/>
  <c r="D81" i="18"/>
  <c r="D81" i="40"/>
  <c r="D81" i="27"/>
  <c r="E6" i="45"/>
  <c r="N6" i="45" s="1"/>
  <c r="D82" i="10"/>
  <c r="G40" i="45"/>
  <c r="M40" i="45"/>
  <c r="K37" i="59"/>
  <c r="M37" i="59" s="1"/>
  <c r="F40" i="45"/>
  <c r="J40" i="45"/>
  <c r="K40" i="45"/>
  <c r="D81" i="30"/>
  <c r="D81" i="37"/>
  <c r="D81" i="39"/>
  <c r="D81" i="13"/>
  <c r="D81" i="36"/>
  <c r="D81" i="43"/>
  <c r="D81" i="15"/>
  <c r="D81" i="35"/>
  <c r="D81" i="16"/>
  <c r="D81" i="20"/>
  <c r="D81" i="34"/>
  <c r="D81" i="21"/>
  <c r="D81" i="14"/>
  <c r="D81" i="19"/>
  <c r="D81" i="12"/>
  <c r="D81" i="25"/>
  <c r="D81" i="38"/>
  <c r="D81" i="22"/>
  <c r="D81" i="11"/>
  <c r="D81" i="32"/>
  <c r="D81" i="23"/>
  <c r="D81" i="44"/>
  <c r="D81" i="26"/>
  <c r="D81" i="29"/>
  <c r="L48" i="8"/>
  <c r="L60" i="8"/>
  <c r="C67" i="46"/>
  <c r="D72" i="46"/>
  <c r="D66" i="46"/>
  <c r="D80" i="46"/>
  <c r="D77" i="46"/>
  <c r="D73" i="46"/>
  <c r="D76" i="46"/>
  <c r="D70" i="46"/>
  <c r="D67" i="46"/>
  <c r="D81" i="42"/>
  <c r="D81" i="41"/>
  <c r="C70" i="8"/>
  <c r="C74" i="8" s="1"/>
  <c r="C76" i="8"/>
  <c r="C78" i="8" s="1"/>
  <c r="C67" i="8"/>
  <c r="C68" i="8" s="1"/>
  <c r="E3" i="59" l="1"/>
  <c r="E40" i="45"/>
  <c r="N40" i="45" s="1"/>
  <c r="C55" i="49"/>
  <c r="C52" i="56"/>
  <c r="C52" i="49"/>
  <c r="C49" i="56"/>
  <c r="C58" i="49"/>
  <c r="C55" i="56"/>
  <c r="C49" i="49"/>
  <c r="C46" i="56"/>
  <c r="C62" i="49"/>
  <c r="C59" i="56"/>
  <c r="N3" i="59"/>
  <c r="P3" i="59" s="1"/>
  <c r="C68" i="46"/>
  <c r="C81" i="46" s="1"/>
  <c r="D78" i="46"/>
  <c r="D74" i="46"/>
  <c r="D68" i="46"/>
  <c r="C81" i="8"/>
  <c r="D77" i="8"/>
  <c r="D76" i="8"/>
  <c r="D80" i="8"/>
  <c r="D66" i="8"/>
  <c r="D73" i="8"/>
  <c r="D72" i="8"/>
  <c r="D67" i="8"/>
  <c r="D70" i="8"/>
  <c r="E37" i="59" l="1"/>
  <c r="G37" i="59" s="1"/>
  <c r="G3" i="59"/>
  <c r="C48" i="49"/>
  <c r="C50" i="49" s="1"/>
  <c r="C45" i="56"/>
  <c r="C47" i="56" s="1"/>
  <c r="C60" i="49"/>
  <c r="C56" i="49"/>
  <c r="C57" i="56"/>
  <c r="C53" i="56"/>
  <c r="N37" i="59"/>
  <c r="P37" i="59" s="1"/>
  <c r="D81" i="46"/>
  <c r="D68" i="8"/>
  <c r="D74" i="8"/>
  <c r="D78" i="8"/>
  <c r="C63" i="49" l="1"/>
  <c r="D58" i="49" s="1"/>
  <c r="C60" i="56"/>
  <c r="D51" i="56" s="1"/>
  <c r="D81" i="8"/>
  <c r="L48" i="13"/>
  <c r="L48" i="22"/>
  <c r="D46" i="56" l="1"/>
  <c r="D54" i="49"/>
  <c r="D59" i="56"/>
  <c r="D59" i="49"/>
  <c r="D60" i="49" s="1"/>
  <c r="D50" i="56"/>
  <c r="D49" i="56"/>
  <c r="D55" i="49"/>
  <c r="D49" i="49"/>
  <c r="D48" i="49"/>
  <c r="D56" i="56"/>
  <c r="D52" i="49"/>
  <c r="D55" i="56"/>
  <c r="D53" i="49"/>
  <c r="D45" i="56"/>
  <c r="D62" i="49"/>
  <c r="D52" i="56"/>
  <c r="D47" i="56" l="1"/>
  <c r="D50" i="49"/>
  <c r="D53" i="56"/>
  <c r="D56" i="49"/>
  <c r="D57" i="56"/>
  <c r="D63" i="49" l="1"/>
  <c r="D60" i="56"/>
</calcChain>
</file>

<file path=xl/comments1.xml><?xml version="1.0" encoding="utf-8"?>
<comments xmlns="http://schemas.openxmlformats.org/spreadsheetml/2006/main">
  <authors>
    <author>Messer, Charles G  (DOH)</author>
    <author>Kennedy, Britni (DOH)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Messer, Charles G  (DOH):</t>
        </r>
        <r>
          <rPr>
            <sz val="9"/>
            <color indexed="81"/>
            <rFont val="Tahoma"/>
            <family val="2"/>
          </rPr>
          <t xml:space="preserve">
INPUT IS TO EACH OF THE 35 LHJ WORKSEETS ONLY.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Kennedy, Britni (DOH):</t>
        </r>
        <r>
          <rPr>
            <sz val="9"/>
            <color indexed="81"/>
            <rFont val="Tahoma"/>
            <family val="2"/>
          </rPr>
          <t xml:space="preserve">
FOR 2018 REPORT:
Replace 0's with correct formula</t>
        </r>
      </text>
    </comment>
  </commentList>
</comments>
</file>

<file path=xl/comments2.xml><?xml version="1.0" encoding="utf-8"?>
<comments xmlns="http://schemas.openxmlformats.org/spreadsheetml/2006/main">
  <authors>
    <author>Kennedy, Britni (DOH)</author>
  </authors>
  <commentList>
    <comment ref="K48" authorId="0" shapeId="0">
      <text>
        <r>
          <rPr>
            <b/>
            <sz val="9"/>
            <color indexed="81"/>
            <rFont val="Tahoma"/>
            <family val="2"/>
          </rPr>
          <t>Kennedy, Britni (DOH):</t>
        </r>
        <r>
          <rPr>
            <sz val="9"/>
            <color indexed="81"/>
            <rFont val="Tahoma"/>
            <family val="2"/>
          </rPr>
          <t xml:space="preserve">
For 2018 Report - correct formula</t>
        </r>
      </text>
    </comment>
  </commentList>
</comments>
</file>

<file path=xl/sharedStrings.xml><?xml version="1.0" encoding="utf-8"?>
<sst xmlns="http://schemas.openxmlformats.org/spreadsheetml/2006/main" count="3900" uniqueCount="176">
  <si>
    <t>Total Expenditures</t>
  </si>
  <si>
    <t>State from DOH</t>
  </si>
  <si>
    <t>County Public Health Assistance</t>
  </si>
  <si>
    <t xml:space="preserve">State from Other </t>
  </si>
  <si>
    <t>Federal through DOH</t>
  </si>
  <si>
    <t>Federal from Other</t>
  </si>
  <si>
    <t>Licenses, Permits &amp; Fees</t>
  </si>
  <si>
    <t>FTE Count</t>
  </si>
  <si>
    <t>Misc/Fund Balance/ Other</t>
  </si>
  <si>
    <t>Administration/Policy Development</t>
  </si>
  <si>
    <t>Oral Health</t>
  </si>
  <si>
    <t>Immunization</t>
  </si>
  <si>
    <t>Tuberculosis</t>
  </si>
  <si>
    <t>HIV/AIDS</t>
  </si>
  <si>
    <t>Other Communicable Disease</t>
  </si>
  <si>
    <t>Cardiovascular Risk Reduction</t>
  </si>
  <si>
    <t>Obesity</t>
  </si>
  <si>
    <t>Drinking Water Quality</t>
  </si>
  <si>
    <t>Vector</t>
  </si>
  <si>
    <t>Food</t>
  </si>
  <si>
    <t>Environmental Water Quality</t>
  </si>
  <si>
    <t>Vital Records</t>
  </si>
  <si>
    <t>Laboratory</t>
  </si>
  <si>
    <t>General Health Education</t>
  </si>
  <si>
    <t>Pharmacy</t>
  </si>
  <si>
    <t>Epidemiology</t>
  </si>
  <si>
    <t>Assessment Activities</t>
  </si>
  <si>
    <t>Miscellaneous</t>
  </si>
  <si>
    <t>CHILD Profile</t>
  </si>
  <si>
    <t>Public Health Sub-Total</t>
  </si>
  <si>
    <t>Corrections Services</t>
  </si>
  <si>
    <t>Emergency Services</t>
  </si>
  <si>
    <t>Juvenile Services</t>
  </si>
  <si>
    <t>Medicaid Outreach</t>
  </si>
  <si>
    <t>Aging Services</t>
  </si>
  <si>
    <t>Coroner Services</t>
  </si>
  <si>
    <t>Mental/Physical Health</t>
  </si>
  <si>
    <t>Substance Abuse</t>
  </si>
  <si>
    <t>Developmental Disabilities</t>
  </si>
  <si>
    <t>Percentage</t>
  </si>
  <si>
    <t>State from Other</t>
  </si>
  <si>
    <t>Total</t>
  </si>
  <si>
    <t>Amount</t>
  </si>
  <si>
    <t>Family Planning Non-Title X</t>
  </si>
  <si>
    <t>Family Planning Title X</t>
  </si>
  <si>
    <t>Other Family &amp; Individual Health</t>
  </si>
  <si>
    <t>Other Non-Communicable Disease</t>
  </si>
  <si>
    <t>Living Environment</t>
  </si>
  <si>
    <t>Other Environmental Health</t>
  </si>
  <si>
    <t>Services Performed by Other Agency</t>
  </si>
  <si>
    <t>Emergency Preparedness and Response</t>
  </si>
  <si>
    <t>Maternal/Infant/Child/Adolescent Health</t>
  </si>
  <si>
    <t>Children with Special Health Care Needs</t>
  </si>
  <si>
    <t>Women, Infant, Children (WIC)</t>
  </si>
  <si>
    <t>Sexually Transmitted Diseases</t>
  </si>
  <si>
    <t>Cancer Prevention and Control</t>
  </si>
  <si>
    <t>Tobacco Prevention and Control</t>
  </si>
  <si>
    <t>Violence and Injury Prevention</t>
  </si>
  <si>
    <t>Solid and Hazardous Waste</t>
  </si>
  <si>
    <t>OSS and Land Development</t>
  </si>
  <si>
    <t>Chemical and Physical</t>
  </si>
  <si>
    <t>CPS/EIP/ARS/MAA</t>
  </si>
  <si>
    <t>Local Government Contributions</t>
  </si>
  <si>
    <t>562</t>
  </si>
  <si>
    <t>Expenditure Code Title</t>
  </si>
  <si>
    <t>Exp. Code</t>
  </si>
  <si>
    <t>Other Classified Expenditures</t>
  </si>
  <si>
    <t>State</t>
  </si>
  <si>
    <t>Federal</t>
  </si>
  <si>
    <t>Local</t>
  </si>
  <si>
    <t>Other</t>
  </si>
  <si>
    <t>EXPENDITURE SUMMARY</t>
  </si>
  <si>
    <t>Adams</t>
  </si>
  <si>
    <t>Benton-Franklin</t>
  </si>
  <si>
    <t>Chelan-Douglas</t>
  </si>
  <si>
    <t>Basis of Accounting</t>
  </si>
  <si>
    <t>FTE's</t>
  </si>
  <si>
    <t>Asotin</t>
  </si>
  <si>
    <t>Clallam</t>
  </si>
  <si>
    <t>Clark</t>
  </si>
  <si>
    <t>Columbia</t>
  </si>
  <si>
    <t>Cowlitz</t>
  </si>
  <si>
    <t>Garfield</t>
  </si>
  <si>
    <t>Grant</t>
  </si>
  <si>
    <t>Grays Harbor</t>
  </si>
  <si>
    <t>Island</t>
  </si>
  <si>
    <t>Jefferson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</si>
  <si>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</si>
  <si>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</si>
  <si>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</si>
  <si>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</si>
  <si>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</si>
  <si>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</si>
  <si>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</si>
  <si>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</si>
  <si>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San Juan</t>
  </si>
  <si>
    <t>Seattle-King</t>
  </si>
  <si>
    <t>Skagit</t>
  </si>
  <si>
    <t>Skamania</t>
  </si>
  <si>
    <t>Snohomish</t>
  </si>
  <si>
    <t>Spokane</t>
  </si>
  <si>
    <t>Tacoma-Pierce</t>
  </si>
  <si>
    <t>Thurston</t>
  </si>
  <si>
    <t>Wahkiakim</t>
  </si>
  <si>
    <t>Walla Walla</t>
  </si>
  <si>
    <t>Whatcom</t>
  </si>
  <si>
    <t>Whitman</t>
  </si>
  <si>
    <t>Yakima</t>
  </si>
  <si>
    <t>Misc/Fund Balance/Other</t>
  </si>
  <si>
    <t>Revenue from State</t>
  </si>
  <si>
    <t>Revenue from Federal</t>
  </si>
  <si>
    <t>Revenue from Local</t>
  </si>
  <si>
    <t>334.04.91</t>
  </si>
  <si>
    <t>336.04.24</t>
  </si>
  <si>
    <t>334's (not DOH)</t>
  </si>
  <si>
    <t>333's</t>
  </si>
  <si>
    <t>331's</t>
  </si>
  <si>
    <t>310's</t>
  </si>
  <si>
    <t>320's</t>
  </si>
  <si>
    <t>200's</t>
  </si>
  <si>
    <t>334.04.93</t>
  </si>
  <si>
    <t>335's</t>
  </si>
  <si>
    <t>339's</t>
  </si>
  <si>
    <t>332's</t>
  </si>
  <si>
    <t>333's (not DOH)</t>
  </si>
  <si>
    <t>390's</t>
  </si>
  <si>
    <t>350's</t>
  </si>
  <si>
    <t>360's (except 368)</t>
  </si>
  <si>
    <t>334.04.95</t>
  </si>
  <si>
    <t>339's (not DOH)</t>
  </si>
  <si>
    <t>370's</t>
  </si>
  <si>
    <t>380's</t>
  </si>
  <si>
    <t>334.04.96</t>
  </si>
  <si>
    <t>334.04.98</t>
  </si>
  <si>
    <t>Local Government Contribution</t>
  </si>
  <si>
    <t>Licenses Permits &amp; Fees</t>
  </si>
  <si>
    <t>Federal from DOH</t>
  </si>
  <si>
    <t>Cash</t>
  </si>
  <si>
    <t>Accrual</t>
  </si>
  <si>
    <t>LHJ</t>
  </si>
  <si>
    <t>Population</t>
  </si>
  <si>
    <t>Northeast Tri</t>
  </si>
  <si>
    <t>Wahkiakum</t>
  </si>
  <si>
    <t>Basis of Accounting:</t>
  </si>
  <si>
    <t xml:space="preserve">Basis of Accounting: </t>
  </si>
  <si>
    <t>FPHS Communication</t>
  </si>
  <si>
    <t>FPHS Policy Development and Support</t>
  </si>
  <si>
    <t>FPHS Community Partnership Development</t>
  </si>
  <si>
    <t>FPHS Business Competencies</t>
  </si>
  <si>
    <t>FPHS Technology</t>
  </si>
  <si>
    <t>FPHS</t>
  </si>
  <si>
    <t>OFM April 2017 Population Estimate</t>
  </si>
  <si>
    <t>Early Childhood Education</t>
  </si>
  <si>
    <t>336.04.25</t>
  </si>
  <si>
    <t>0</t>
  </si>
  <si>
    <t>0%</t>
  </si>
  <si>
    <t>Child Profile</t>
  </si>
  <si>
    <t>Foundational Public Health Services</t>
  </si>
  <si>
    <t>Local Funded Expenditures</t>
  </si>
  <si>
    <t>State Funded Expenditures</t>
  </si>
  <si>
    <t>Federal Funded Expenditures</t>
  </si>
  <si>
    <t>Other Funded Expenditures</t>
  </si>
  <si>
    <t>LHJ FTEs</t>
  </si>
  <si>
    <t>Local Gov. Contribution</t>
  </si>
  <si>
    <t>Local Gov. Contribution Per Capita</t>
  </si>
  <si>
    <t>FPHS Per Capita</t>
  </si>
  <si>
    <t>CPHA Per Capita</t>
  </si>
  <si>
    <t>Population Per FTE</t>
  </si>
  <si>
    <t xml:space="preserve">Northeast Tri </t>
  </si>
  <si>
    <t>340's</t>
  </si>
  <si>
    <t>336's (other than 336.04.24 &amp; 336.04.25)</t>
  </si>
  <si>
    <t>Total Expenditures Per Capita</t>
  </si>
  <si>
    <t>TOTAL/AVERAGE</t>
  </si>
  <si>
    <t>Revenue from Other</t>
  </si>
  <si>
    <t>OFM April 2017 Population Estimate:</t>
  </si>
  <si>
    <t>FTE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</si>
</sst>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0.0"/>
    <numFmt numFmtId="169" formatCode="_(* #,##0.0_);_(* \(#,##0.0\);_(* &quot;-&quot;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sz val="10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Verdana"/>
      <family val="2"/>
    </font>
    <font>
      <sz val="11"/>
      <color theme="1"/>
      <name val="Verdana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.5"/>
      <name val="Arial"/>
      <family val="2"/>
    </font>
    <font>
      <sz val="9.5"/>
      <color theme="1"/>
      <name val="Times New Roman"/>
      <family val="1"/>
    </font>
    <font>
      <sz val="9.5"/>
      <color theme="1"/>
      <name val="Arial"/>
      <family val="2"/>
    </font>
    <font>
      <sz val="9.5"/>
      <color theme="1"/>
      <name val="Verdana"/>
      <family val="2"/>
    </font>
    <font>
      <b/>
      <sz val="9.5"/>
      <name val="Arial"/>
      <family val="2"/>
    </font>
    <font>
      <b/>
      <sz val="11"/>
      <color theme="1"/>
      <name val="Arial"/>
      <family val="2"/>
    </font>
    <font>
      <sz val="9.5"/>
      <color theme="0"/>
      <name val="Arial"/>
      <family val="2"/>
    </font>
    <font>
      <b/>
      <sz val="9.5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Fill="0" applyBorder="0" applyAlignment="0" applyProtection="0"/>
    <xf numFmtId="0" fontId="7" fillId="26" borderId="0" applyNumberFormat="0" applyBorder="0" applyAlignment="0" applyProtection="0"/>
    <xf numFmtId="0" fontId="8" fillId="27" borderId="32" applyNumberFormat="0" applyAlignment="0" applyProtection="0"/>
    <xf numFmtId="0" fontId="9" fillId="28" borderId="3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4" fillId="0" borderId="3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32" applyNumberFormat="0" applyAlignment="0" applyProtection="0"/>
    <xf numFmtId="0" fontId="17" fillId="0" borderId="37" applyNumberFormat="0" applyFill="0" applyAlignment="0" applyProtection="0"/>
    <xf numFmtId="0" fontId="18" fillId="31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5" fillId="32" borderId="38" applyNumberFormat="0" applyFont="0" applyAlignment="0" applyProtection="0"/>
    <xf numFmtId="0" fontId="19" fillId="27" borderId="39" applyNumberForma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0" applyNumberFormat="0" applyFill="0" applyAlignment="0" applyProtection="0"/>
    <xf numFmtId="0" fontId="2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589">
    <xf numFmtId="0" fontId="0" fillId="0" borderId="0" xfId="0"/>
    <xf numFmtId="2" fontId="1" fillId="0" borderId="0" xfId="51" applyNumberFormat="1" applyFont="1"/>
    <xf numFmtId="2" fontId="1" fillId="0" borderId="49" xfId="51" applyNumberFormat="1" applyFont="1" applyBorder="1"/>
    <xf numFmtId="43" fontId="1" fillId="0" borderId="0" xfId="50" applyFont="1"/>
    <xf numFmtId="166" fontId="1" fillId="0" borderId="49" xfId="50" applyNumberFormat="1" applyFont="1" applyBorder="1"/>
    <xf numFmtId="166" fontId="0" fillId="0" borderId="0" xfId="50" applyNumberFormat="1" applyFont="1"/>
    <xf numFmtId="0" fontId="21" fillId="0" borderId="0" xfId="0" applyFont="1"/>
    <xf numFmtId="166" fontId="21" fillId="0" borderId="0" xfId="50" applyNumberFormat="1" applyFont="1"/>
    <xf numFmtId="0" fontId="24" fillId="0" borderId="0" xfId="42" applyFont="1"/>
    <xf numFmtId="3" fontId="24" fillId="0" borderId="0" xfId="42" applyNumberFormat="1" applyFont="1" applyBorder="1"/>
    <xf numFmtId="0" fontId="24" fillId="0" borderId="0" xfId="42" applyFont="1" applyBorder="1"/>
    <xf numFmtId="0" fontId="25" fillId="0" borderId="0" xfId="0" applyFont="1"/>
    <xf numFmtId="165" fontId="25" fillId="0" borderId="0" xfId="50" applyNumberFormat="1" applyFont="1"/>
    <xf numFmtId="0" fontId="25" fillId="0" borderId="0" xfId="0" applyFont="1" applyAlignment="1">
      <alignment horizontal="center"/>
    </xf>
    <xf numFmtId="0" fontId="25" fillId="33" borderId="0" xfId="0" applyFont="1" applyFill="1"/>
    <xf numFmtId="0" fontId="25" fillId="0" borderId="0" xfId="0" applyFont="1" applyBorder="1"/>
    <xf numFmtId="165" fontId="25" fillId="0" borderId="0" xfId="50" applyNumberFormat="1" applyFont="1" applyBorder="1"/>
    <xf numFmtId="0" fontId="27" fillId="0" borderId="0" xfId="42" applyFont="1"/>
    <xf numFmtId="2" fontId="27" fillId="0" borderId="0" xfId="51" applyNumberFormat="1" applyFont="1"/>
    <xf numFmtId="0" fontId="27" fillId="33" borderId="0" xfId="43" applyFont="1" applyFill="1"/>
    <xf numFmtId="0" fontId="25" fillId="33" borderId="0" xfId="0" applyFont="1" applyFill="1" applyAlignment="1"/>
    <xf numFmtId="0" fontId="27" fillId="0" borderId="3" xfId="42" applyFont="1" applyBorder="1" applyAlignment="1">
      <alignment horizontal="center" wrapText="1"/>
    </xf>
    <xf numFmtId="0" fontId="27" fillId="0" borderId="5" xfId="42" applyFont="1" applyBorder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wrapText="1"/>
    </xf>
    <xf numFmtId="0" fontId="29" fillId="0" borderId="0" xfId="55" applyFont="1"/>
    <xf numFmtId="0" fontId="28" fillId="0" borderId="0" xfId="55" applyFont="1"/>
    <xf numFmtId="0" fontId="25" fillId="0" borderId="0" xfId="0" applyFont="1" applyAlignment="1"/>
    <xf numFmtId="0" fontId="25" fillId="33" borderId="0" xfId="0" applyFont="1" applyFill="1" applyBorder="1"/>
    <xf numFmtId="0" fontId="27" fillId="33" borderId="49" xfId="42" applyFont="1" applyFill="1" applyBorder="1" applyAlignment="1">
      <alignment horizontal="center" wrapText="1"/>
    </xf>
    <xf numFmtId="0" fontId="27" fillId="0" borderId="30" xfId="42" applyFont="1" applyBorder="1" applyAlignment="1">
      <alignment horizontal="center" wrapText="1"/>
    </xf>
    <xf numFmtId="0" fontId="27" fillId="0" borderId="46" xfId="42" applyFont="1" applyBorder="1" applyAlignment="1">
      <alignment horizontal="center" wrapText="1"/>
    </xf>
    <xf numFmtId="0" fontId="27" fillId="0" borderId="53" xfId="42" applyFont="1" applyBorder="1" applyAlignment="1">
      <alignment horizontal="center" wrapText="1"/>
    </xf>
    <xf numFmtId="0" fontId="27" fillId="33" borderId="59" xfId="42" applyFont="1" applyFill="1" applyBorder="1" applyAlignment="1">
      <alignment horizontal="center" wrapText="1"/>
    </xf>
    <xf numFmtId="0" fontId="27" fillId="0" borderId="58" xfId="42" applyFont="1" applyBorder="1" applyAlignment="1">
      <alignment horizontal="center" wrapText="1"/>
    </xf>
    <xf numFmtId="0" fontId="27" fillId="0" borderId="71" xfId="42" applyFont="1" applyBorder="1" applyAlignment="1">
      <alignment horizontal="center" wrapText="1"/>
    </xf>
    <xf numFmtId="0" fontId="27" fillId="33" borderId="70" xfId="42" applyFont="1" applyFill="1" applyBorder="1" applyAlignment="1">
      <alignment horizontal="center" wrapText="1"/>
    </xf>
    <xf numFmtId="0" fontId="27" fillId="0" borderId="72" xfId="42" applyFont="1" applyBorder="1" applyAlignment="1">
      <alignment horizontal="center" wrapText="1"/>
    </xf>
    <xf numFmtId="0" fontId="27" fillId="0" borderId="69" xfId="42" applyFont="1" applyBorder="1" applyAlignment="1">
      <alignment horizontal="center" wrapText="1"/>
    </xf>
    <xf numFmtId="0" fontId="27" fillId="0" borderId="73" xfId="42" applyFont="1" applyBorder="1" applyAlignment="1">
      <alignment horizontal="center" wrapText="1"/>
    </xf>
    <xf numFmtId="43" fontId="27" fillId="0" borderId="73" xfId="50" applyFont="1" applyBorder="1" applyAlignment="1">
      <alignment horizontal="center" wrapText="1"/>
    </xf>
    <xf numFmtId="0" fontId="27" fillId="0" borderId="54" xfId="42" applyFont="1" applyBorder="1" applyAlignment="1">
      <alignment horizontal="center" wrapText="1"/>
    </xf>
    <xf numFmtId="0" fontId="29" fillId="0" borderId="51" xfId="0" applyFont="1" applyBorder="1" applyAlignment="1">
      <alignment horizontal="center" vertical="center" wrapText="1"/>
    </xf>
    <xf numFmtId="3" fontId="27" fillId="0" borderId="1" xfId="43" applyNumberFormat="1" applyFont="1" applyFill="1" applyBorder="1" applyAlignment="1">
      <alignment horizontal="center"/>
    </xf>
    <xf numFmtId="3" fontId="27" fillId="0" borderId="1" xfId="43" applyNumberFormat="1" applyFont="1" applyBorder="1"/>
    <xf numFmtId="3" fontId="27" fillId="0" borderId="1" xfId="43" applyNumberFormat="1" applyFont="1" applyFill="1" applyBorder="1"/>
    <xf numFmtId="0" fontId="26" fillId="35" borderId="27" xfId="43" applyFont="1" applyFill="1" applyBorder="1" applyAlignment="1">
      <alignment horizontal="centerContinuous"/>
    </xf>
    <xf numFmtId="0" fontId="27" fillId="35" borderId="57" xfId="43" applyFont="1" applyFill="1" applyBorder="1" applyAlignment="1">
      <alignment horizontal="centerContinuous"/>
    </xf>
    <xf numFmtId="3" fontId="27" fillId="35" borderId="29" xfId="43" applyNumberFormat="1" applyFont="1" applyFill="1" applyBorder="1" applyAlignment="1">
      <alignment horizontal="centerContinuous"/>
    </xf>
    <xf numFmtId="3" fontId="26" fillId="0" borderId="75" xfId="43" applyNumberFormat="1" applyFont="1" applyFill="1" applyBorder="1" applyAlignment="1">
      <alignment horizontal="center"/>
    </xf>
    <xf numFmtId="0" fontId="27" fillId="0" borderId="3" xfId="43" applyFont="1" applyFill="1" applyBorder="1" applyAlignment="1">
      <alignment horizontal="right"/>
    </xf>
    <xf numFmtId="3" fontId="26" fillId="0" borderId="5" xfId="43" applyNumberFormat="1" applyFont="1" applyFill="1" applyBorder="1" applyAlignment="1">
      <alignment horizontal="center"/>
    </xf>
    <xf numFmtId="10" fontId="27" fillId="0" borderId="4" xfId="43" applyNumberFormat="1" applyFont="1" applyFill="1" applyBorder="1" applyAlignment="1">
      <alignment horizontal="left"/>
    </xf>
    <xf numFmtId="164" fontId="27" fillId="0" borderId="76" xfId="43" applyNumberFormat="1" applyFont="1" applyFill="1" applyBorder="1" applyAlignment="1">
      <alignment horizontal="center"/>
    </xf>
    <xf numFmtId="10" fontId="27" fillId="0" borderId="4" xfId="43" applyNumberFormat="1" applyFont="1" applyBorder="1" applyAlignment="1">
      <alignment horizontal="left" indent="2"/>
    </xf>
    <xf numFmtId="164" fontId="27" fillId="0" borderId="76" xfId="43" applyNumberFormat="1" applyFont="1" applyBorder="1"/>
    <xf numFmtId="10" fontId="27" fillId="0" borderId="4" xfId="43" applyNumberFormat="1" applyFont="1" applyFill="1" applyBorder="1" applyAlignment="1">
      <alignment horizontal="left" indent="2"/>
    </xf>
    <xf numFmtId="164" fontId="27" fillId="0" borderId="76" xfId="43" applyNumberFormat="1" applyFont="1" applyFill="1" applyBorder="1"/>
    <xf numFmtId="2" fontId="27" fillId="0" borderId="0" xfId="51" applyNumberFormat="1" applyFont="1" applyBorder="1"/>
    <xf numFmtId="3" fontId="26" fillId="35" borderId="74" xfId="43" applyNumberFormat="1" applyFont="1" applyFill="1" applyBorder="1"/>
    <xf numFmtId="164" fontId="26" fillId="35" borderId="78" xfId="43" applyNumberFormat="1" applyFont="1" applyFill="1" applyBorder="1"/>
    <xf numFmtId="10" fontId="26" fillId="35" borderId="77" xfId="43" applyNumberFormat="1" applyFont="1" applyFill="1" applyBorder="1" applyAlignment="1">
      <alignment horizontal="left"/>
    </xf>
    <xf numFmtId="0" fontId="27" fillId="0" borderId="48" xfId="43" applyFont="1" applyFill="1" applyBorder="1" applyAlignment="1">
      <alignment horizontal="left"/>
    </xf>
    <xf numFmtId="3" fontId="27" fillId="0" borderId="60" xfId="43" applyNumberFormat="1" applyFont="1" applyFill="1" applyBorder="1" applyAlignment="1">
      <alignment horizontal="center"/>
    </xf>
    <xf numFmtId="164" fontId="27" fillId="0" borderId="64" xfId="43" applyNumberFormat="1" applyFont="1" applyFill="1" applyBorder="1" applyAlignment="1">
      <alignment horizontal="center"/>
    </xf>
    <xf numFmtId="10" fontId="26" fillId="35" borderId="53" xfId="43" applyNumberFormat="1" applyFont="1" applyFill="1" applyBorder="1" applyAlignment="1">
      <alignment horizontal="left"/>
    </xf>
    <xf numFmtId="3" fontId="26" fillId="35" borderId="59" xfId="43" applyNumberFormat="1" applyFont="1" applyFill="1" applyBorder="1"/>
    <xf numFmtId="164" fontId="26" fillId="35" borderId="58" xfId="43" applyNumberFormat="1" applyFont="1" applyFill="1" applyBorder="1"/>
    <xf numFmtId="10" fontId="27" fillId="0" borderId="48" xfId="43" applyNumberFormat="1" applyFont="1" applyFill="1" applyBorder="1" applyAlignment="1">
      <alignment horizontal="left" indent="2"/>
    </xf>
    <xf numFmtId="3" fontId="26" fillId="0" borderId="60" xfId="43" applyNumberFormat="1" applyFont="1" applyBorder="1"/>
    <xf numFmtId="164" fontId="26" fillId="0" borderId="64" xfId="43" applyNumberFormat="1" applyFont="1" applyBorder="1"/>
    <xf numFmtId="10" fontId="26" fillId="35" borderId="53" xfId="43" applyNumberFormat="1" applyFont="1" applyFill="1" applyBorder="1" applyAlignment="1">
      <alignment horizontal="left" wrapText="1"/>
    </xf>
    <xf numFmtId="0" fontId="28" fillId="0" borderId="22" xfId="0" applyFont="1" applyBorder="1"/>
    <xf numFmtId="3" fontId="28" fillId="0" borderId="24" xfId="0" applyNumberFormat="1" applyFont="1" applyBorder="1"/>
    <xf numFmtId="164" fontId="28" fillId="0" borderId="20" xfId="0" applyNumberFormat="1" applyFont="1" applyBorder="1"/>
    <xf numFmtId="10" fontId="27" fillId="0" borderId="48" xfId="43" applyNumberFormat="1" applyFont="1" applyFill="1" applyBorder="1" applyAlignment="1">
      <alignment horizontal="left"/>
    </xf>
    <xf numFmtId="3" fontId="27" fillId="33" borderId="60" xfId="43" applyNumberFormat="1" applyFont="1" applyFill="1" applyBorder="1" applyAlignment="1">
      <alignment horizontal="center"/>
    </xf>
    <xf numFmtId="164" fontId="27" fillId="0" borderId="64" xfId="43" applyNumberFormat="1" applyFont="1" applyBorder="1" applyAlignment="1">
      <alignment horizontal="center"/>
    </xf>
    <xf numFmtId="0" fontId="30" fillId="33" borderId="0" xfId="43" applyFont="1" applyFill="1"/>
    <xf numFmtId="0" fontId="31" fillId="0" borderId="0" xfId="0" applyFont="1"/>
    <xf numFmtId="0" fontId="31" fillId="33" borderId="0" xfId="0" applyFont="1" applyFill="1"/>
    <xf numFmtId="0" fontId="1" fillId="0" borderId="62" xfId="43" applyFont="1" applyBorder="1"/>
    <xf numFmtId="0" fontId="1" fillId="0" borderId="60" xfId="43" applyFont="1" applyBorder="1"/>
    <xf numFmtId="165" fontId="1" fillId="0" borderId="60" xfId="50" applyNumberFormat="1" applyFont="1" applyBorder="1"/>
    <xf numFmtId="0" fontId="1" fillId="0" borderId="31" xfId="43" applyFont="1" applyBorder="1"/>
    <xf numFmtId="0" fontId="1" fillId="0" borderId="31" xfId="43" applyFont="1" applyFill="1" applyBorder="1"/>
    <xf numFmtId="0" fontId="1" fillId="0" borderId="24" xfId="43" applyFont="1" applyFill="1" applyBorder="1" applyAlignment="1">
      <alignment horizontal="center" wrapText="1"/>
    </xf>
    <xf numFmtId="165" fontId="1" fillId="0" borderId="24" xfId="50" applyNumberFormat="1" applyFont="1" applyFill="1" applyBorder="1" applyAlignment="1">
      <alignment horizontal="center" wrapText="1"/>
    </xf>
    <xf numFmtId="0" fontId="1" fillId="33" borderId="51" xfId="43" applyFont="1" applyFill="1" applyBorder="1" applyAlignment="1">
      <alignment horizontal="center" wrapText="1"/>
    </xf>
    <xf numFmtId="2" fontId="1" fillId="0" borderId="4" xfId="43" applyNumberFormat="1" applyFont="1" applyFill="1" applyBorder="1" applyAlignment="1">
      <alignment horizontal="left"/>
    </xf>
    <xf numFmtId="2" fontId="1" fillId="0" borderId="1" xfId="43" applyNumberFormat="1" applyFont="1" applyFill="1" applyBorder="1" applyAlignment="1">
      <alignment horizontal="center"/>
    </xf>
    <xf numFmtId="41" fontId="1" fillId="0" borderId="1" xfId="50" applyNumberFormat="1" applyFont="1" applyFill="1" applyBorder="1" applyAlignment="1">
      <alignment horizontal="left"/>
    </xf>
    <xf numFmtId="167" fontId="1" fillId="0" borderId="8" xfId="43" applyNumberFormat="1" applyFont="1" applyFill="1" applyBorder="1"/>
    <xf numFmtId="38" fontId="1" fillId="33" borderId="8" xfId="43" applyNumberFormat="1" applyFont="1" applyFill="1" applyBorder="1" applyAlignment="1">
      <alignment horizontal="right"/>
    </xf>
    <xf numFmtId="38" fontId="1" fillId="33" borderId="0" xfId="43" applyNumberFormat="1" applyFont="1" applyFill="1" applyBorder="1" applyAlignment="1">
      <alignment horizontal="right"/>
    </xf>
    <xf numFmtId="38" fontId="1" fillId="33" borderId="42" xfId="43" applyNumberFormat="1" applyFont="1" applyFill="1" applyBorder="1" applyAlignment="1">
      <alignment horizontal="right"/>
    </xf>
    <xf numFmtId="38" fontId="1" fillId="0" borderId="8" xfId="43" applyNumberFormat="1" applyFont="1" applyFill="1" applyBorder="1" applyAlignment="1">
      <alignment horizontal="right"/>
    </xf>
    <xf numFmtId="49" fontId="1" fillId="33" borderId="42" xfId="43" applyNumberFormat="1" applyFont="1" applyFill="1" applyBorder="1" applyAlignment="1">
      <alignment horizontal="right"/>
    </xf>
    <xf numFmtId="49" fontId="1" fillId="33" borderId="8" xfId="43" applyNumberFormat="1" applyFont="1" applyFill="1" applyBorder="1" applyAlignment="1">
      <alignment horizontal="right"/>
    </xf>
    <xf numFmtId="41" fontId="1" fillId="0" borderId="1" xfId="43" applyNumberFormat="1" applyFont="1" applyFill="1" applyBorder="1" applyAlignment="1">
      <alignment horizontal="left"/>
    </xf>
    <xf numFmtId="167" fontId="1" fillId="0" borderId="8" xfId="43" applyNumberFormat="1" applyFont="1" applyFill="1" applyBorder="1" applyAlignment="1">
      <alignment horizontal="right"/>
    </xf>
    <xf numFmtId="3" fontId="1" fillId="0" borderId="8" xfId="43" applyNumberFormat="1" applyFont="1" applyFill="1" applyBorder="1" applyAlignment="1">
      <alignment horizontal="right"/>
    </xf>
    <xf numFmtId="3" fontId="1" fillId="0" borderId="0" xfId="43" applyNumberFormat="1" applyFont="1" applyFill="1" applyBorder="1" applyAlignment="1">
      <alignment horizontal="right"/>
    </xf>
    <xf numFmtId="3" fontId="1" fillId="0" borderId="42" xfId="43" applyNumberFormat="1" applyFont="1" applyFill="1" applyBorder="1" applyAlignment="1">
      <alignment horizontal="right"/>
    </xf>
    <xf numFmtId="2" fontId="1" fillId="0" borderId="22" xfId="43" applyNumberFormat="1" applyFont="1" applyFill="1" applyBorder="1" applyAlignment="1">
      <alignment horizontal="left"/>
    </xf>
    <xf numFmtId="2" fontId="1" fillId="0" borderId="24" xfId="43" applyNumberFormat="1" applyFont="1" applyFill="1" applyBorder="1" applyAlignment="1">
      <alignment horizontal="center"/>
    </xf>
    <xf numFmtId="41" fontId="1" fillId="0" borderId="24" xfId="50" applyNumberFormat="1" applyFont="1" applyFill="1" applyBorder="1" applyAlignment="1">
      <alignment horizontal="left"/>
    </xf>
    <xf numFmtId="167" fontId="1" fillId="0" borderId="18" xfId="43" applyNumberFormat="1" applyFont="1" applyFill="1" applyBorder="1"/>
    <xf numFmtId="2" fontId="32" fillId="0" borderId="26" xfId="43" applyNumberFormat="1" applyFont="1" applyFill="1" applyBorder="1" applyAlignment="1">
      <alignment horizontal="center"/>
    </xf>
    <xf numFmtId="41" fontId="32" fillId="0" borderId="52" xfId="50" applyNumberFormat="1" applyFont="1" applyFill="1" applyBorder="1" applyAlignment="1">
      <alignment horizontal="left"/>
    </xf>
    <xf numFmtId="38" fontId="32" fillId="33" borderId="29" xfId="43" applyNumberFormat="1" applyFont="1" applyFill="1" applyBorder="1" applyAlignment="1">
      <alignment horizontal="right"/>
    </xf>
    <xf numFmtId="38" fontId="32" fillId="33" borderId="57" xfId="43" applyNumberFormat="1" applyFont="1" applyFill="1" applyBorder="1" applyAlignment="1">
      <alignment horizontal="right"/>
    </xf>
    <xf numFmtId="38" fontId="32" fillId="33" borderId="51" xfId="43" applyNumberFormat="1" applyFont="1" applyFill="1" applyBorder="1" applyAlignment="1">
      <alignment horizontal="right"/>
    </xf>
    <xf numFmtId="0" fontId="1" fillId="0" borderId="26" xfId="43" applyFont="1" applyFill="1" applyBorder="1" applyAlignment="1">
      <alignment horizontal="center" wrapText="1"/>
    </xf>
    <xf numFmtId="0" fontId="1" fillId="0" borderId="52" xfId="43" applyFont="1" applyFill="1" applyBorder="1" applyAlignment="1">
      <alignment horizontal="center"/>
    </xf>
    <xf numFmtId="0" fontId="1" fillId="33" borderId="51" xfId="43" applyFont="1" applyFill="1" applyBorder="1" applyAlignment="1">
      <alignment horizontal="center"/>
    </xf>
    <xf numFmtId="0" fontId="1" fillId="33" borderId="29" xfId="43" applyFont="1" applyFill="1" applyBorder="1" applyAlignment="1">
      <alignment horizontal="center" wrapText="1"/>
    </xf>
    <xf numFmtId="0" fontId="1" fillId="0" borderId="51" xfId="43" applyFont="1" applyFill="1" applyBorder="1" applyAlignment="1">
      <alignment horizontal="center" wrapText="1"/>
    </xf>
    <xf numFmtId="38" fontId="1" fillId="0" borderId="42" xfId="43" applyNumberFormat="1" applyFont="1" applyFill="1" applyBorder="1" applyAlignment="1">
      <alignment horizontal="right"/>
    </xf>
    <xf numFmtId="38" fontId="32" fillId="0" borderId="51" xfId="43" applyNumberFormat="1" applyFont="1" applyFill="1" applyBorder="1" applyAlignment="1">
      <alignment horizontal="right"/>
    </xf>
    <xf numFmtId="1" fontId="1" fillId="33" borderId="42" xfId="43" applyNumberFormat="1" applyFont="1" applyFill="1" applyBorder="1" applyAlignment="1">
      <alignment horizontal="right"/>
    </xf>
    <xf numFmtId="0" fontId="1" fillId="33" borderId="57" xfId="43" applyFont="1" applyFill="1" applyBorder="1" applyAlignment="1">
      <alignment horizontal="center" wrapText="1"/>
    </xf>
    <xf numFmtId="2" fontId="32" fillId="0" borderId="63" xfId="43" applyNumberFormat="1" applyFont="1" applyFill="1" applyBorder="1" applyAlignment="1">
      <alignment horizontal="left"/>
    </xf>
    <xf numFmtId="167" fontId="32" fillId="0" borderId="55" xfId="43" applyNumberFormat="1" applyFont="1" applyFill="1" applyBorder="1"/>
    <xf numFmtId="0" fontId="32" fillId="0" borderId="0" xfId="43" applyFont="1" applyBorder="1"/>
    <xf numFmtId="0" fontId="1" fillId="0" borderId="0" xfId="43" applyFont="1" applyBorder="1"/>
    <xf numFmtId="3" fontId="32" fillId="0" borderId="0" xfId="43" applyNumberFormat="1" applyFont="1" applyBorder="1"/>
    <xf numFmtId="0" fontId="1" fillId="33" borderId="0" xfId="43" applyFont="1" applyFill="1"/>
    <xf numFmtId="0" fontId="33" fillId="0" borderId="0" xfId="0" applyFont="1"/>
    <xf numFmtId="3" fontId="1" fillId="0" borderId="0" xfId="43" applyNumberFormat="1" applyFont="1"/>
    <xf numFmtId="0" fontId="1" fillId="0" borderId="0" xfId="43" applyFont="1"/>
    <xf numFmtId="0" fontId="32" fillId="0" borderId="2" xfId="43" applyFont="1" applyBorder="1"/>
    <xf numFmtId="168" fontId="32" fillId="0" borderId="0" xfId="43" applyNumberFormat="1" applyFont="1" applyBorder="1"/>
    <xf numFmtId="0" fontId="1" fillId="33" borderId="0" xfId="43" applyFont="1" applyFill="1" applyBorder="1"/>
    <xf numFmtId="0" fontId="32" fillId="33" borderId="0" xfId="43" applyFont="1" applyFill="1" applyBorder="1" applyAlignment="1">
      <alignment horizontal="right"/>
    </xf>
    <xf numFmtId="0" fontId="1" fillId="0" borderId="11" xfId="43" applyFont="1" applyBorder="1"/>
    <xf numFmtId="0" fontId="1" fillId="33" borderId="47" xfId="43" applyFont="1" applyFill="1" applyBorder="1" applyAlignment="1">
      <alignment horizontal="center"/>
    </xf>
    <xf numFmtId="0" fontId="1" fillId="0" borderId="52" xfId="43" applyFont="1" applyFill="1" applyBorder="1"/>
    <xf numFmtId="0" fontId="1" fillId="0" borderId="56" xfId="43" applyFont="1" applyFill="1" applyBorder="1" applyAlignment="1">
      <alignment horizontal="center" wrapText="1"/>
    </xf>
    <xf numFmtId="0" fontId="1" fillId="33" borderId="56" xfId="43" applyFont="1" applyFill="1" applyBorder="1" applyAlignment="1">
      <alignment horizontal="center" wrapText="1"/>
    </xf>
    <xf numFmtId="0" fontId="1" fillId="33" borderId="63" xfId="43" applyFont="1" applyFill="1" applyBorder="1" applyAlignment="1">
      <alignment horizontal="center" wrapText="1"/>
    </xf>
    <xf numFmtId="0" fontId="1" fillId="33" borderId="67" xfId="43" applyFont="1" applyFill="1" applyBorder="1" applyAlignment="1">
      <alignment horizontal="center" wrapText="1"/>
    </xf>
    <xf numFmtId="0" fontId="1" fillId="33" borderId="18" xfId="43" applyFont="1" applyFill="1" applyBorder="1" applyAlignment="1">
      <alignment horizontal="center" wrapText="1"/>
    </xf>
    <xf numFmtId="38" fontId="1" fillId="0" borderId="4" xfId="43" applyNumberFormat="1" applyFont="1" applyFill="1" applyBorder="1" applyAlignment="1">
      <alignment horizontal="right"/>
    </xf>
    <xf numFmtId="38" fontId="1" fillId="33" borderId="2" xfId="43" applyNumberFormat="1" applyFont="1" applyFill="1" applyBorder="1" applyAlignment="1">
      <alignment horizontal="right"/>
    </xf>
    <xf numFmtId="38" fontId="1" fillId="33" borderId="1" xfId="43" applyNumberFormat="1" applyFont="1" applyFill="1" applyBorder="1" applyAlignment="1">
      <alignment horizontal="right"/>
    </xf>
    <xf numFmtId="38" fontId="1" fillId="33" borderId="4" xfId="43" applyNumberFormat="1" applyFont="1" applyFill="1" applyBorder="1" applyAlignment="1">
      <alignment horizontal="right"/>
    </xf>
    <xf numFmtId="49" fontId="1" fillId="33" borderId="2" xfId="43" applyNumberFormat="1" applyFont="1" applyFill="1" applyBorder="1" applyAlignment="1">
      <alignment horizontal="right"/>
    </xf>
    <xf numFmtId="49" fontId="1" fillId="33" borderId="0" xfId="43" applyNumberFormat="1" applyFont="1" applyFill="1" applyBorder="1" applyAlignment="1">
      <alignment horizontal="right"/>
    </xf>
    <xf numFmtId="49" fontId="1" fillId="33" borderId="4" xfId="43" applyNumberFormat="1" applyFont="1" applyFill="1" applyBorder="1" applyAlignment="1">
      <alignment horizontal="right"/>
    </xf>
    <xf numFmtId="49" fontId="1" fillId="33" borderId="1" xfId="43" applyNumberFormat="1" applyFont="1" applyFill="1" applyBorder="1" applyAlignment="1">
      <alignment horizontal="right"/>
    </xf>
    <xf numFmtId="49" fontId="1" fillId="0" borderId="4" xfId="43" applyNumberFormat="1" applyFont="1" applyFill="1" applyBorder="1" applyAlignment="1">
      <alignment horizontal="right"/>
    </xf>
    <xf numFmtId="2" fontId="32" fillId="34" borderId="56" xfId="43" quotePrefix="1" applyNumberFormat="1" applyFont="1" applyFill="1" applyBorder="1" applyAlignment="1">
      <alignment horizontal="left"/>
    </xf>
    <xf numFmtId="0" fontId="32" fillId="34" borderId="68" xfId="43" applyFont="1" applyFill="1" applyBorder="1"/>
    <xf numFmtId="38" fontId="32" fillId="34" borderId="56" xfId="43" applyNumberFormat="1" applyFont="1" applyFill="1" applyBorder="1" applyAlignment="1">
      <alignment horizontal="right"/>
    </xf>
    <xf numFmtId="38" fontId="32" fillId="33" borderId="67" xfId="43" applyNumberFormat="1" applyFont="1" applyFill="1" applyBorder="1" applyAlignment="1">
      <alignment horizontal="right"/>
    </xf>
    <xf numFmtId="38" fontId="32" fillId="33" borderId="63" xfId="43" applyNumberFormat="1" applyFont="1" applyFill="1" applyBorder="1" applyAlignment="1">
      <alignment horizontal="right"/>
    </xf>
    <xf numFmtId="38" fontId="32" fillId="33" borderId="56" xfId="43" applyNumberFormat="1" applyFont="1" applyFill="1" applyBorder="1" applyAlignment="1">
      <alignment horizontal="right"/>
    </xf>
    <xf numFmtId="49" fontId="32" fillId="33" borderId="51" xfId="43" applyNumberFormat="1" applyFont="1" applyFill="1" applyBorder="1" applyAlignment="1">
      <alignment horizontal="right"/>
    </xf>
    <xf numFmtId="38" fontId="32" fillId="34" borderId="29" xfId="43" applyNumberFormat="1" applyFont="1" applyFill="1" applyBorder="1" applyAlignment="1">
      <alignment horizontal="right"/>
    </xf>
    <xf numFmtId="2" fontId="1" fillId="0" borderId="48" xfId="43" applyNumberFormat="1" applyFont="1" applyFill="1" applyBorder="1" applyAlignment="1">
      <alignment horizontal="left"/>
    </xf>
    <xf numFmtId="0" fontId="1" fillId="0" borderId="11" xfId="43" applyFont="1" applyFill="1" applyBorder="1"/>
    <xf numFmtId="49" fontId="1" fillId="0" borderId="48" xfId="43" applyNumberFormat="1" applyFont="1" applyFill="1" applyBorder="1" applyAlignment="1">
      <alignment horizontal="right"/>
    </xf>
    <xf numFmtId="49" fontId="1" fillId="33" borderId="31" xfId="43" applyNumberFormat="1" applyFont="1" applyFill="1" applyBorder="1" applyAlignment="1">
      <alignment horizontal="right"/>
    </xf>
    <xf numFmtId="49" fontId="1" fillId="33" borderId="66" xfId="43" applyNumberFormat="1" applyFont="1" applyFill="1" applyBorder="1" applyAlignment="1">
      <alignment horizontal="right"/>
    </xf>
    <xf numFmtId="49" fontId="1" fillId="33" borderId="11" xfId="43" applyNumberFormat="1" applyFont="1" applyFill="1" applyBorder="1" applyAlignment="1">
      <alignment horizontal="right"/>
    </xf>
    <xf numFmtId="49" fontId="1" fillId="33" borderId="60" xfId="43" applyNumberFormat="1" applyFont="1" applyFill="1" applyBorder="1" applyAlignment="1">
      <alignment horizontal="right"/>
    </xf>
    <xf numFmtId="49" fontId="1" fillId="33" borderId="48" xfId="43" applyNumberFormat="1" applyFont="1" applyFill="1" applyBorder="1" applyAlignment="1">
      <alignment horizontal="right"/>
    </xf>
    <xf numFmtId="38" fontId="1" fillId="33" borderId="31" xfId="43" applyNumberFormat="1" applyFont="1" applyFill="1" applyBorder="1" applyAlignment="1">
      <alignment horizontal="right"/>
    </xf>
    <xf numFmtId="38" fontId="1" fillId="0" borderId="47" xfId="43" applyNumberFormat="1" applyFont="1" applyFill="1" applyBorder="1" applyAlignment="1">
      <alignment horizontal="right"/>
    </xf>
    <xf numFmtId="0" fontId="1" fillId="0" borderId="0" xfId="43" applyFont="1" applyFill="1" applyBorder="1"/>
    <xf numFmtId="49" fontId="1" fillId="0" borderId="42" xfId="43" applyNumberFormat="1" applyFont="1" applyFill="1" applyBorder="1" applyAlignment="1">
      <alignment horizontal="right"/>
    </xf>
    <xf numFmtId="2" fontId="32" fillId="0" borderId="56" xfId="43" applyNumberFormat="1" applyFont="1" applyFill="1" applyBorder="1" applyAlignment="1">
      <alignment horizontal="left"/>
    </xf>
    <xf numFmtId="0" fontId="32" fillId="0" borderId="57" xfId="43" applyFont="1" applyFill="1" applyBorder="1" applyAlignment="1"/>
    <xf numFmtId="38" fontId="32" fillId="0" borderId="56" xfId="43" applyNumberFormat="1" applyFont="1" applyFill="1" applyBorder="1" applyAlignment="1">
      <alignment horizontal="right"/>
    </xf>
    <xf numFmtId="0" fontId="33" fillId="33" borderId="0" xfId="0" applyFont="1" applyFill="1"/>
    <xf numFmtId="0" fontId="32" fillId="35" borderId="12" xfId="43" applyFont="1" applyFill="1" applyBorder="1" applyAlignment="1">
      <alignment horizontal="centerContinuous"/>
    </xf>
    <xf numFmtId="0" fontId="1" fillId="35" borderId="13" xfId="43" applyFont="1" applyFill="1" applyBorder="1" applyAlignment="1">
      <alignment horizontal="centerContinuous"/>
    </xf>
    <xf numFmtId="3" fontId="1" fillId="35" borderId="14" xfId="43" applyNumberFormat="1" applyFont="1" applyFill="1" applyBorder="1" applyAlignment="1">
      <alignment horizontal="centerContinuous"/>
    </xf>
    <xf numFmtId="0" fontId="1" fillId="0" borderId="19" xfId="43" applyFont="1" applyFill="1" applyBorder="1" applyAlignment="1">
      <alignment horizontal="right"/>
    </xf>
    <xf numFmtId="3" fontId="32" fillId="0" borderId="9" xfId="43" applyNumberFormat="1" applyFont="1" applyFill="1" applyBorder="1" applyAlignment="1">
      <alignment horizontal="center"/>
    </xf>
    <xf numFmtId="3" fontId="32" fillId="0" borderId="10" xfId="43" applyNumberFormat="1" applyFont="1" applyFill="1" applyBorder="1" applyAlignment="1">
      <alignment horizontal="center"/>
    </xf>
    <xf numFmtId="10" fontId="1" fillId="0" borderId="7" xfId="43" applyNumberFormat="1" applyFont="1" applyFill="1" applyBorder="1" applyAlignment="1">
      <alignment horizontal="left"/>
    </xf>
    <xf numFmtId="3" fontId="1" fillId="0" borderId="6" xfId="43" applyNumberFormat="1" applyFont="1" applyFill="1" applyBorder="1" applyAlignment="1">
      <alignment horizontal="center"/>
    </xf>
    <xf numFmtId="164" fontId="1" fillId="0" borderId="8" xfId="43" applyNumberFormat="1" applyFont="1" applyFill="1" applyBorder="1" applyAlignment="1">
      <alignment horizontal="center"/>
    </xf>
    <xf numFmtId="10" fontId="1" fillId="0" borderId="7" xfId="43" applyNumberFormat="1" applyFont="1" applyBorder="1" applyAlignment="1">
      <alignment horizontal="left" indent="2"/>
    </xf>
    <xf numFmtId="3" fontId="1" fillId="0" borderId="6" xfId="43" applyNumberFormat="1" applyFont="1" applyBorder="1"/>
    <xf numFmtId="164" fontId="1" fillId="0" borderId="8" xfId="43" applyNumberFormat="1" applyFont="1" applyBorder="1"/>
    <xf numFmtId="10" fontId="1" fillId="0" borderId="19" xfId="43" applyNumberFormat="1" applyFont="1" applyBorder="1" applyAlignment="1">
      <alignment horizontal="left" indent="2"/>
    </xf>
    <xf numFmtId="3" fontId="1" fillId="0" borderId="9" xfId="43" applyNumberFormat="1" applyFont="1" applyBorder="1"/>
    <xf numFmtId="164" fontId="1" fillId="0" borderId="10" xfId="43" applyNumberFormat="1" applyFont="1" applyBorder="1"/>
    <xf numFmtId="10" fontId="32" fillId="35" borderId="25" xfId="43" applyNumberFormat="1" applyFont="1" applyFill="1" applyBorder="1" applyAlignment="1">
      <alignment horizontal="left"/>
    </xf>
    <xf numFmtId="3" fontId="32" fillId="35" borderId="43" xfId="43" applyNumberFormat="1" applyFont="1" applyFill="1" applyBorder="1"/>
    <xf numFmtId="164" fontId="32" fillId="35" borderId="18" xfId="43" applyNumberFormat="1" applyFont="1" applyFill="1" applyBorder="1"/>
    <xf numFmtId="0" fontId="1" fillId="0" borderId="21" xfId="43" applyFont="1" applyFill="1" applyBorder="1" applyAlignment="1">
      <alignment horizontal="left"/>
    </xf>
    <xf numFmtId="3" fontId="1" fillId="0" borderId="15" xfId="43" applyNumberFormat="1" applyFont="1" applyFill="1" applyBorder="1" applyAlignment="1">
      <alignment horizontal="center"/>
    </xf>
    <xf numFmtId="164" fontId="1" fillId="0" borderId="16" xfId="43" applyNumberFormat="1" applyFont="1" applyFill="1" applyBorder="1" applyAlignment="1">
      <alignment horizontal="center"/>
    </xf>
    <xf numFmtId="10" fontId="1" fillId="0" borderId="7" xfId="43" applyNumberFormat="1" applyFont="1" applyFill="1" applyBorder="1" applyAlignment="1">
      <alignment horizontal="left" indent="2"/>
    </xf>
    <xf numFmtId="3" fontId="1" fillId="0" borderId="6" xfId="43" applyNumberFormat="1" applyFont="1" applyFill="1" applyBorder="1"/>
    <xf numFmtId="164" fontId="1" fillId="0" borderId="8" xfId="43" applyNumberFormat="1" applyFont="1" applyFill="1" applyBorder="1"/>
    <xf numFmtId="10" fontId="1" fillId="0" borderId="19" xfId="43" applyNumberFormat="1" applyFont="1" applyFill="1" applyBorder="1" applyAlignment="1">
      <alignment horizontal="left" indent="2"/>
    </xf>
    <xf numFmtId="3" fontId="1" fillId="0" borderId="9" xfId="43" applyNumberFormat="1" applyFont="1" applyFill="1" applyBorder="1"/>
    <xf numFmtId="164" fontId="1" fillId="0" borderId="45" xfId="43" applyNumberFormat="1" applyFont="1" applyFill="1" applyBorder="1"/>
    <xf numFmtId="3" fontId="32" fillId="35" borderId="17" xfId="43" applyNumberFormat="1" applyFont="1" applyFill="1" applyBorder="1"/>
    <xf numFmtId="3" fontId="1" fillId="33" borderId="6" xfId="43" applyNumberFormat="1" applyFont="1" applyFill="1" applyBorder="1" applyAlignment="1">
      <alignment horizontal="center"/>
    </xf>
    <xf numFmtId="164" fontId="1" fillId="0" borderId="8" xfId="43" applyNumberFormat="1" applyFont="1" applyBorder="1" applyAlignment="1">
      <alignment horizontal="center"/>
    </xf>
    <xf numFmtId="3" fontId="32" fillId="0" borderId="44" xfId="43" applyNumberFormat="1" applyFont="1" applyBorder="1"/>
    <xf numFmtId="164" fontId="32" fillId="0" borderId="31" xfId="43" applyNumberFormat="1" applyFont="1" applyBorder="1"/>
    <xf numFmtId="10" fontId="32" fillId="35" borderId="19" xfId="43" applyNumberFormat="1" applyFont="1" applyFill="1" applyBorder="1" applyAlignment="1">
      <alignment horizontal="left" wrapText="1"/>
    </xf>
    <xf numFmtId="0" fontId="34" fillId="0" borderId="27" xfId="0" applyFont="1" applyBorder="1"/>
    <xf numFmtId="3" fontId="34" fillId="0" borderId="28" xfId="0" applyNumberFormat="1" applyFont="1" applyBorder="1"/>
    <xf numFmtId="164" fontId="34" fillId="0" borderId="29" xfId="0" applyNumberFormat="1" applyFont="1" applyBorder="1"/>
    <xf numFmtId="0" fontId="33" fillId="0" borderId="0" xfId="0" applyFont="1" applyAlignment="1"/>
    <xf numFmtId="2" fontId="35" fillId="0" borderId="4" xfId="43" applyNumberFormat="1" applyFont="1" applyFill="1" applyBorder="1" applyAlignment="1">
      <alignment horizontal="left"/>
    </xf>
    <xf numFmtId="0" fontId="35" fillId="0" borderId="61" xfId="43" applyFont="1" applyFill="1" applyBorder="1"/>
    <xf numFmtId="38" fontId="35" fillId="0" borderId="4" xfId="43" applyNumberFormat="1" applyFont="1" applyFill="1" applyBorder="1" applyAlignment="1">
      <alignment horizontal="right"/>
    </xf>
    <xf numFmtId="38" fontId="35" fillId="33" borderId="8" xfId="43" applyNumberFormat="1" applyFont="1" applyFill="1" applyBorder="1" applyAlignment="1">
      <alignment horizontal="right"/>
    </xf>
    <xf numFmtId="38" fontId="35" fillId="33" borderId="2" xfId="43" applyNumberFormat="1" applyFont="1" applyFill="1" applyBorder="1" applyAlignment="1">
      <alignment horizontal="right"/>
    </xf>
    <xf numFmtId="38" fontId="35" fillId="33" borderId="0" xfId="43" applyNumberFormat="1" applyFont="1" applyFill="1" applyBorder="1" applyAlignment="1">
      <alignment horizontal="right"/>
    </xf>
    <xf numFmtId="38" fontId="35" fillId="33" borderId="1" xfId="43" applyNumberFormat="1" applyFont="1" applyFill="1" applyBorder="1" applyAlignment="1">
      <alignment horizontal="right"/>
    </xf>
    <xf numFmtId="38" fontId="35" fillId="33" borderId="4" xfId="43" applyNumberFormat="1" applyFont="1" applyFill="1" applyBorder="1" applyAlignment="1">
      <alignment horizontal="right"/>
    </xf>
    <xf numFmtId="38" fontId="35" fillId="33" borderId="42" xfId="43" applyNumberFormat="1" applyFont="1" applyFill="1" applyBorder="1" applyAlignment="1">
      <alignment horizontal="right"/>
    </xf>
    <xf numFmtId="38" fontId="35" fillId="0" borderId="8" xfId="43" applyNumberFormat="1" applyFont="1" applyFill="1" applyBorder="1" applyAlignment="1">
      <alignment horizontal="right"/>
    </xf>
    <xf numFmtId="0" fontId="36" fillId="0" borderId="0" xfId="0" applyFont="1"/>
    <xf numFmtId="49" fontId="35" fillId="33" borderId="8" xfId="43" applyNumberFormat="1" applyFont="1" applyFill="1" applyBorder="1" applyAlignment="1">
      <alignment horizontal="right"/>
    </xf>
    <xf numFmtId="49" fontId="35" fillId="33" borderId="2" xfId="43" applyNumberFormat="1" applyFont="1" applyFill="1" applyBorder="1" applyAlignment="1">
      <alignment horizontal="right"/>
    </xf>
    <xf numFmtId="49" fontId="35" fillId="33" borderId="0" xfId="43" applyNumberFormat="1" applyFont="1" applyFill="1" applyBorder="1" applyAlignment="1">
      <alignment horizontal="right"/>
    </xf>
    <xf numFmtId="49" fontId="35" fillId="33" borderId="4" xfId="43" applyNumberFormat="1" applyFont="1" applyFill="1" applyBorder="1" applyAlignment="1">
      <alignment horizontal="right"/>
    </xf>
    <xf numFmtId="49" fontId="35" fillId="33" borderId="42" xfId="43" applyNumberFormat="1" applyFont="1" applyFill="1" applyBorder="1" applyAlignment="1">
      <alignment horizontal="right"/>
    </xf>
    <xf numFmtId="49" fontId="35" fillId="33" borderId="1" xfId="43" applyNumberFormat="1" applyFont="1" applyFill="1" applyBorder="1" applyAlignment="1">
      <alignment horizontal="right"/>
    </xf>
    <xf numFmtId="38" fontId="37" fillId="35" borderId="4" xfId="0" applyNumberFormat="1" applyFont="1" applyFill="1" applyBorder="1"/>
    <xf numFmtId="49" fontId="35" fillId="0" borderId="4" xfId="43" applyNumberFormat="1" applyFont="1" applyFill="1" applyBorder="1" applyAlignment="1">
      <alignment horizontal="right"/>
    </xf>
    <xf numFmtId="2" fontId="35" fillId="33" borderId="42" xfId="43" applyNumberFormat="1" applyFont="1" applyFill="1" applyBorder="1" applyAlignment="1">
      <alignment horizontal="right"/>
    </xf>
    <xf numFmtId="0" fontId="32" fillId="35" borderId="27" xfId="43" applyFont="1" applyFill="1" applyBorder="1" applyAlignment="1">
      <alignment horizontal="centerContinuous"/>
    </xf>
    <xf numFmtId="0" fontId="1" fillId="35" borderId="57" xfId="43" applyFont="1" applyFill="1" applyBorder="1" applyAlignment="1">
      <alignment horizontal="centerContinuous"/>
    </xf>
    <xf numFmtId="3" fontId="1" fillId="35" borderId="29" xfId="43" applyNumberFormat="1" applyFont="1" applyFill="1" applyBorder="1" applyAlignment="1">
      <alignment horizontal="centerContinuous"/>
    </xf>
    <xf numFmtId="0" fontId="1" fillId="0" borderId="3" xfId="43" applyFont="1" applyFill="1" applyBorder="1" applyAlignment="1">
      <alignment horizontal="right"/>
    </xf>
    <xf numFmtId="3" fontId="32" fillId="0" borderId="75" xfId="43" applyNumberFormat="1" applyFont="1" applyFill="1" applyBorder="1" applyAlignment="1">
      <alignment horizontal="center"/>
    </xf>
    <xf numFmtId="3" fontId="32" fillId="0" borderId="5" xfId="43" applyNumberFormat="1" applyFont="1" applyFill="1" applyBorder="1" applyAlignment="1">
      <alignment horizontal="center"/>
    </xf>
    <xf numFmtId="10" fontId="1" fillId="0" borderId="4" xfId="43" applyNumberFormat="1" applyFont="1" applyFill="1" applyBorder="1" applyAlignment="1">
      <alignment horizontal="left"/>
    </xf>
    <xf numFmtId="3" fontId="1" fillId="0" borderId="1" xfId="43" applyNumberFormat="1" applyFont="1" applyFill="1" applyBorder="1" applyAlignment="1">
      <alignment horizontal="center"/>
    </xf>
    <xf numFmtId="164" fontId="1" fillId="0" borderId="76" xfId="43" applyNumberFormat="1" applyFont="1" applyFill="1" applyBorder="1" applyAlignment="1">
      <alignment horizontal="center"/>
    </xf>
    <xf numFmtId="10" fontId="1" fillId="0" borderId="4" xfId="43" applyNumberFormat="1" applyFont="1" applyBorder="1" applyAlignment="1">
      <alignment horizontal="left" indent="2"/>
    </xf>
    <xf numFmtId="3" fontId="1" fillId="0" borderId="1" xfId="43" applyNumberFormat="1" applyFont="1" applyBorder="1"/>
    <xf numFmtId="164" fontId="1" fillId="0" borderId="76" xfId="43" applyNumberFormat="1" applyFont="1" applyBorder="1"/>
    <xf numFmtId="10" fontId="32" fillId="35" borderId="77" xfId="43" applyNumberFormat="1" applyFont="1" applyFill="1" applyBorder="1" applyAlignment="1">
      <alignment horizontal="left"/>
    </xf>
    <xf numFmtId="3" fontId="32" fillId="35" borderId="74" xfId="43" applyNumberFormat="1" applyFont="1" applyFill="1" applyBorder="1"/>
    <xf numFmtId="164" fontId="32" fillId="35" borderId="78" xfId="43" applyNumberFormat="1" applyFont="1" applyFill="1" applyBorder="1"/>
    <xf numFmtId="0" fontId="1" fillId="0" borderId="48" xfId="43" applyFont="1" applyFill="1" applyBorder="1" applyAlignment="1">
      <alignment horizontal="left"/>
    </xf>
    <xf numFmtId="3" fontId="1" fillId="0" borderId="60" xfId="43" applyNumberFormat="1" applyFont="1" applyFill="1" applyBorder="1" applyAlignment="1">
      <alignment horizontal="center"/>
    </xf>
    <xf numFmtId="164" fontId="1" fillId="0" borderId="64" xfId="43" applyNumberFormat="1" applyFont="1" applyFill="1" applyBorder="1" applyAlignment="1">
      <alignment horizontal="center"/>
    </xf>
    <xf numFmtId="10" fontId="1" fillId="0" borderId="4" xfId="43" applyNumberFormat="1" applyFont="1" applyFill="1" applyBorder="1" applyAlignment="1">
      <alignment horizontal="left" indent="2"/>
    </xf>
    <xf numFmtId="3" fontId="1" fillId="0" borderId="1" xfId="43" applyNumberFormat="1" applyFont="1" applyFill="1" applyBorder="1"/>
    <xf numFmtId="164" fontId="1" fillId="0" borderId="76" xfId="43" applyNumberFormat="1" applyFont="1" applyFill="1" applyBorder="1"/>
    <xf numFmtId="10" fontId="32" fillId="35" borderId="53" xfId="43" applyNumberFormat="1" applyFont="1" applyFill="1" applyBorder="1" applyAlignment="1">
      <alignment horizontal="left"/>
    </xf>
    <xf numFmtId="3" fontId="32" fillId="35" borderId="59" xfId="43" applyNumberFormat="1" applyFont="1" applyFill="1" applyBorder="1"/>
    <xf numFmtId="164" fontId="32" fillId="35" borderId="58" xfId="43" applyNumberFormat="1" applyFont="1" applyFill="1" applyBorder="1"/>
    <xf numFmtId="3" fontId="1" fillId="33" borderId="1" xfId="43" applyNumberFormat="1" applyFont="1" applyFill="1" applyBorder="1" applyAlignment="1">
      <alignment horizontal="center"/>
    </xf>
    <xf numFmtId="164" fontId="1" fillId="0" borderId="76" xfId="43" applyNumberFormat="1" applyFont="1" applyBorder="1" applyAlignment="1">
      <alignment horizontal="center"/>
    </xf>
    <xf numFmtId="10" fontId="1" fillId="0" borderId="48" xfId="43" applyNumberFormat="1" applyFont="1" applyFill="1" applyBorder="1" applyAlignment="1">
      <alignment horizontal="left" indent="2"/>
    </xf>
    <xf numFmtId="3" fontId="32" fillId="0" borderId="60" xfId="43" applyNumberFormat="1" applyFont="1" applyBorder="1"/>
    <xf numFmtId="164" fontId="32" fillId="0" borderId="64" xfId="43" applyNumberFormat="1" applyFont="1" applyBorder="1"/>
    <xf numFmtId="10" fontId="32" fillId="35" borderId="53" xfId="43" applyNumberFormat="1" applyFont="1" applyFill="1" applyBorder="1" applyAlignment="1">
      <alignment horizontal="left" wrapText="1"/>
    </xf>
    <xf numFmtId="0" fontId="34" fillId="0" borderId="56" xfId="0" applyFont="1" applyBorder="1"/>
    <xf numFmtId="3" fontId="34" fillId="0" borderId="63" xfId="0" applyNumberFormat="1" applyFont="1" applyBorder="1"/>
    <xf numFmtId="164" fontId="34" fillId="0" borderId="55" xfId="0" applyNumberFormat="1" applyFont="1" applyBorder="1"/>
    <xf numFmtId="3" fontId="32" fillId="0" borderId="0" xfId="43" applyNumberFormat="1" applyFont="1" applyBorder="1" applyAlignment="1">
      <alignment horizontal="left"/>
    </xf>
    <xf numFmtId="0" fontId="33" fillId="0" borderId="0" xfId="0" applyFont="1" applyBorder="1"/>
    <xf numFmtId="3" fontId="1" fillId="0" borderId="0" xfId="43" applyNumberFormat="1" applyFont="1" applyBorder="1"/>
    <xf numFmtId="168" fontId="32" fillId="0" borderId="0" xfId="43" applyNumberFormat="1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1" fillId="0" borderId="47" xfId="43" applyFont="1" applyBorder="1"/>
    <xf numFmtId="0" fontId="1" fillId="33" borderId="31" xfId="43" applyFont="1" applyFill="1" applyBorder="1" applyAlignment="1">
      <alignment horizontal="center"/>
    </xf>
    <xf numFmtId="0" fontId="1" fillId="0" borderId="41" xfId="43" applyFont="1" applyFill="1" applyBorder="1" applyAlignment="1">
      <alignment horizontal="center" wrapText="1"/>
    </xf>
    <xf numFmtId="0" fontId="1" fillId="0" borderId="18" xfId="43" applyFont="1" applyFill="1" applyBorder="1"/>
    <xf numFmtId="0" fontId="1" fillId="33" borderId="55" xfId="43" applyFont="1" applyFill="1" applyBorder="1" applyAlignment="1">
      <alignment horizontal="center" wrapText="1"/>
    </xf>
    <xf numFmtId="0" fontId="1" fillId="33" borderId="27" xfId="43" applyFont="1" applyFill="1" applyBorder="1" applyAlignment="1">
      <alignment horizontal="center" wrapText="1"/>
    </xf>
    <xf numFmtId="2" fontId="32" fillId="0" borderId="0" xfId="43" applyNumberFormat="1" applyFont="1" applyFill="1" applyBorder="1" applyAlignment="1">
      <alignment horizontal="left"/>
    </xf>
    <xf numFmtId="0" fontId="32" fillId="0" borderId="0" xfId="43" applyFont="1" applyFill="1" applyBorder="1" applyAlignment="1"/>
    <xf numFmtId="38" fontId="32" fillId="0" borderId="0" xfId="50" applyNumberFormat="1" applyFont="1" applyFill="1" applyBorder="1" applyAlignment="1">
      <alignment horizontal="right"/>
    </xf>
    <xf numFmtId="38" fontId="32" fillId="33" borderId="0" xfId="50" applyNumberFormat="1" applyFont="1" applyFill="1" applyBorder="1" applyAlignment="1">
      <alignment horizontal="right"/>
    </xf>
    <xf numFmtId="0" fontId="32" fillId="35" borderId="50" xfId="43" applyFont="1" applyFill="1" applyBorder="1" applyAlignment="1">
      <alignment horizontal="centerContinuous"/>
    </xf>
    <xf numFmtId="3" fontId="32" fillId="35" borderId="14" xfId="43" applyNumberFormat="1" applyFont="1" applyFill="1" applyBorder="1" applyAlignment="1">
      <alignment horizontal="centerContinuous"/>
    </xf>
    <xf numFmtId="38" fontId="1" fillId="0" borderId="6" xfId="43" applyNumberFormat="1" applyFont="1" applyFill="1" applyBorder="1" applyAlignment="1">
      <alignment horizontal="center"/>
    </xf>
    <xf numFmtId="38" fontId="1" fillId="0" borderId="6" xfId="43" applyNumberFormat="1" applyFont="1" applyBorder="1"/>
    <xf numFmtId="38" fontId="1" fillId="0" borderId="9" xfId="43" applyNumberFormat="1" applyFont="1" applyBorder="1"/>
    <xf numFmtId="38" fontId="32" fillId="35" borderId="43" xfId="43" applyNumberFormat="1" applyFont="1" applyFill="1" applyBorder="1"/>
    <xf numFmtId="38" fontId="1" fillId="0" borderId="15" xfId="43" applyNumberFormat="1" applyFont="1" applyFill="1" applyBorder="1" applyAlignment="1">
      <alignment horizontal="center"/>
    </xf>
    <xf numFmtId="38" fontId="1" fillId="0" borderId="6" xfId="43" applyNumberFormat="1" applyFont="1" applyFill="1" applyBorder="1"/>
    <xf numFmtId="38" fontId="1" fillId="0" borderId="9" xfId="43" applyNumberFormat="1" applyFont="1" applyFill="1" applyBorder="1"/>
    <xf numFmtId="38" fontId="32" fillId="35" borderId="17" xfId="43" applyNumberFormat="1" applyFont="1" applyFill="1" applyBorder="1"/>
    <xf numFmtId="38" fontId="1" fillId="33" borderId="6" xfId="43" applyNumberFormat="1" applyFont="1" applyFill="1" applyBorder="1" applyAlignment="1">
      <alignment horizontal="center"/>
    </xf>
    <xf numFmtId="38" fontId="32" fillId="0" borderId="44" xfId="43" applyNumberFormat="1" applyFont="1" applyBorder="1"/>
    <xf numFmtId="0" fontId="34" fillId="0" borderId="51" xfId="0" applyFont="1" applyBorder="1"/>
    <xf numFmtId="38" fontId="34" fillId="0" borderId="28" xfId="0" applyNumberFormat="1" applyFont="1" applyBorder="1"/>
    <xf numFmtId="2" fontId="35" fillId="0" borderId="47" xfId="43" applyNumberFormat="1" applyFont="1" applyFill="1" applyBorder="1" applyAlignment="1">
      <alignment horizontal="left"/>
    </xf>
    <xf numFmtId="0" fontId="35" fillId="0" borderId="31" xfId="43" applyFont="1" applyFill="1" applyBorder="1"/>
    <xf numFmtId="38" fontId="35" fillId="0" borderId="2" xfId="50" applyNumberFormat="1" applyFont="1" applyFill="1" applyBorder="1" applyAlignment="1">
      <alignment horizontal="right"/>
    </xf>
    <xf numFmtId="38" fontId="35" fillId="33" borderId="0" xfId="50" applyNumberFormat="1" applyFont="1" applyFill="1" applyBorder="1" applyAlignment="1">
      <alignment horizontal="right"/>
    </xf>
    <xf numFmtId="38" fontId="35" fillId="33" borderId="48" xfId="50" applyNumberFormat="1" applyFont="1" applyFill="1" applyBorder="1" applyAlignment="1">
      <alignment horizontal="right"/>
    </xf>
    <xf numFmtId="38" fontId="35" fillId="33" borderId="11" xfId="50" applyNumberFormat="1" applyFont="1" applyFill="1" applyBorder="1" applyAlignment="1">
      <alignment horizontal="right"/>
    </xf>
    <xf numFmtId="38" fontId="35" fillId="33" borderId="60" xfId="50" applyNumberFormat="1" applyFont="1" applyFill="1" applyBorder="1" applyAlignment="1">
      <alignment horizontal="right"/>
    </xf>
    <xf numFmtId="38" fontId="35" fillId="33" borderId="31" xfId="50" applyNumberFormat="1" applyFont="1" applyFill="1" applyBorder="1" applyAlignment="1">
      <alignment horizontal="right"/>
    </xf>
    <xf numFmtId="38" fontId="35" fillId="33" borderId="2" xfId="50" applyNumberFormat="1" applyFont="1" applyFill="1" applyBorder="1" applyAlignment="1">
      <alignment horizontal="right"/>
    </xf>
    <xf numFmtId="38" fontId="35" fillId="33" borderId="47" xfId="50" applyNumberFormat="1" applyFont="1" applyFill="1" applyBorder="1" applyAlignment="1">
      <alignment horizontal="right"/>
    </xf>
    <xf numFmtId="38" fontId="35" fillId="0" borderId="8" xfId="50" applyNumberFormat="1" applyFont="1" applyFill="1" applyBorder="1" applyAlignment="1">
      <alignment horizontal="right"/>
    </xf>
    <xf numFmtId="0" fontId="38" fillId="0" borderId="0" xfId="0" applyFont="1"/>
    <xf numFmtId="2" fontId="35" fillId="0" borderId="42" xfId="43" applyNumberFormat="1" applyFont="1" applyFill="1" applyBorder="1" applyAlignment="1">
      <alignment horizontal="left"/>
    </xf>
    <xf numFmtId="0" fontId="35" fillId="0" borderId="8" xfId="43" applyFont="1" applyFill="1" applyBorder="1"/>
    <xf numFmtId="38" fontId="35" fillId="33" borderId="4" xfId="50" applyNumberFormat="1" applyFont="1" applyFill="1" applyBorder="1" applyAlignment="1">
      <alignment horizontal="right"/>
    </xf>
    <xf numFmtId="38" fontId="35" fillId="33" borderId="1" xfId="50" applyNumberFormat="1" applyFont="1" applyFill="1" applyBorder="1" applyAlignment="1">
      <alignment horizontal="right"/>
    </xf>
    <xf numFmtId="38" fontId="35" fillId="33" borderId="8" xfId="50" applyNumberFormat="1" applyFont="1" applyFill="1" applyBorder="1" applyAlignment="1">
      <alignment horizontal="right"/>
    </xf>
    <xf numFmtId="38" fontId="35" fillId="33" borderId="42" xfId="50" applyNumberFormat="1" applyFont="1" applyFill="1" applyBorder="1" applyAlignment="1">
      <alignment horizontal="right"/>
    </xf>
    <xf numFmtId="38" fontId="37" fillId="35" borderId="2" xfId="50" applyNumberFormat="1" applyFont="1" applyFill="1" applyBorder="1"/>
    <xf numFmtId="2" fontId="39" fillId="34" borderId="51" xfId="43" quotePrefix="1" applyNumberFormat="1" applyFont="1" applyFill="1" applyBorder="1" applyAlignment="1">
      <alignment horizontal="left"/>
    </xf>
    <xf numFmtId="0" fontId="39" fillId="34" borderId="29" xfId="43" applyFont="1" applyFill="1" applyBorder="1"/>
    <xf numFmtId="38" fontId="39" fillId="34" borderId="67" xfId="50" applyNumberFormat="1" applyFont="1" applyFill="1" applyBorder="1" applyAlignment="1">
      <alignment horizontal="right"/>
    </xf>
    <xf numFmtId="38" fontId="39" fillId="33" borderId="57" xfId="50" applyNumberFormat="1" applyFont="1" applyFill="1" applyBorder="1" applyAlignment="1">
      <alignment horizontal="right"/>
    </xf>
    <xf numFmtId="38" fontId="39" fillId="33" borderId="56" xfId="50" applyNumberFormat="1" applyFont="1" applyFill="1" applyBorder="1" applyAlignment="1">
      <alignment horizontal="right"/>
    </xf>
    <xf numFmtId="38" fontId="39" fillId="33" borderId="63" xfId="50" applyNumberFormat="1" applyFont="1" applyFill="1" applyBorder="1" applyAlignment="1">
      <alignment horizontal="right"/>
    </xf>
    <xf numFmtId="38" fontId="39" fillId="33" borderId="29" xfId="50" applyNumberFormat="1" applyFont="1" applyFill="1" applyBorder="1" applyAlignment="1">
      <alignment horizontal="right"/>
    </xf>
    <xf numFmtId="38" fontId="39" fillId="33" borderId="67" xfId="50" applyNumberFormat="1" applyFont="1" applyFill="1" applyBorder="1" applyAlignment="1">
      <alignment horizontal="right"/>
    </xf>
    <xf numFmtId="38" fontId="39" fillId="33" borderId="51" xfId="50" applyNumberFormat="1" applyFont="1" applyFill="1" applyBorder="1" applyAlignment="1">
      <alignment horizontal="right"/>
    </xf>
    <xf numFmtId="38" fontId="39" fillId="34" borderId="29" xfId="50" applyNumberFormat="1" applyFont="1" applyFill="1" applyBorder="1" applyAlignment="1">
      <alignment horizontal="right"/>
    </xf>
    <xf numFmtId="38" fontId="35" fillId="0" borderId="66" xfId="50" applyNumberFormat="1" applyFont="1" applyFill="1" applyBorder="1" applyAlignment="1">
      <alignment horizontal="right"/>
    </xf>
    <xf numFmtId="38" fontId="35" fillId="33" borderId="66" xfId="50" applyNumberFormat="1" applyFont="1" applyFill="1" applyBorder="1" applyAlignment="1">
      <alignment horizontal="right"/>
    </xf>
    <xf numFmtId="38" fontId="35" fillId="0" borderId="31" xfId="50" applyNumberFormat="1" applyFont="1" applyFill="1" applyBorder="1" applyAlignment="1">
      <alignment horizontal="right"/>
    </xf>
    <xf numFmtId="2" fontId="35" fillId="0" borderId="41" xfId="43" applyNumberFormat="1" applyFont="1" applyFill="1" applyBorder="1" applyAlignment="1">
      <alignment horizontal="left"/>
    </xf>
    <xf numFmtId="38" fontId="35" fillId="33" borderId="22" xfId="50" applyNumberFormat="1" applyFont="1" applyFill="1" applyBorder="1" applyAlignment="1">
      <alignment horizontal="right"/>
    </xf>
    <xf numFmtId="38" fontId="35" fillId="33" borderId="52" xfId="50" applyNumberFormat="1" applyFont="1" applyFill="1" applyBorder="1" applyAlignment="1">
      <alignment horizontal="right"/>
    </xf>
    <xf numFmtId="38" fontId="35" fillId="33" borderId="24" xfId="50" applyNumberFormat="1" applyFont="1" applyFill="1" applyBorder="1" applyAlignment="1">
      <alignment horizontal="right"/>
    </xf>
    <xf numFmtId="38" fontId="35" fillId="33" borderId="18" xfId="50" applyNumberFormat="1" applyFont="1" applyFill="1" applyBorder="1" applyAlignment="1">
      <alignment horizontal="right"/>
    </xf>
    <xf numFmtId="38" fontId="35" fillId="33" borderId="41" xfId="50" applyNumberFormat="1" applyFont="1" applyFill="1" applyBorder="1" applyAlignment="1">
      <alignment horizontal="right"/>
    </xf>
    <xf numFmtId="2" fontId="39" fillId="0" borderId="56" xfId="43" applyNumberFormat="1" applyFont="1" applyFill="1" applyBorder="1" applyAlignment="1">
      <alignment horizontal="left"/>
    </xf>
    <xf numFmtId="0" fontId="39" fillId="0" borderId="29" xfId="43" applyFont="1" applyFill="1" applyBorder="1" applyAlignment="1"/>
    <xf numFmtId="38" fontId="39" fillId="0" borderId="67" xfId="50" applyNumberFormat="1" applyFont="1" applyFill="1" applyBorder="1" applyAlignment="1">
      <alignment horizontal="right"/>
    </xf>
    <xf numFmtId="38" fontId="39" fillId="0" borderId="29" xfId="50" applyNumberFormat="1" applyFont="1" applyFill="1" applyBorder="1" applyAlignment="1">
      <alignment horizontal="right"/>
    </xf>
    <xf numFmtId="0" fontId="40" fillId="0" borderId="0" xfId="0" applyFont="1" applyAlignment="1">
      <alignment horizontal="right"/>
    </xf>
    <xf numFmtId="0" fontId="1" fillId="0" borderId="48" xfId="43" applyFont="1" applyBorder="1"/>
    <xf numFmtId="0" fontId="1" fillId="33" borderId="57" xfId="43" applyFont="1" applyFill="1" applyBorder="1" applyAlignment="1">
      <alignment horizontal="center"/>
    </xf>
    <xf numFmtId="0" fontId="1" fillId="0" borderId="47" xfId="43" applyFont="1" applyFill="1" applyBorder="1"/>
    <xf numFmtId="0" fontId="1" fillId="0" borderId="22" xfId="43" applyFont="1" applyFill="1" applyBorder="1" applyAlignment="1">
      <alignment horizontal="center" wrapText="1"/>
    </xf>
    <xf numFmtId="0" fontId="1" fillId="0" borderId="67" xfId="43" applyFont="1" applyFill="1" applyBorder="1" applyAlignment="1">
      <alignment horizontal="center" wrapText="1"/>
    </xf>
    <xf numFmtId="0" fontId="1" fillId="33" borderId="65" xfId="43" applyFont="1" applyFill="1" applyBorder="1" applyAlignment="1">
      <alignment horizontal="center" wrapText="1"/>
    </xf>
    <xf numFmtId="0" fontId="1" fillId="33" borderId="52" xfId="43" applyFont="1" applyFill="1" applyBorder="1" applyAlignment="1">
      <alignment horizontal="center" wrapText="1"/>
    </xf>
    <xf numFmtId="0" fontId="1" fillId="33" borderId="24" xfId="43" applyFont="1" applyFill="1" applyBorder="1" applyAlignment="1">
      <alignment horizontal="center" wrapText="1"/>
    </xf>
    <xf numFmtId="0" fontId="1" fillId="33" borderId="23" xfId="43" applyFont="1" applyFill="1" applyBorder="1" applyAlignment="1">
      <alignment horizontal="center" wrapText="1"/>
    </xf>
    <xf numFmtId="0" fontId="1" fillId="33" borderId="41" xfId="43" applyFont="1" applyFill="1" applyBorder="1" applyAlignment="1">
      <alignment horizontal="center" wrapText="1"/>
    </xf>
    <xf numFmtId="38" fontId="32" fillId="0" borderId="9" xfId="43" applyNumberFormat="1" applyFont="1" applyFill="1" applyBorder="1" applyAlignment="1">
      <alignment horizontal="center"/>
    </xf>
    <xf numFmtId="0" fontId="35" fillId="0" borderId="0" xfId="43" applyFont="1" applyFill="1" applyBorder="1"/>
    <xf numFmtId="38" fontId="35" fillId="0" borderId="48" xfId="43" applyNumberFormat="1" applyFont="1" applyFill="1" applyBorder="1" applyAlignment="1">
      <alignment horizontal="right"/>
    </xf>
    <xf numFmtId="38" fontId="35" fillId="33" borderId="31" xfId="43" applyNumberFormat="1" applyFont="1" applyFill="1" applyBorder="1" applyAlignment="1">
      <alignment horizontal="right"/>
    </xf>
    <xf numFmtId="38" fontId="35" fillId="33" borderId="61" xfId="43" applyNumberFormat="1" applyFont="1" applyFill="1" applyBorder="1" applyAlignment="1">
      <alignment horizontal="right"/>
    </xf>
    <xf numFmtId="38" fontId="35" fillId="33" borderId="48" xfId="43" applyNumberFormat="1" applyFont="1" applyFill="1" applyBorder="1" applyAlignment="1">
      <alignment horizontal="right"/>
    </xf>
    <xf numFmtId="38" fontId="35" fillId="33" borderId="64" xfId="43" applyNumberFormat="1" applyFont="1" applyFill="1" applyBorder="1" applyAlignment="1">
      <alignment horizontal="right"/>
    </xf>
    <xf numFmtId="38" fontId="35" fillId="0" borderId="42" xfId="43" applyNumberFormat="1" applyFont="1" applyFill="1" applyBorder="1" applyAlignment="1">
      <alignment horizontal="right"/>
    </xf>
    <xf numFmtId="38" fontId="35" fillId="0" borderId="4" xfId="50" applyNumberFormat="1" applyFont="1" applyFill="1" applyBorder="1" applyAlignment="1">
      <alignment horizontal="right"/>
    </xf>
    <xf numFmtId="38" fontId="41" fillId="33" borderId="8" xfId="43" applyNumberFormat="1" applyFont="1" applyFill="1" applyBorder="1" applyAlignment="1">
      <alignment horizontal="right"/>
    </xf>
    <xf numFmtId="2" fontId="39" fillId="34" borderId="56" xfId="43" quotePrefix="1" applyNumberFormat="1" applyFont="1" applyFill="1" applyBorder="1" applyAlignment="1">
      <alignment horizontal="left"/>
    </xf>
    <xf numFmtId="0" fontId="39" fillId="34" borderId="57" xfId="43" applyFont="1" applyFill="1" applyBorder="1"/>
    <xf numFmtId="38" fontId="39" fillId="34" borderId="56" xfId="43" applyNumberFormat="1" applyFont="1" applyFill="1" applyBorder="1" applyAlignment="1">
      <alignment horizontal="right"/>
    </xf>
    <xf numFmtId="38" fontId="39" fillId="33" borderId="29" xfId="43" applyNumberFormat="1" applyFont="1" applyFill="1" applyBorder="1" applyAlignment="1">
      <alignment horizontal="right"/>
    </xf>
    <xf numFmtId="38" fontId="39" fillId="33" borderId="67" xfId="43" applyNumberFormat="1" applyFont="1" applyFill="1" applyBorder="1" applyAlignment="1">
      <alignment horizontal="right"/>
    </xf>
    <xf numFmtId="38" fontId="39" fillId="33" borderId="57" xfId="43" applyNumberFormat="1" applyFont="1" applyFill="1" applyBorder="1" applyAlignment="1">
      <alignment horizontal="right"/>
    </xf>
    <xf numFmtId="38" fontId="39" fillId="33" borderId="63" xfId="43" applyNumberFormat="1" applyFont="1" applyFill="1" applyBorder="1" applyAlignment="1">
      <alignment horizontal="right"/>
    </xf>
    <xf numFmtId="38" fontId="39" fillId="33" borderId="56" xfId="43" applyNumberFormat="1" applyFont="1" applyFill="1" applyBorder="1" applyAlignment="1">
      <alignment horizontal="right"/>
    </xf>
    <xf numFmtId="38" fontId="39" fillId="34" borderId="51" xfId="43" applyNumberFormat="1" applyFont="1" applyFill="1" applyBorder="1" applyAlignment="1">
      <alignment horizontal="right"/>
    </xf>
    <xf numFmtId="2" fontId="35" fillId="0" borderId="48" xfId="43" applyNumberFormat="1" applyFont="1" applyFill="1" applyBorder="1" applyAlignment="1">
      <alignment horizontal="left"/>
    </xf>
    <xf numFmtId="0" fontId="35" fillId="0" borderId="11" xfId="43" applyFont="1" applyFill="1" applyBorder="1"/>
    <xf numFmtId="38" fontId="35" fillId="33" borderId="66" xfId="43" applyNumberFormat="1" applyFont="1" applyFill="1" applyBorder="1" applyAlignment="1">
      <alignment horizontal="right"/>
    </xf>
    <xf numFmtId="38" fontId="35" fillId="33" borderId="11" xfId="43" applyNumberFormat="1" applyFont="1" applyFill="1" applyBorder="1" applyAlignment="1">
      <alignment horizontal="right"/>
    </xf>
    <xf numFmtId="38" fontId="35" fillId="33" borderId="60" xfId="43" applyNumberFormat="1" applyFont="1" applyFill="1" applyBorder="1" applyAlignment="1">
      <alignment horizontal="right"/>
    </xf>
    <xf numFmtId="38" fontId="35" fillId="0" borderId="47" xfId="43" applyNumberFormat="1" applyFont="1" applyFill="1" applyBorder="1" applyAlignment="1">
      <alignment horizontal="right"/>
    </xf>
    <xf numFmtId="0" fontId="39" fillId="0" borderId="57" xfId="43" applyFont="1" applyFill="1" applyBorder="1" applyAlignment="1"/>
    <xf numFmtId="38" fontId="39" fillId="0" borderId="56" xfId="43" applyNumberFormat="1" applyFont="1" applyFill="1" applyBorder="1" applyAlignment="1">
      <alignment horizontal="right"/>
    </xf>
    <xf numFmtId="38" fontId="39" fillId="0" borderId="51" xfId="43" applyNumberFormat="1" applyFont="1" applyFill="1" applyBorder="1" applyAlignment="1">
      <alignment horizontal="right"/>
    </xf>
    <xf numFmtId="0" fontId="39" fillId="0" borderId="0" xfId="43" applyFont="1" applyBorder="1"/>
    <xf numFmtId="0" fontId="35" fillId="0" borderId="0" xfId="43" applyFont="1" applyBorder="1"/>
    <xf numFmtId="3" fontId="39" fillId="0" borderId="0" xfId="43" applyNumberFormat="1" applyFont="1" applyBorder="1"/>
    <xf numFmtId="0" fontId="35" fillId="33" borderId="0" xfId="43" applyFont="1" applyFill="1"/>
    <xf numFmtId="0" fontId="37" fillId="0" borderId="0" xfId="0" applyFont="1"/>
    <xf numFmtId="3" fontId="35" fillId="0" borderId="0" xfId="43" applyNumberFormat="1" applyFont="1"/>
    <xf numFmtId="0" fontId="35" fillId="0" borderId="0" xfId="43" applyFont="1"/>
    <xf numFmtId="0" fontId="39" fillId="0" borderId="2" xfId="43" applyFont="1" applyBorder="1"/>
    <xf numFmtId="168" fontId="39" fillId="0" borderId="0" xfId="43" applyNumberFormat="1" applyFont="1" applyBorder="1"/>
    <xf numFmtId="0" fontId="35" fillId="33" borderId="0" xfId="43" applyFont="1" applyFill="1" applyBorder="1"/>
    <xf numFmtId="0" fontId="39" fillId="33" borderId="0" xfId="43" applyFont="1" applyFill="1" applyBorder="1" applyAlignment="1">
      <alignment horizontal="right"/>
    </xf>
    <xf numFmtId="0" fontId="35" fillId="0" borderId="48" xfId="43" applyFont="1" applyBorder="1"/>
    <xf numFmtId="0" fontId="35" fillId="0" borderId="31" xfId="43" applyFont="1" applyBorder="1"/>
    <xf numFmtId="0" fontId="35" fillId="33" borderId="29" xfId="43" applyFont="1" applyFill="1" applyBorder="1" applyAlignment="1">
      <alignment horizontal="center"/>
    </xf>
    <xf numFmtId="0" fontId="35" fillId="0" borderId="22" xfId="43" applyFont="1" applyFill="1" applyBorder="1" applyAlignment="1">
      <alignment horizontal="center" wrapText="1"/>
    </xf>
    <xf numFmtId="0" fontId="35" fillId="0" borderId="18" xfId="43" applyFont="1" applyFill="1" applyBorder="1"/>
    <xf numFmtId="0" fontId="35" fillId="0" borderId="56" xfId="43" applyFont="1" applyFill="1" applyBorder="1" applyAlignment="1">
      <alignment horizontal="center" wrapText="1"/>
    </xf>
    <xf numFmtId="0" fontId="35" fillId="33" borderId="29" xfId="43" applyFont="1" applyFill="1" applyBorder="1" applyAlignment="1">
      <alignment horizontal="center" wrapText="1"/>
    </xf>
    <xf numFmtId="0" fontId="35" fillId="33" borderId="56" xfId="43" applyFont="1" applyFill="1" applyBorder="1" applyAlignment="1">
      <alignment horizontal="center" wrapText="1"/>
    </xf>
    <xf numFmtId="0" fontId="35" fillId="33" borderId="57" xfId="43" applyFont="1" applyFill="1" applyBorder="1" applyAlignment="1">
      <alignment horizontal="center" wrapText="1"/>
    </xf>
    <xf numFmtId="0" fontId="35" fillId="33" borderId="63" xfId="43" applyFont="1" applyFill="1" applyBorder="1" applyAlignment="1">
      <alignment horizontal="center" wrapText="1"/>
    </xf>
    <xf numFmtId="0" fontId="35" fillId="33" borderId="51" xfId="43" applyFont="1" applyFill="1" applyBorder="1" applyAlignment="1">
      <alignment horizontal="center" wrapText="1"/>
    </xf>
    <xf numFmtId="0" fontId="35" fillId="33" borderId="18" xfId="43" applyFont="1" applyFill="1" applyBorder="1" applyAlignment="1">
      <alignment horizontal="center" wrapText="1"/>
    </xf>
    <xf numFmtId="38" fontId="35" fillId="0" borderId="2" xfId="43" applyNumberFormat="1" applyFont="1" applyFill="1" applyBorder="1" applyAlignment="1">
      <alignment horizontal="right"/>
    </xf>
    <xf numFmtId="38" fontId="35" fillId="33" borderId="47" xfId="43" applyNumberFormat="1" applyFont="1" applyFill="1" applyBorder="1" applyAlignment="1">
      <alignment horizontal="right"/>
    </xf>
    <xf numFmtId="38" fontId="37" fillId="35" borderId="2" xfId="0" applyNumberFormat="1" applyFont="1" applyFill="1" applyBorder="1"/>
    <xf numFmtId="38" fontId="39" fillId="34" borderId="67" xfId="43" applyNumberFormat="1" applyFont="1" applyFill="1" applyBorder="1" applyAlignment="1">
      <alignment horizontal="right"/>
    </xf>
    <xf numFmtId="49" fontId="39" fillId="33" borderId="51" xfId="43" applyNumberFormat="1" applyFont="1" applyFill="1" applyBorder="1" applyAlignment="1">
      <alignment horizontal="right"/>
    </xf>
    <xf numFmtId="38" fontId="39" fillId="34" borderId="29" xfId="43" applyNumberFormat="1" applyFont="1" applyFill="1" applyBorder="1" applyAlignment="1">
      <alignment horizontal="right"/>
    </xf>
    <xf numFmtId="38" fontId="35" fillId="0" borderId="66" xfId="43" applyNumberFormat="1" applyFont="1" applyFill="1" applyBorder="1" applyAlignment="1">
      <alignment horizontal="right"/>
    </xf>
    <xf numFmtId="38" fontId="35" fillId="0" borderId="31" xfId="43" applyNumberFormat="1" applyFont="1" applyFill="1" applyBorder="1" applyAlignment="1">
      <alignment horizontal="right"/>
    </xf>
    <xf numFmtId="38" fontId="39" fillId="0" borderId="67" xfId="43" applyNumberFormat="1" applyFont="1" applyFill="1" applyBorder="1" applyAlignment="1">
      <alignment horizontal="right"/>
    </xf>
    <xf numFmtId="38" fontId="39" fillId="0" borderId="29" xfId="43" applyNumberFormat="1" applyFont="1" applyFill="1" applyBorder="1" applyAlignment="1">
      <alignment horizontal="right"/>
    </xf>
    <xf numFmtId="0" fontId="37" fillId="33" borderId="0" xfId="0" applyFont="1" applyFill="1"/>
    <xf numFmtId="0" fontId="39" fillId="35" borderId="12" xfId="43" applyFont="1" applyFill="1" applyBorder="1" applyAlignment="1">
      <alignment horizontal="centerContinuous"/>
    </xf>
    <xf numFmtId="0" fontId="35" fillId="35" borderId="13" xfId="43" applyFont="1" applyFill="1" applyBorder="1" applyAlignment="1">
      <alignment horizontal="centerContinuous"/>
    </xf>
    <xf numFmtId="3" fontId="35" fillId="35" borderId="14" xfId="43" applyNumberFormat="1" applyFont="1" applyFill="1" applyBorder="1" applyAlignment="1">
      <alignment horizontal="centerContinuous"/>
    </xf>
    <xf numFmtId="0" fontId="35" fillId="0" borderId="19" xfId="43" applyFont="1" applyFill="1" applyBorder="1" applyAlignment="1">
      <alignment horizontal="right"/>
    </xf>
    <xf numFmtId="38" fontId="39" fillId="0" borderId="9" xfId="43" applyNumberFormat="1" applyFont="1" applyFill="1" applyBorder="1" applyAlignment="1">
      <alignment horizontal="center"/>
    </xf>
    <xf numFmtId="3" fontId="39" fillId="0" borderId="10" xfId="43" applyNumberFormat="1" applyFont="1" applyFill="1" applyBorder="1" applyAlignment="1">
      <alignment horizontal="center"/>
    </xf>
    <xf numFmtId="10" fontId="35" fillId="0" borderId="7" xfId="43" applyNumberFormat="1" applyFont="1" applyFill="1" applyBorder="1" applyAlignment="1">
      <alignment horizontal="left"/>
    </xf>
    <xf numFmtId="38" fontId="35" fillId="0" borderId="6" xfId="43" applyNumberFormat="1" applyFont="1" applyFill="1" applyBorder="1" applyAlignment="1">
      <alignment horizontal="center"/>
    </xf>
    <xf numFmtId="164" fontId="35" fillId="0" borderId="8" xfId="43" applyNumberFormat="1" applyFont="1" applyFill="1" applyBorder="1" applyAlignment="1">
      <alignment horizontal="center"/>
    </xf>
    <xf numFmtId="10" fontId="35" fillId="0" borderId="7" xfId="43" applyNumberFormat="1" applyFont="1" applyBorder="1" applyAlignment="1">
      <alignment horizontal="left" indent="2"/>
    </xf>
    <xf numFmtId="38" fontId="35" fillId="0" borderId="6" xfId="43" applyNumberFormat="1" applyFont="1" applyBorder="1"/>
    <xf numFmtId="164" fontId="35" fillId="0" borderId="8" xfId="43" applyNumberFormat="1" applyFont="1" applyBorder="1"/>
    <xf numFmtId="10" fontId="35" fillId="0" borderId="19" xfId="43" applyNumberFormat="1" applyFont="1" applyBorder="1" applyAlignment="1">
      <alignment horizontal="left" indent="2"/>
    </xf>
    <xf numFmtId="38" fontId="35" fillId="0" borderId="9" xfId="43" applyNumberFormat="1" applyFont="1" applyBorder="1"/>
    <xf numFmtId="164" fontId="35" fillId="0" borderId="10" xfId="43" applyNumberFormat="1" applyFont="1" applyBorder="1"/>
    <xf numFmtId="10" fontId="39" fillId="35" borderId="25" xfId="43" applyNumberFormat="1" applyFont="1" applyFill="1" applyBorder="1" applyAlignment="1">
      <alignment horizontal="left"/>
    </xf>
    <xf numFmtId="38" fontId="39" fillId="35" borderId="43" xfId="43" applyNumberFormat="1" applyFont="1" applyFill="1" applyBorder="1"/>
    <xf numFmtId="164" fontId="39" fillId="35" borderId="18" xfId="43" applyNumberFormat="1" applyFont="1" applyFill="1" applyBorder="1"/>
    <xf numFmtId="0" fontId="35" fillId="0" borderId="21" xfId="43" applyFont="1" applyFill="1" applyBorder="1" applyAlignment="1">
      <alignment horizontal="left"/>
    </xf>
    <xf numFmtId="38" fontId="35" fillId="0" borderId="15" xfId="43" applyNumberFormat="1" applyFont="1" applyFill="1" applyBorder="1" applyAlignment="1">
      <alignment horizontal="center"/>
    </xf>
    <xf numFmtId="164" fontId="35" fillId="0" borderId="16" xfId="43" applyNumberFormat="1" applyFont="1" applyFill="1" applyBorder="1" applyAlignment="1">
      <alignment horizontal="center"/>
    </xf>
    <xf numFmtId="10" fontId="35" fillId="0" borderId="7" xfId="43" applyNumberFormat="1" applyFont="1" applyFill="1" applyBorder="1" applyAlignment="1">
      <alignment horizontal="left" indent="2"/>
    </xf>
    <xf numFmtId="38" fontId="35" fillId="0" borderId="6" xfId="43" applyNumberFormat="1" applyFont="1" applyFill="1" applyBorder="1"/>
    <xf numFmtId="164" fontId="35" fillId="0" borderId="8" xfId="43" applyNumberFormat="1" applyFont="1" applyFill="1" applyBorder="1"/>
    <xf numFmtId="10" fontId="35" fillId="0" borderId="19" xfId="43" applyNumberFormat="1" applyFont="1" applyFill="1" applyBorder="1" applyAlignment="1">
      <alignment horizontal="left" indent="2"/>
    </xf>
    <xf numFmtId="38" fontId="35" fillId="0" borderId="9" xfId="43" applyNumberFormat="1" applyFont="1" applyFill="1" applyBorder="1"/>
    <xf numFmtId="164" fontId="35" fillId="0" borderId="45" xfId="43" applyNumberFormat="1" applyFont="1" applyFill="1" applyBorder="1"/>
    <xf numFmtId="38" fontId="39" fillId="35" borderId="17" xfId="43" applyNumberFormat="1" applyFont="1" applyFill="1" applyBorder="1"/>
    <xf numFmtId="38" fontId="35" fillId="33" borderId="6" xfId="43" applyNumberFormat="1" applyFont="1" applyFill="1" applyBorder="1" applyAlignment="1">
      <alignment horizontal="center"/>
    </xf>
    <xf numFmtId="164" fontId="35" fillId="0" borderId="8" xfId="43" applyNumberFormat="1" applyFont="1" applyBorder="1" applyAlignment="1">
      <alignment horizontal="center"/>
    </xf>
    <xf numFmtId="38" fontId="39" fillId="0" borderId="44" xfId="43" applyNumberFormat="1" applyFont="1" applyBorder="1"/>
    <xf numFmtId="164" fontId="39" fillId="0" borderId="31" xfId="43" applyNumberFormat="1" applyFont="1" applyBorder="1"/>
    <xf numFmtId="10" fontId="39" fillId="35" borderId="19" xfId="43" applyNumberFormat="1" applyFont="1" applyFill="1" applyBorder="1" applyAlignment="1">
      <alignment horizontal="left" wrapText="1"/>
    </xf>
    <xf numFmtId="38" fontId="39" fillId="35" borderId="17" xfId="43" applyNumberFormat="1" applyFont="1" applyFill="1" applyBorder="1" applyAlignment="1">
      <alignment horizontal="right"/>
    </xf>
    <xf numFmtId="49" fontId="39" fillId="35" borderId="18" xfId="43" applyNumberFormat="1" applyFont="1" applyFill="1" applyBorder="1" applyAlignment="1">
      <alignment horizontal="right"/>
    </xf>
    <xf numFmtId="0" fontId="42" fillId="0" borderId="27" xfId="0" applyFont="1" applyBorder="1"/>
    <xf numFmtId="3" fontId="42" fillId="0" borderId="28" xfId="0" applyNumberFormat="1" applyFont="1" applyBorder="1"/>
    <xf numFmtId="164" fontId="42" fillId="0" borderId="29" xfId="0" applyNumberFormat="1" applyFont="1" applyBorder="1"/>
    <xf numFmtId="0" fontId="42" fillId="0" borderId="0" xfId="0" applyFont="1" applyAlignment="1">
      <alignment horizontal="right"/>
    </xf>
    <xf numFmtId="0" fontId="35" fillId="33" borderId="51" xfId="43" applyFont="1" applyFill="1" applyBorder="1" applyAlignment="1">
      <alignment horizontal="center"/>
    </xf>
    <xf numFmtId="0" fontId="35" fillId="33" borderId="67" xfId="43" applyFont="1" applyFill="1" applyBorder="1" applyAlignment="1">
      <alignment horizontal="center" wrapText="1"/>
    </xf>
    <xf numFmtId="0" fontId="39" fillId="33" borderId="0" xfId="43" applyFont="1" applyFill="1" applyBorder="1" applyAlignment="1">
      <alignment horizontal="right"/>
    </xf>
    <xf numFmtId="0" fontId="35" fillId="33" borderId="47" xfId="43" applyFont="1" applyFill="1" applyBorder="1" applyAlignment="1">
      <alignment horizontal="center"/>
    </xf>
    <xf numFmtId="0" fontId="35" fillId="0" borderId="52" xfId="43" applyFont="1" applyFill="1" applyBorder="1"/>
    <xf numFmtId="0" fontId="35" fillId="33" borderId="27" xfId="43" applyFont="1" applyFill="1" applyBorder="1" applyAlignment="1">
      <alignment horizontal="center" wrapText="1"/>
    </xf>
    <xf numFmtId="38" fontId="39" fillId="33" borderId="51" xfId="43" applyNumberFormat="1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49" fontId="39" fillId="33" borderId="56" xfId="43" applyNumberFormat="1" applyFont="1" applyFill="1" applyBorder="1" applyAlignment="1">
      <alignment horizontal="right"/>
    </xf>
    <xf numFmtId="38" fontId="35" fillId="0" borderId="6" xfId="43" applyNumberFormat="1" applyFont="1" applyFill="1" applyBorder="1" applyAlignment="1">
      <alignment horizontal="right"/>
    </xf>
    <xf numFmtId="49" fontId="35" fillId="0" borderId="8" xfId="43" applyNumberFormat="1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38" fontId="35" fillId="36" borderId="8" xfId="43" applyNumberFormat="1" applyFont="1" applyFill="1" applyBorder="1" applyAlignment="1">
      <alignment horizontal="right"/>
    </xf>
    <xf numFmtId="49" fontId="39" fillId="33" borderId="57" xfId="43" applyNumberFormat="1" applyFont="1" applyFill="1" applyBorder="1" applyAlignment="1">
      <alignment horizontal="right"/>
    </xf>
    <xf numFmtId="38" fontId="35" fillId="0" borderId="9" xfId="43" applyNumberFormat="1" applyFont="1" applyBorder="1" applyAlignment="1">
      <alignment horizontal="right"/>
    </xf>
    <xf numFmtId="49" fontId="35" fillId="0" borderId="10" xfId="43" applyNumberFormat="1" applyFont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10" fontId="35" fillId="0" borderId="8" xfId="43" applyNumberFormat="1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5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49" fontId="39" fillId="33" borderId="29" xfId="43" applyNumberFormat="1" applyFont="1" applyFill="1" applyBorder="1" applyAlignment="1">
      <alignment horizontal="right"/>
    </xf>
    <xf numFmtId="38" fontId="35" fillId="0" borderId="9" xfId="43" applyNumberFormat="1" applyFont="1" applyFill="1" applyBorder="1" applyAlignment="1">
      <alignment horizontal="right"/>
    </xf>
    <xf numFmtId="49" fontId="35" fillId="0" borderId="45" xfId="43" applyNumberFormat="1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38" fontId="1" fillId="0" borderId="4" xfId="50" applyNumberFormat="1" applyFont="1" applyFill="1" applyBorder="1" applyAlignment="1">
      <alignment horizontal="right"/>
    </xf>
    <xf numFmtId="38" fontId="1" fillId="33" borderId="0" xfId="50" applyNumberFormat="1" applyFont="1" applyFill="1" applyBorder="1" applyAlignment="1">
      <alignment horizontal="right"/>
    </xf>
    <xf numFmtId="38" fontId="1" fillId="33" borderId="4" xfId="50" applyNumberFormat="1" applyFont="1" applyFill="1" applyBorder="1" applyAlignment="1">
      <alignment horizontal="right"/>
    </xf>
    <xf numFmtId="38" fontId="1" fillId="33" borderId="1" xfId="50" applyNumberFormat="1" applyFont="1" applyFill="1" applyBorder="1" applyAlignment="1">
      <alignment horizontal="right"/>
    </xf>
    <xf numFmtId="38" fontId="1" fillId="33" borderId="42" xfId="50" applyNumberFormat="1" applyFont="1" applyFill="1" applyBorder="1" applyAlignment="1">
      <alignment horizontal="right"/>
    </xf>
    <xf numFmtId="38" fontId="33" fillId="35" borderId="4" xfId="0" applyNumberFormat="1" applyFont="1" applyFill="1" applyBorder="1"/>
    <xf numFmtId="0" fontId="32" fillId="34" borderId="57" xfId="43" applyFont="1" applyFill="1" applyBorder="1"/>
    <xf numFmtId="0" fontId="1" fillId="0" borderId="8" xfId="43" applyFont="1" applyFill="1" applyBorder="1"/>
    <xf numFmtId="38" fontId="1" fillId="0" borderId="2" xfId="43" applyNumberFormat="1" applyFont="1" applyFill="1" applyBorder="1" applyAlignment="1">
      <alignment horizontal="right"/>
    </xf>
    <xf numFmtId="0" fontId="32" fillId="0" borderId="29" xfId="43" applyFont="1" applyFill="1" applyBorder="1" applyAlignment="1"/>
    <xf numFmtId="38" fontId="32" fillId="0" borderId="67" xfId="43" applyNumberFormat="1" applyFont="1" applyFill="1" applyBorder="1" applyAlignment="1">
      <alignment horizontal="right"/>
    </xf>
    <xf numFmtId="38" fontId="32" fillId="0" borderId="29" xfId="43" applyNumberFormat="1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49" fontId="32" fillId="33" borderId="57" xfId="43" applyNumberFormat="1" applyFont="1" applyFill="1" applyBorder="1" applyAlignment="1">
      <alignment horizontal="right"/>
    </xf>
    <xf numFmtId="38" fontId="1" fillId="0" borderId="6" xfId="43" applyNumberFormat="1" applyFont="1" applyFill="1" applyBorder="1" applyAlignment="1">
      <alignment horizontal="right"/>
    </xf>
    <xf numFmtId="49" fontId="1" fillId="0" borderId="8" xfId="43" applyNumberFormat="1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10" fontId="35" fillId="0" borderId="8" xfId="43" applyNumberFormat="1" applyFont="1" applyFill="1" applyBorder="1"/>
    <xf numFmtId="0" fontId="32" fillId="33" borderId="0" xfId="43" applyFont="1" applyFill="1" applyBorder="1" applyAlignment="1">
      <alignment horizontal="right"/>
    </xf>
    <xf numFmtId="38" fontId="43" fillId="33" borderId="0" xfId="43" applyNumberFormat="1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169" fontId="32" fillId="0" borderId="0" xfId="50" applyNumberFormat="1" applyFont="1" applyBorder="1"/>
    <xf numFmtId="0" fontId="32" fillId="33" borderId="0" xfId="43" applyFont="1" applyFill="1" applyBorder="1" applyAlignment="1">
      <alignment horizontal="right"/>
    </xf>
    <xf numFmtId="49" fontId="32" fillId="33" borderId="56" xfId="43" applyNumberFormat="1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0" fontId="32" fillId="33" borderId="0" xfId="43" applyFont="1" applyFill="1" applyBorder="1" applyAlignment="1">
      <alignment horizontal="right"/>
    </xf>
    <xf numFmtId="38" fontId="33" fillId="33" borderId="0" xfId="0" applyNumberFormat="1" applyFont="1" applyFill="1" applyBorder="1"/>
    <xf numFmtId="38" fontId="1" fillId="0" borderId="6" xfId="43" applyNumberFormat="1" applyFont="1" applyFill="1" applyBorder="1" applyAlignment="1">
      <alignment horizontal="left" indent="7"/>
    </xf>
    <xf numFmtId="0" fontId="1" fillId="0" borderId="27" xfId="43" applyFont="1" applyBorder="1" applyAlignment="1">
      <alignment horizontal="center"/>
    </xf>
    <xf numFmtId="0" fontId="1" fillId="0" borderId="57" xfId="43" applyFont="1" applyBorder="1" applyAlignment="1">
      <alignment horizontal="center"/>
    </xf>
    <xf numFmtId="0" fontId="1" fillId="0" borderId="29" xfId="43" applyFont="1" applyBorder="1" applyAlignment="1">
      <alignment horizontal="center"/>
    </xf>
    <xf numFmtId="0" fontId="1" fillId="0" borderId="62" xfId="43" applyFont="1" applyBorder="1" applyAlignment="1">
      <alignment horizontal="center"/>
    </xf>
    <xf numFmtId="0" fontId="1" fillId="0" borderId="11" xfId="43" applyFont="1" applyBorder="1" applyAlignment="1">
      <alignment horizontal="center"/>
    </xf>
    <xf numFmtId="0" fontId="1" fillId="0" borderId="31" xfId="43" applyFont="1" applyBorder="1" applyAlignment="1">
      <alignment horizontal="center"/>
    </xf>
    <xf numFmtId="0" fontId="32" fillId="33" borderId="0" xfId="43" applyFont="1" applyFill="1" applyBorder="1" applyAlignment="1">
      <alignment horizontal="right"/>
    </xf>
    <xf numFmtId="0" fontId="32" fillId="0" borderId="0" xfId="43" applyFont="1" applyBorder="1" applyAlignment="1">
      <alignment horizontal="right"/>
    </xf>
    <xf numFmtId="0" fontId="32" fillId="0" borderId="52" xfId="43" applyFont="1" applyBorder="1" applyAlignment="1">
      <alignment horizontal="right"/>
    </xf>
    <xf numFmtId="0" fontId="35" fillId="0" borderId="57" xfId="43" applyFont="1" applyBorder="1" applyAlignment="1">
      <alignment horizontal="center"/>
    </xf>
    <xf numFmtId="0" fontId="35" fillId="0" borderId="27" xfId="43" applyFont="1" applyBorder="1" applyAlignment="1">
      <alignment horizontal="center"/>
    </xf>
    <xf numFmtId="0" fontId="35" fillId="0" borderId="29" xfId="43" applyFont="1" applyBorder="1" applyAlignment="1">
      <alignment horizontal="center"/>
    </xf>
    <xf numFmtId="0" fontId="39" fillId="0" borderId="0" xfId="43" applyFont="1" applyBorder="1" applyAlignment="1">
      <alignment horizontal="right"/>
    </xf>
    <xf numFmtId="0" fontId="39" fillId="33" borderId="0" xfId="43" applyFont="1" applyFill="1" applyBorder="1" applyAlignment="1">
      <alignment horizontal="right"/>
    </xf>
    <xf numFmtId="0" fontId="35" fillId="0" borderId="62" xfId="43" applyFont="1" applyBorder="1" applyAlignment="1">
      <alignment horizontal="center"/>
    </xf>
    <xf numFmtId="0" fontId="35" fillId="0" borderId="11" xfId="43" applyFont="1" applyBorder="1" applyAlignment="1">
      <alignment horizontal="center"/>
    </xf>
    <xf numFmtId="0" fontId="29" fillId="0" borderId="0" xfId="0" applyFont="1" applyAlignment="1">
      <alignment wrapText="1"/>
    </xf>
    <xf numFmtId="0" fontId="27" fillId="0" borderId="56" xfId="42" applyFont="1" applyBorder="1" applyAlignment="1">
      <alignment horizontal="center" vertical="center"/>
    </xf>
    <xf numFmtId="0" fontId="27" fillId="0" borderId="63" xfId="42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27" fillId="0" borderId="55" xfId="42" applyFont="1" applyBorder="1" applyAlignment="1">
      <alignment horizontal="center" vertical="center"/>
    </xf>
    <xf numFmtId="0" fontId="44" fillId="0" borderId="0" xfId="55" applyFont="1"/>
    <xf numFmtId="0" fontId="44" fillId="0" borderId="0" xfId="55" applyFont="1" applyFill="1"/>
    <xf numFmtId="0" fontId="34" fillId="0" borderId="0" xfId="55" applyFont="1" applyAlignment="1">
      <alignment horizontal="center"/>
    </xf>
    <xf numFmtId="0" fontId="45" fillId="0" borderId="0" xfId="55" applyFont="1" applyAlignment="1">
      <alignment horizontal="right"/>
    </xf>
    <xf numFmtId="0" fontId="44" fillId="0" borderId="0" xfId="55" applyFont="1" applyAlignment="1">
      <alignment horizontal="center"/>
    </xf>
    <xf numFmtId="6" fontId="44" fillId="0" borderId="0" xfId="55" applyNumberFormat="1" applyFont="1" applyAlignment="1">
      <alignment horizontal="right"/>
    </xf>
    <xf numFmtId="6" fontId="44" fillId="0" borderId="0" xfId="55" applyNumberFormat="1" applyFont="1" applyFill="1" applyAlignment="1">
      <alignment horizontal="right"/>
    </xf>
    <xf numFmtId="0" fontId="46" fillId="0" borderId="27" xfId="55" applyFont="1" applyBorder="1" applyAlignment="1"/>
    <xf numFmtId="0" fontId="47" fillId="0" borderId="0" xfId="55" applyFont="1"/>
    <xf numFmtId="37" fontId="47" fillId="0" borderId="0" xfId="55" applyNumberFormat="1" applyFont="1" applyFill="1" applyBorder="1"/>
    <xf numFmtId="41" fontId="47" fillId="0" borderId="0" xfId="55" applyNumberFormat="1" applyFont="1"/>
    <xf numFmtId="0" fontId="47" fillId="0" borderId="0" xfId="55" applyFont="1" applyFill="1"/>
    <xf numFmtId="3" fontId="47" fillId="0" borderId="49" xfId="55" applyNumberFormat="1" applyFont="1" applyFill="1" applyBorder="1" applyAlignment="1">
      <alignment horizontal="right"/>
    </xf>
    <xf numFmtId="167" fontId="47" fillId="0" borderId="49" xfId="55" applyNumberFormat="1" applyFont="1" applyFill="1" applyBorder="1" applyAlignment="1">
      <alignment horizontal="right"/>
    </xf>
    <xf numFmtId="0" fontId="46" fillId="0" borderId="63" xfId="55" applyFont="1" applyFill="1" applyBorder="1" applyAlignment="1">
      <alignment horizontal="center" wrapText="1"/>
    </xf>
    <xf numFmtId="0" fontId="46" fillId="0" borderId="55" xfId="55" applyFont="1" applyFill="1" applyBorder="1" applyAlignment="1">
      <alignment horizontal="center" wrapText="1"/>
    </xf>
    <xf numFmtId="3" fontId="47" fillId="37" borderId="75" xfId="55" applyNumberFormat="1" applyFont="1" applyFill="1" applyBorder="1" applyAlignment="1">
      <alignment horizontal="right"/>
    </xf>
    <xf numFmtId="167" fontId="47" fillId="37" borderId="75" xfId="55" applyNumberFormat="1" applyFont="1" applyFill="1" applyBorder="1" applyAlignment="1">
      <alignment horizontal="right"/>
    </xf>
    <xf numFmtId="3" fontId="47" fillId="37" borderId="49" xfId="55" applyNumberFormat="1" applyFont="1" applyFill="1" applyBorder="1" applyAlignment="1">
      <alignment horizontal="right"/>
    </xf>
    <xf numFmtId="167" fontId="47" fillId="37" borderId="49" xfId="55" applyNumberFormat="1" applyFont="1" applyFill="1" applyBorder="1" applyAlignment="1">
      <alignment horizontal="right"/>
    </xf>
    <xf numFmtId="0" fontId="47" fillId="37" borderId="79" xfId="55" applyFont="1" applyFill="1" applyBorder="1"/>
    <xf numFmtId="0" fontId="47" fillId="33" borderId="80" xfId="55" applyFont="1" applyFill="1" applyBorder="1"/>
    <xf numFmtId="0" fontId="47" fillId="37" borderId="80" xfId="55" applyFont="1" applyFill="1" applyBorder="1"/>
    <xf numFmtId="0" fontId="47" fillId="0" borderId="80" xfId="55" applyFont="1" applyFill="1" applyBorder="1"/>
    <xf numFmtId="0" fontId="46" fillId="0" borderId="80" xfId="55" applyFont="1" applyBorder="1" applyAlignment="1">
      <alignment horizontal="left"/>
    </xf>
    <xf numFmtId="0" fontId="46" fillId="0" borderId="56" xfId="55" applyFont="1" applyFill="1" applyBorder="1" applyAlignment="1">
      <alignment horizontal="center" wrapText="1"/>
    </xf>
    <xf numFmtId="3" fontId="47" fillId="37" borderId="3" xfId="55" applyNumberFormat="1" applyFont="1" applyFill="1" applyBorder="1" applyAlignment="1">
      <alignment horizontal="right"/>
    </xf>
    <xf numFmtId="3" fontId="47" fillId="37" borderId="5" xfId="55" applyNumberFormat="1" applyFont="1" applyFill="1" applyBorder="1" applyAlignment="1">
      <alignment horizontal="right"/>
    </xf>
    <xf numFmtId="3" fontId="47" fillId="0" borderId="30" xfId="55" applyNumberFormat="1" applyFont="1" applyFill="1" applyBorder="1" applyAlignment="1">
      <alignment horizontal="right"/>
    </xf>
    <xf numFmtId="3" fontId="47" fillId="0" borderId="46" xfId="55" applyNumberFormat="1" applyFont="1" applyFill="1" applyBorder="1" applyAlignment="1">
      <alignment horizontal="right"/>
    </xf>
    <xf numFmtId="3" fontId="47" fillId="37" borderId="30" xfId="55" applyNumberFormat="1" applyFont="1" applyFill="1" applyBorder="1" applyAlignment="1">
      <alignment horizontal="right"/>
    </xf>
    <xf numFmtId="3" fontId="47" fillId="37" borderId="46" xfId="55" applyNumberFormat="1" applyFont="1" applyFill="1" applyBorder="1" applyAlignment="1">
      <alignment horizontal="right"/>
    </xf>
    <xf numFmtId="3" fontId="46" fillId="0" borderId="53" xfId="55" applyNumberFormat="1" applyFont="1" applyFill="1" applyBorder="1" applyAlignment="1">
      <alignment horizontal="right"/>
    </xf>
    <xf numFmtId="167" fontId="46" fillId="0" borderId="59" xfId="55" applyNumberFormat="1" applyFont="1" applyFill="1" applyBorder="1" applyAlignment="1">
      <alignment horizontal="right"/>
    </xf>
    <xf numFmtId="3" fontId="46" fillId="0" borderId="58" xfId="55" applyNumberFormat="1" applyFont="1" applyFill="1" applyBorder="1" applyAlignment="1">
      <alignment horizontal="right"/>
    </xf>
    <xf numFmtId="41" fontId="47" fillId="37" borderId="3" xfId="55" applyNumberFormat="1" applyFont="1" applyFill="1" applyBorder="1" applyAlignment="1">
      <alignment horizontal="right"/>
    </xf>
    <xf numFmtId="4" fontId="47" fillId="37" borderId="5" xfId="55" applyNumberFormat="1" applyFont="1" applyFill="1" applyBorder="1" applyAlignment="1">
      <alignment horizontal="right"/>
    </xf>
    <xf numFmtId="41" fontId="47" fillId="0" borderId="30" xfId="55" applyNumberFormat="1" applyFont="1" applyFill="1" applyBorder="1" applyAlignment="1">
      <alignment horizontal="right"/>
    </xf>
    <xf numFmtId="4" fontId="47" fillId="0" borderId="46" xfId="55" applyNumberFormat="1" applyFont="1" applyFill="1" applyBorder="1" applyAlignment="1">
      <alignment horizontal="right"/>
    </xf>
    <xf numFmtId="41" fontId="47" fillId="37" borderId="30" xfId="55" applyNumberFormat="1" applyFont="1" applyFill="1" applyBorder="1" applyAlignment="1">
      <alignment horizontal="right"/>
    </xf>
    <xf numFmtId="4" fontId="47" fillId="37" borderId="46" xfId="55" applyNumberFormat="1" applyFont="1" applyFill="1" applyBorder="1" applyAlignment="1">
      <alignment horizontal="right"/>
    </xf>
    <xf numFmtId="41" fontId="46" fillId="0" borderId="53" xfId="55" applyNumberFormat="1" applyFont="1" applyFill="1" applyBorder="1" applyAlignment="1">
      <alignment horizontal="right"/>
    </xf>
    <xf numFmtId="3" fontId="46" fillId="0" borderId="59" xfId="55" applyNumberFormat="1" applyFont="1" applyFill="1" applyBorder="1" applyAlignment="1">
      <alignment horizontal="right"/>
    </xf>
    <xf numFmtId="39" fontId="46" fillId="0" borderId="58" xfId="55" applyNumberFormat="1" applyFont="1" applyFill="1" applyBorder="1" applyAlignment="1">
      <alignment horizontal="right"/>
    </xf>
    <xf numFmtId="37" fontId="47" fillId="37" borderId="3" xfId="55" applyNumberFormat="1" applyFont="1" applyFill="1" applyBorder="1" applyAlignment="1">
      <alignment horizontal="right"/>
    </xf>
    <xf numFmtId="37" fontId="47" fillId="0" borderId="30" xfId="55" applyNumberFormat="1" applyFont="1" applyFill="1" applyBorder="1" applyAlignment="1">
      <alignment horizontal="right"/>
    </xf>
    <xf numFmtId="37" fontId="47" fillId="37" borderId="30" xfId="55" applyNumberFormat="1" applyFont="1" applyFill="1" applyBorder="1" applyAlignment="1">
      <alignment horizontal="right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" xfId="26"/>
    <cellStyle name="Calculation" xfId="27" builtinId="22" customBuiltin="1"/>
    <cellStyle name="Check Cell" xfId="28" builtinId="23" customBuiltin="1"/>
    <cellStyle name="Comma" xfId="50" builtinId="3"/>
    <cellStyle name="Comma 2" xfId="29"/>
    <cellStyle name="Comma 2 2" xfId="52"/>
    <cellStyle name="Comma 3" xfId="30"/>
    <cellStyle name="Comma 3 2" xfId="53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 2" xfId="37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4" xfId="55"/>
    <cellStyle name="Note" xfId="44" builtinId="10" customBuiltin="1"/>
    <cellStyle name="Output" xfId="45" builtinId="21" customBuiltin="1"/>
    <cellStyle name="Percent" xfId="51" builtinId="5"/>
    <cellStyle name="Percent 2" xfId="46"/>
    <cellStyle name="Percent 2 2" xfId="54"/>
    <cellStyle name="Title" xfId="47" builtinId="15" customBuiltin="1"/>
    <cellStyle name="Total" xfId="48" builtinId="25" customBuiltin="1"/>
    <cellStyle name="Warning Text" xfId="49" builtinId="11" customBuiltin="1"/>
  </cellStyles>
  <dxfs count="14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79F200"/>
      <color rgb="FF5CB800"/>
      <color rgb="FFA996C0"/>
      <color rgb="FFA162D0"/>
      <color rgb="FFCDFF9B"/>
      <color rgb="FF69D200"/>
      <color rgb="FF4D9A00"/>
      <color rgb="FF336600"/>
      <color rgb="FF83DE50"/>
      <color rgb="FFBE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89935018806395E-2"/>
          <c:y val="0.13765945547674635"/>
          <c:w val="0.82276846804405857"/>
          <c:h val="0.792324832000284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3.472025932655854E-2"/>
                  <c:y val="5.636978579481397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773341941309856E-2"/>
                  <c:y val="-6.89255854125480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272276429431007E-2"/>
                  <c:y val="-4.660845869984830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('Exp Code Ag Pgs 4&amp;5 Do Not Inpt'!$B$66,'Exp Code Ag Pgs 4&amp;5 Do Not Inpt'!$B$67,'Exp Code Ag Pgs 4&amp;5 Do Not Inpt'!$B$74,'Exp Code Ag Pgs 4&amp;5 Do Not Inpt'!$B$78,'Exp Code Ag Pgs 4&amp;5 Do Not Inpt'!$B$80)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('Exp Code Ag Pgs 4&amp;5 Do Not Inpt'!$D$66,'Exp Code Ag Pgs 4&amp;5 Do Not Inpt'!$D$67,'Exp Code Ag Pgs 4&amp;5 Do Not Inpt'!$D$74,'Exp Code Ag Pgs 4&amp;5 Do Not Inpt'!$D$78,'Exp Code Ag Pgs 4&amp;5 Do Not Inpt'!$D$80)</c:f>
              <c:numCache>
                <c:formatCode>0.0%</c:formatCode>
                <c:ptCount val="5"/>
                <c:pt idx="0">
                  <c:v>0.28347918656724158</c:v>
                </c:pt>
                <c:pt idx="1">
                  <c:v>0.34127798942739823</c:v>
                </c:pt>
                <c:pt idx="2">
                  <c:v>0.16596716846874948</c:v>
                </c:pt>
                <c:pt idx="3">
                  <c:v>0.17808505226331914</c:v>
                </c:pt>
                <c:pt idx="4">
                  <c:v>3.119060327329156E-2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45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0.14332696206617654"/>
                  <c:y val="-2.77729560840131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4347204996894264E-2"/>
                  <c:y val="-3.76541522449287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1299519753697605E-3"/>
                  <c:y val="2.5401465776365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('Columbia Pgs 20-21'!$B$66,'Columbia Pgs 20-21'!$B$67,'Columbia Pgs 20-21'!$B$74,'Columbia Pgs 20-21'!$B$78,'Columbia Pgs 20-21'!$B$80)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('Columbia Pgs 20-21'!$D$66,'Columbia Pgs 20-21'!$D$67,'Columbia Pgs 20-21'!$D$74,'Columbia Pgs 20-21'!$D$78,'Columbia Pgs 20-21'!$D$80)</c:f>
              <c:numCache>
                <c:formatCode>0.0%</c:formatCode>
                <c:ptCount val="5"/>
                <c:pt idx="0">
                  <c:v>9.7847871391143454E-2</c:v>
                </c:pt>
                <c:pt idx="1">
                  <c:v>5.6561440720246089E-2</c:v>
                </c:pt>
                <c:pt idx="2">
                  <c:v>0.4158976420379224</c:v>
                </c:pt>
                <c:pt idx="3">
                  <c:v>0.37252721876790706</c:v>
                </c:pt>
                <c:pt idx="4">
                  <c:v>5.7165827082780979E-2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0.158334943599065"/>
                  <c:y val="-3.8766519823788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15526574803149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52533844495028"/>
                      <c:h val="0.19475714617158388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('Cowlitz Pgs 22-23'!$B$66,'Cowlitz Pgs 22-23'!$B$67,'Cowlitz Pgs 22-23'!$B$74,'Cowlitz Pgs 22-23'!$B$78,'Cowlitz Pgs 22-23'!$B$80)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('Cowlitz Pgs 22-23'!$D$66,'Cowlitz Pgs 22-23'!$D$67,'Cowlitz Pgs 22-23'!$D$74,'Cowlitz Pgs 22-23'!$D$78,'Cowlitz Pgs 22-23'!$D$80)</c:f>
              <c:numCache>
                <c:formatCode>0.0%</c:formatCode>
                <c:ptCount val="5"/>
                <c:pt idx="0">
                  <c:v>0.11277573333900577</c:v>
                </c:pt>
                <c:pt idx="1">
                  <c:v>0.4840484142009317</c:v>
                </c:pt>
                <c:pt idx="2">
                  <c:v>0.19083406011359041</c:v>
                </c:pt>
                <c:pt idx="3">
                  <c:v>6.7184630547460517E-2</c:v>
                </c:pt>
                <c:pt idx="4">
                  <c:v>0.14515716179901159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8.5691676102952422E-5"/>
                  <c:y val="-1.4476359469150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1321824495673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887061868515743E-2"/>
                  <c:y val="-9.18110467926122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375439445521914"/>
                  <c:y val="1.38169294920456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403294466037387E-3"/>
                  <c:y val="-6.563700424919363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('Garfield Pgs 24-25'!$B$66,'Garfield Pgs 24-25'!$B$67,'Garfield Pgs 24-25'!$B$74,'Garfield Pgs 24-25'!$B$78,'Garfield Pgs 24-25'!$B$80)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('Garfield Pgs 24-25'!$D$66,'Garfield Pgs 24-25'!$D$67,'Garfield Pgs 24-25'!$D$74,'Garfield Pgs 24-25'!$D$78,'Garfield Pgs 24-25'!$D$80)</c:f>
              <c:numCache>
                <c:formatCode>0.0%</c:formatCode>
                <c:ptCount val="5"/>
                <c:pt idx="0">
                  <c:v>0.13712154453707767</c:v>
                </c:pt>
                <c:pt idx="1">
                  <c:v>3.1761568839234484E-2</c:v>
                </c:pt>
                <c:pt idx="2">
                  <c:v>0.57377561008539513</c:v>
                </c:pt>
                <c:pt idx="3">
                  <c:v>0.24974685253316231</c:v>
                </c:pt>
                <c:pt idx="4">
                  <c:v>7.5944240051304557E-3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8387715930902108E-2"/>
                  <c:y val="5.1036682615629984E-2"/>
                </c:manualLayout>
              </c:layout>
              <c:tx>
                <c:rich>
                  <a:bodyPr/>
                  <a:lstStyle/>
                  <a:p>
                    <a:fld id="{C5062F8A-52C3-4E2B-B6B8-C727D886A90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F8505D35-05AF-4785-AF84-A4BB330D26B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28D8759-AF0A-45E2-8DFF-059D39F3609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411182B3-4FD1-4C85-9CF6-CCC75427DEF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6.0323553605703316E-2"/>
                  <c:y val="0"/>
                </c:manualLayout>
              </c:layout>
              <c:tx>
                <c:rich>
                  <a:bodyPr/>
                  <a:lstStyle/>
                  <a:p>
                    <a:fld id="{952E9B50-BC1E-4BEF-87B3-7B8F86CE5EA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0C177F17-0765-42C3-A7E1-4AF69405D01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0422876602996603"/>
                  <c:y val="1.059136746662648E-2"/>
                </c:manualLayout>
              </c:layout>
              <c:tx>
                <c:rich>
                  <a:bodyPr/>
                  <a:lstStyle/>
                  <a:p>
                    <a:fld id="{57735223-2B68-4178-954B-CD85B49AE54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CFA9405-68C5-4642-836B-696172A67E1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"/>
                  <c:y val="1.2759170653907496E-2"/>
                </c:manualLayout>
              </c:layout>
              <c:tx>
                <c:rich>
                  <a:bodyPr/>
                  <a:lstStyle/>
                  <a:p>
                    <a:fld id="{47DB60E1-D1C2-45BE-8D83-AE6DDEF77DA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('Grant Pgs 26-27'!$B$66,'Grant Pgs 26-27'!$B$67,'Grant Pgs 26-27'!$B$74,'Grant Pgs 26-27'!$B$78,'Grant Pgs 26-27'!$B$80)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('Grant Pgs 26-27'!$D$66,'Grant Pgs 26-27'!$D$67,'Grant Pgs 26-27'!$D$74,'Grant Pgs 26-27'!$D$78,'Grant Pgs 26-27'!$D$79)</c:f>
              <c:numCache>
                <c:formatCode>0.0%</c:formatCode>
                <c:ptCount val="5"/>
                <c:pt idx="0">
                  <c:v>0.11284715354599725</c:v>
                </c:pt>
                <c:pt idx="1">
                  <c:v>0.34074169073775579</c:v>
                </c:pt>
                <c:pt idx="2">
                  <c:v>0.27006950045532774</c:v>
                </c:pt>
                <c:pt idx="3">
                  <c:v>0.27178088306509873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2.7626181876901905E-2"/>
                  <c:y val="6.8098392585775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89257183736735"/>
                      <c:h val="0.19563948165112524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2.7458868023773134E-2"/>
                  <c:y val="-0.114064945306849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84167857061862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('Grays Harbor Pgs 28-29'!$B$66,'Grays Harbor Pgs 28-29'!$B$67,'Grays Harbor Pgs 28-29'!$B$74,'Grays Harbor Pgs 28-29'!$B$78,'Grays Harbor Pgs 28-29'!$B$80)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('Grays Harbor Pgs 28-29'!$D$66,'Grays Harbor Pgs 28-29'!$D$67,'Grays Harbor Pgs 28-29'!$D$74,'Grays Harbor Pgs 28-29'!$D$78,'Grays Harbor Pgs 28-29'!$D$80)</c:f>
              <c:numCache>
                <c:formatCode>0.0%</c:formatCode>
                <c:ptCount val="5"/>
                <c:pt idx="0">
                  <c:v>3.6205306789683978E-2</c:v>
                </c:pt>
                <c:pt idx="1">
                  <c:v>0.10528897308984461</c:v>
                </c:pt>
                <c:pt idx="2">
                  <c:v>0.20577882295487149</c:v>
                </c:pt>
                <c:pt idx="3">
                  <c:v>0.4105937042828679</c:v>
                </c:pt>
                <c:pt idx="4">
                  <c:v>0.24213319288273202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2520845115355056E-2"/>
                  <c:y val="3.5040072545676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5248618784530454E-2"/>
                  <c:y val="-6.488240064882400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5364373353515656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41620626151013E-2"/>
                  <c:y val="3.56853203568531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('Island Pgs 30-31'!$B$66,'Island Pgs 30-31'!$B$67,'Island Pgs 30-31'!$B$74,'Island Pgs 30-31'!$B$78,'Island Pgs 30-31'!$B$80)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('Island Pgs 30-31'!$D$66,'Island Pgs 30-31'!$D$67,'Island Pgs 30-31'!$D$74,'Island Pgs 30-31'!$D$78,'Island Pgs 30-31'!$D$80)</c:f>
              <c:numCache>
                <c:formatCode>0.0%</c:formatCode>
                <c:ptCount val="5"/>
                <c:pt idx="0">
                  <c:v>0.17092187829129643</c:v>
                </c:pt>
                <c:pt idx="1">
                  <c:v>0.46548178877474217</c:v>
                </c:pt>
                <c:pt idx="2">
                  <c:v>0.14483113007941376</c:v>
                </c:pt>
                <c:pt idx="3">
                  <c:v>0.21428991181170398</c:v>
                </c:pt>
                <c:pt idx="4">
                  <c:v>4.475291042843707E-3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0.16146625086274496"/>
                  <c:y val="-2.7967138612130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97393689986286E-2"/>
                  <c:y val="6.46621403168438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293340390064745E-3"/>
                  <c:y val="1.93986420950533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2.263174911089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('Jefferson Pgs 32-33'!$B$66,'Jefferson Pgs 32-33'!$B$67,'Jefferson Pgs 32-33'!$B$74,'Jefferson Pgs 32-33'!$B$78,'Jefferson Pgs 32-33'!$B$80)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('Jefferson Pgs 32-33'!$D$66,'Jefferson Pgs 32-33'!$D$67,'Jefferson Pgs 32-33'!$D$74,'Jefferson Pgs 32-33'!$D$78,'Jefferson Pgs 32-33'!$D$80)</c:f>
              <c:numCache>
                <c:formatCode>0.0%</c:formatCode>
                <c:ptCount val="5"/>
                <c:pt idx="0">
                  <c:v>0.16821860323580795</c:v>
                </c:pt>
                <c:pt idx="1">
                  <c:v>0.42256362131300684</c:v>
                </c:pt>
                <c:pt idx="2">
                  <c:v>0.15295885123071784</c:v>
                </c:pt>
                <c:pt idx="3">
                  <c:v>0.12376912256957967</c:v>
                </c:pt>
                <c:pt idx="4">
                  <c:v>0.1324898016508877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3.1196003286368207E-2"/>
                  <c:y val="-8.6911176777333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02209477541815"/>
                      <c:h val="0.19519730205808403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661129568106305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7685492801771735E-2"/>
                  <c:y val="4.82858522452921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('Kitsap Pgs 34-35'!$B$66,'Kitsap Pgs 34-35'!$B$67,'Kitsap Pgs 34-35'!$B$74,'Kitsap Pgs 34-35'!$B$78,'Kitsap Pgs 34-35'!$B$80)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('Kitsap Pgs 34-35'!$D$66,'Kitsap Pgs 34-35'!$D$67,'Kitsap Pgs 34-35'!$D$74,'Kitsap Pgs 34-35'!$D$78,'Kitsap Pgs 34-35'!$D$80)</c:f>
              <c:numCache>
                <c:formatCode>0.0%</c:formatCode>
                <c:ptCount val="5"/>
                <c:pt idx="0">
                  <c:v>0.28128774382776373</c:v>
                </c:pt>
                <c:pt idx="1">
                  <c:v>0.40511544426462542</c:v>
                </c:pt>
                <c:pt idx="2">
                  <c:v>0.19535423131597041</c:v>
                </c:pt>
                <c:pt idx="3">
                  <c:v>9.4888158755021379E-2</c:v>
                </c:pt>
                <c:pt idx="4">
                  <c:v>2.3354421836619052E-2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2087241415142889E-2"/>
                  <c:y val="6.7600193143409038E-2"/>
                </c:manualLayout>
              </c:layout>
              <c:tx>
                <c:rich>
                  <a:bodyPr/>
                  <a:lstStyle/>
                  <a:p>
                    <a:fld id="{7D193B02-A514-4A61-9D5B-1E5A46A768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FF468DD-000F-4AD4-8597-CEA4FFA98A5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5863657793259769E-2"/>
                  <c:y val="-6.6052494350773636E-2"/>
                </c:manualLayout>
              </c:layout>
              <c:tx>
                <c:rich>
                  <a:bodyPr/>
                  <a:lstStyle/>
                  <a:p>
                    <a:fld id="{6C591547-3A2B-4C15-BA01-CA0A16B75B1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8D61E8E-5F7D-4EC9-98F6-24CA3122647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62F599-0F20-4A51-8C64-CCCD3D2E366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C279887-85AD-4310-A626-5EDF4428340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C4245FA-AA35-4D0E-A74E-51339FC186A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2AB75C4-B7DF-4C70-9E81-F736BBB6D5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5.3377500086595323E-2"/>
                  <c:y val="3.5409624979880892E-2"/>
                </c:manualLayout>
              </c:layout>
              <c:tx>
                <c:rich>
                  <a:bodyPr/>
                  <a:lstStyle/>
                  <a:p>
                    <a:fld id="{7A77BA45-E4BA-4134-B877-5DC7E2EA293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-7.4%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('Kittitas Pgs 36-37'!$B$66,'Kittitas Pgs 36-37'!$B$67,'Kittitas Pgs 36-37'!$B$74,'Kittitas Pgs 36-37'!$B$78,'Kittitas Pgs 36-37'!$B$80)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('Kittitas Pgs 36-37'!$D$66,'Kittitas Pgs 36-37'!$D$67,'Kittitas Pgs 36-37'!$D$74,'Kittitas Pgs 36-37'!$D$78,'Kittitas Pgs 36-37'!$D$79)</c:f>
              <c:numCache>
                <c:formatCode>0.0%</c:formatCode>
                <c:ptCount val="5"/>
                <c:pt idx="0">
                  <c:v>0.23566352315128233</c:v>
                </c:pt>
                <c:pt idx="1">
                  <c:v>0.51662263645953055</c:v>
                </c:pt>
                <c:pt idx="2">
                  <c:v>0.18447911582725884</c:v>
                </c:pt>
                <c:pt idx="3">
                  <c:v>0.1368868177023474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0.16438158133459124"/>
                  <c:y val="-2.41712707182320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5736710330563454E-2"/>
                  <c:y val="1.3594640448949407E-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4105736782902"/>
                      <c:h val="0.13068446295732369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5.5299539170506912E-3"/>
                  <c:y val="1.72651933701657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('Klickitat Pgs 38-39'!$B$66,'Klickitat Pgs 38-39'!$B$67,'Klickitat Pgs 38-39'!$B$74,'Klickitat Pgs 38-39'!$B$78,'Klickitat Pgs 38-39'!$B$80)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('Klickitat Pgs 38-39'!$D$66,'Klickitat Pgs 38-39'!$D$67,'Klickitat Pgs 38-39'!$D$74,'Klickitat Pgs 38-39'!$D$78,'Klickitat Pgs 38-39'!$D$80)</c:f>
              <c:numCache>
                <c:formatCode>0.0%</c:formatCode>
                <c:ptCount val="5"/>
                <c:pt idx="0">
                  <c:v>0.13633674084294281</c:v>
                </c:pt>
                <c:pt idx="1">
                  <c:v>0.46978777822920387</c:v>
                </c:pt>
                <c:pt idx="2">
                  <c:v>0.15390032148203492</c:v>
                </c:pt>
                <c:pt idx="3">
                  <c:v>0.23943117584985507</c:v>
                </c:pt>
                <c:pt idx="4">
                  <c:v>5.4398359596334177E-4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effectLst>
              <a:outerShdw sx="102000" sy="102000" algn="ctr" rotWithShape="0">
                <a:prstClr val="black">
                  <a:alpha val="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sx="102000" sy="102000" algn="ctr" rotWithShape="0">
                  <a:prstClr val="black">
                    <a:alpha val="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sx="102000" sy="102000" algn="ctr" rotWithShape="0">
                  <a:prstClr val="black">
                    <a:alpha val="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sx="102000" sy="102000" algn="ctr" rotWithShape="0">
                  <a:prstClr val="black">
                    <a:alpha val="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sx="102000" sy="102000" algn="ctr" rotWithShape="0">
                  <a:prstClr val="black">
                    <a:alpha val="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sx="102000" sy="102000" algn="ctr" rotWithShape="0">
                  <a:prstClr val="black">
                    <a:alpha val="0"/>
                  </a:prstClr>
                </a:outerShdw>
              </a:effectLst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B238E67B-1EF8-4D33-BE44-9D36E008612A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20E9AFD8-2475-46E2-8933-87361CB43569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66BB3B61-A5F5-432E-9A72-E023564BFE9E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0A8BFEE7-E99D-4487-BD75-F2F31ED39F30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B2B21B2A-2DED-4F17-9859-046F14AC5AE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6B4CA349-295B-4D7B-8AB5-2507FE14FB0E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F75F1824-BEF9-4256-AA66-419A8D7D224B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E3FA0A17-D737-4A99-B0A5-1B9DE905D7C5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0CB29F26-6000-4426-A458-AE4D5BC41142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A9570089-B766-4299-A0EB-B77BBCCC55BE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('PIE Aggregate Pg 6-DO NOT I (2'!$B$45,'PIE Aggregate Pg 6-DO NOT I (2'!$B$46,'PIE Aggregate Pg 6-DO NOT I (2'!$B$48,'PIE Aggregate Pg 6-DO NOT I (2'!$B$54,'PIE Aggregate Pg 6-DO NOT I (2'!$B$58)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Revenue from State</c:v>
                </c:pt>
                <c:pt idx="3">
                  <c:v>Revenue from Federal</c:v>
                </c:pt>
                <c:pt idx="4">
                  <c:v>Misc/Fund Balance/Other</c:v>
                </c:pt>
              </c:strCache>
            </c:strRef>
          </c:cat>
          <c:val>
            <c:numRef>
              <c:f>('PIE Aggregate Pg 6-DO NOT I (2'!$D$45,'PIE Aggregate Pg 6-DO NOT I (2'!$D$46,'PIE Aggregate Pg 6-DO NOT I (2'!$D$53,'PIE Aggregate Pg 6-DO NOT I (2'!$D$57,'PIE Aggregate Pg 6-DO NOT I (2'!$D$59)</c:f>
              <c:numCache>
                <c:formatCode>0.0%</c:formatCode>
                <c:ptCount val="5"/>
                <c:pt idx="0">
                  <c:v>0.28347918656724158</c:v>
                </c:pt>
                <c:pt idx="1">
                  <c:v>0.34127798942739823</c:v>
                </c:pt>
                <c:pt idx="2">
                  <c:v>0.16596716846874948</c:v>
                </c:pt>
                <c:pt idx="3">
                  <c:v>0.17808505226331914</c:v>
                </c:pt>
                <c:pt idx="4">
                  <c:v>3.119060327329156E-2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&amp;C&amp;"Times New Roman,Bold"&amp;20 Expenditures by Funding Sources - Summary
2017
All Local Health Jurisdictions</c:oddHeader>
    </c:headerFooter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1.9381947074194498E-2"/>
                  <c:y val="-1.37818209617001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197715128063387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('Lewis Pgs 40-41'!$B$66,'Lewis Pgs 40-41'!$B$67,'Lewis Pgs 40-41'!$B$74,'Lewis Pgs 40-41'!$B$78,'Lewis Pgs 40-41'!$B$80)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('Lewis Pgs 40-41'!$D$66,'Lewis Pgs 40-41'!$D$67,'Lewis Pgs 40-41'!$D$74,'Lewis Pgs 40-41'!$D$78,'Lewis Pgs 40-41'!$D$80)</c:f>
              <c:numCache>
                <c:formatCode>0.0%</c:formatCode>
                <c:ptCount val="5"/>
                <c:pt idx="0">
                  <c:v>0.11256245131650104</c:v>
                </c:pt>
                <c:pt idx="1">
                  <c:v>0.41531551868702155</c:v>
                </c:pt>
                <c:pt idx="2">
                  <c:v>0.24640817072424509</c:v>
                </c:pt>
                <c:pt idx="3">
                  <c:v>0.19811103889553161</c:v>
                </c:pt>
                <c:pt idx="4">
                  <c:v>2.7602820376700719E-2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&amp;C&amp;"Times New Roman,Bold"&amp;16Expenditures by Expenditure Code and Revenue Source
2017
LEWIS</c:oddHeader>
    </c:headerFooter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-8.4988440291910994E-2"/>
                  <c:y val="1.04657247514390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('Lincoln Pgs 42-43'!$B$66,'Lincoln Pgs 42-43'!$B$67,'Lincoln Pgs 42-43'!$B$74,'Lincoln Pgs 42-43'!$B$78,'Lincoln Pgs 42-43'!$B$80)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('Lincoln Pgs 42-43'!$D$66,'Lincoln Pgs 42-43'!$D$67,'Lincoln Pgs 42-43'!$D$74,'Lincoln Pgs 42-43'!$D$78,'Lincoln Pgs 42-43'!$D$80)</c:f>
              <c:numCache>
                <c:formatCode>0.0%</c:formatCode>
                <c:ptCount val="5"/>
                <c:pt idx="0">
                  <c:v>0.18314310567022468</c:v>
                </c:pt>
                <c:pt idx="1">
                  <c:v>0.20632704314699263</c:v>
                </c:pt>
                <c:pt idx="2">
                  <c:v>0.34576464350474262</c:v>
                </c:pt>
                <c:pt idx="3">
                  <c:v>0.2622047288666155</c:v>
                </c:pt>
                <c:pt idx="4">
                  <c:v>2.5604788114246034E-3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5.6108534201575966E-2"/>
                  <c:y val="-6.68295122585795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283267063029882E-2"/>
                  <c:y val="3.19336431174146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401537437794043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('Mason Pgs 44-45'!$B$66,'Mason Pgs 44-45'!$B$67,'Mason Pgs 44-45'!$B$74,'Mason Pgs 44-45'!$B$78,'Mason Pgs 44-45'!$B$80)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('Mason Pgs 44-45'!$D$66,'Mason Pgs 44-45'!$D$67,'Mason Pgs 44-45'!$D$74,'Mason Pgs 44-45'!$D$78,'Mason Pgs 44-45'!$D$80)</c:f>
              <c:numCache>
                <c:formatCode>0.0%</c:formatCode>
                <c:ptCount val="5"/>
                <c:pt idx="0">
                  <c:v>0.1493986646977013</c:v>
                </c:pt>
                <c:pt idx="1">
                  <c:v>0.3127842107730533</c:v>
                </c:pt>
                <c:pt idx="2">
                  <c:v>0.20793485224946479</c:v>
                </c:pt>
                <c:pt idx="3">
                  <c:v>0.28436020345975344</c:v>
                </c:pt>
                <c:pt idx="4">
                  <c:v>4.5522068820027191E-2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1.8581399434604143E-2"/>
                  <c:y val="-5.3470808360792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31720282407763E-3"/>
                  <c:y val="3.706469774322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433691756272402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('Northeast Tri Pgs 46-47'!$B$66,'Northeast Tri Pgs 46-47'!$B$67,'Northeast Tri Pgs 46-47'!$B$74,'Northeast Tri Pgs 46-47'!$B$78,'Northeast Tri Pgs 46-47'!$B$80)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('Northeast Tri Pgs 46-47'!$D$66,'Northeast Tri Pgs 46-47'!$D$67,'Northeast Tri Pgs 46-47'!$D$74,'Northeast Tri Pgs 46-47'!$D$78,'Northeast Tri Pgs 46-47'!$D$80)</c:f>
              <c:numCache>
                <c:formatCode>0.0%</c:formatCode>
                <c:ptCount val="5"/>
                <c:pt idx="0">
                  <c:v>0.41123382186103585</c:v>
                </c:pt>
                <c:pt idx="1">
                  <c:v>0.1718778860822342</c:v>
                </c:pt>
                <c:pt idx="2">
                  <c:v>0.19158929715295628</c:v>
                </c:pt>
                <c:pt idx="3">
                  <c:v>0.21539003753353966</c:v>
                </c:pt>
                <c:pt idx="4">
                  <c:v>9.9089573702340252E-3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2.3995200959808258E-3"/>
                  <c:y val="2.9186428310835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356164383561646E-2"/>
                  <c:y val="-4.5197740112994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2502096142091829"/>
                  <c:y val="2.87582696230767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('Okanogan Pgs 48-49'!$B$66,'Okanogan Pgs 48-49'!$B$67,'Okanogan Pgs 48-49'!$B$74,'Okanogan Pgs 48-49'!$B$78,'Okanogan Pgs 48-49'!$B$80)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('Okanogan Pgs 48-49'!$D$66,'Okanogan Pgs 48-49'!$D$67,'Okanogan Pgs 48-49'!$D$74,'Okanogan Pgs 48-49'!$D$78,'Okanogan Pgs 48-49'!$D$80)</c:f>
              <c:numCache>
                <c:formatCode>0.0%</c:formatCode>
                <c:ptCount val="5"/>
                <c:pt idx="0">
                  <c:v>0.12612531811608013</c:v>
                </c:pt>
                <c:pt idx="1">
                  <c:v>0.38780732535847617</c:v>
                </c:pt>
                <c:pt idx="2">
                  <c:v>0.2730089950708357</c:v>
                </c:pt>
                <c:pt idx="3">
                  <c:v>0.19648736317738638</c:v>
                </c:pt>
                <c:pt idx="4">
                  <c:v>1.6570998277221579E-2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142398720206767E-3"/>
                  <c:y val="3.90355245998278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652937389215828E-2"/>
                  <c:y val="1.63017501600178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73005673621901E-2"/>
                  <c:y val="-2.42550242550243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336759744496788E-2"/>
                  <c:y val="2.0980186728218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28898018182508"/>
                      <c:h val="0.1502420045727132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6.3560219688258035E-2"/>
                  <c:y val="-7.787117826487913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57828918250665"/>
                      <c:h val="0.15484301836007872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('Pacific Pgs 50-51'!$B$66,'Pacific Pgs 50-51'!$B$67,'Pacific Pgs 50-51'!$B$74,'Pacific Pgs 50-51'!$B$78,'Pacific Pgs 50-51'!$B$80)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('Pacific Pgs 50-51'!$D$66,'Pacific Pgs 50-51'!$D$67,'Pacific Pgs 50-51'!$D$74,'Pacific Pgs 50-51'!$D$78,'Pacific Pgs 50-51'!$D$80)</c:f>
              <c:numCache>
                <c:formatCode>0.0%</c:formatCode>
                <c:ptCount val="5"/>
                <c:pt idx="0">
                  <c:v>9.4586409464958679E-2</c:v>
                </c:pt>
                <c:pt idx="1">
                  <c:v>2.8566156635519268E-2</c:v>
                </c:pt>
                <c:pt idx="2">
                  <c:v>0.41130010810333795</c:v>
                </c:pt>
                <c:pt idx="3">
                  <c:v>0.45846545406410388</c:v>
                </c:pt>
                <c:pt idx="4">
                  <c:v>7.0818717320802168E-3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-6.8271980810037824E-2"/>
                  <c:y val="-6.56491055309371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8748962081372823E-2"/>
                  <c:y val="6.56491055309371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('San Juan Pgs 52-53'!$B$66,'San Juan Pgs 52-53'!$B$67,'San Juan Pgs 52-53'!$B$74,'San Juan Pgs 52-53'!$B$78,'San Juan Pgs 52-53'!$B$80)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('San Juan Pgs 52-53'!$D$66,'San Juan Pgs 52-53'!$D$67,'San Juan Pgs 52-53'!$D$74,'San Juan Pgs 52-53'!$D$78,'San Juan Pgs 52-53'!$D$80)</c:f>
              <c:numCache>
                <c:formatCode>0.0%</c:formatCode>
                <c:ptCount val="5"/>
                <c:pt idx="0">
                  <c:v>0.41396645217354811</c:v>
                </c:pt>
                <c:pt idx="1">
                  <c:v>0.22561672429137652</c:v>
                </c:pt>
                <c:pt idx="2">
                  <c:v>0.26864528647977415</c:v>
                </c:pt>
                <c:pt idx="3">
                  <c:v>9.0757868827973875E-2</c:v>
                </c:pt>
                <c:pt idx="4">
                  <c:v>1.0136682273273203E-3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1744589262226471E-3"/>
                  <c:y val="4.5202003124988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924769895653512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6720782348973892E-2"/>
                  <c:y val="6.73391032732478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('Seattle-King Pgs 54-55'!$B$66,'Seattle-King Pgs 54-55'!$B$67,'Seattle-King Pgs 54-55'!$B$74,'Seattle-King Pgs 54-55'!$B$78,'Seattle-King Pgs 54-55'!$B$80)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('Seattle-King Pgs 54-55'!$D$66,'Seattle-King Pgs 54-55'!$D$67,'Seattle-King Pgs 54-55'!$D$74,'Seattle-King Pgs 54-55'!$D$78,'Seattle-King Pgs 54-55'!$D$80)</c:f>
              <c:numCache>
                <c:formatCode>0.0%</c:formatCode>
                <c:ptCount val="5"/>
                <c:pt idx="0">
                  <c:v>0.39304037775302203</c:v>
                </c:pt>
                <c:pt idx="1">
                  <c:v>0.30927689629663241</c:v>
                </c:pt>
                <c:pt idx="2">
                  <c:v>8.9885028791530361E-2</c:v>
                </c:pt>
                <c:pt idx="3">
                  <c:v>0.1704399551361977</c:v>
                </c:pt>
                <c:pt idx="4">
                  <c:v>3.7357742022617477E-2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1744589262226471E-3"/>
                  <c:y val="4.5202003124988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7043891615406816E-3"/>
                  <c:y val="-2.7667300708974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77188805975796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('Skagit Pgs 56-57'!$B$66,'Skagit Pgs 56-57'!$B$67,'Skagit Pgs 56-57'!$B$74,'Skagit Pgs 56-57'!$B$78,'Skagit Pgs 56-57'!$B$80)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('Skagit Pgs 56-57'!$D$66,'Skagit Pgs 56-57'!$D$67,'Skagit Pgs 56-57'!$D$74,'Skagit Pgs 56-57'!$D$78,'Skagit Pgs 56-57'!$D$80)</c:f>
              <c:numCache>
                <c:formatCode>0.0%</c:formatCode>
                <c:ptCount val="5"/>
                <c:pt idx="0">
                  <c:v>0.31435274179055245</c:v>
                </c:pt>
                <c:pt idx="1">
                  <c:v>0.25773684270391389</c:v>
                </c:pt>
                <c:pt idx="2">
                  <c:v>0.19048591284961955</c:v>
                </c:pt>
                <c:pt idx="3">
                  <c:v>0.21978229466428562</c:v>
                </c:pt>
                <c:pt idx="4">
                  <c:v>1.7642207991628467E-2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&amp;C&amp;"Arial,Bold"&amp;16Expenditures by Expenditure Code and Revenue Source
2017
SKAGIT</c:oddHead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135015564914851E-2"/>
                  <c:y val="0.110024782211726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252627723860099"/>
                  <c:y val="-6.32801762900824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97066471342245"/>
                      <c:h val="0.1489851649973570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5.2615431103240608E-2"/>
                  <c:y val="1.8863009949140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1118454570688"/>
                      <c:h val="0.1307758801774677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5.9275297564548683E-2"/>
                  <c:y val="-1.16428340964790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9740380157626328E-2"/>
                  <c:y val="-3.22841000807103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('Skamania Pgs 58-59'!$B$66,'Skamania Pgs 58-59'!$B$67,'Skamania Pgs 58-59'!$B$74,'Skamania Pgs 58-59'!$B$78,'Skamania Pgs 58-59'!$B$80)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('Skamania Pgs 58-59'!$D$66,'Skamania Pgs 58-59'!$D$67,'Skamania Pgs 58-59'!$D$74,'Skamania Pgs 58-59'!$D$78,'Skamania Pgs 58-59'!$D$80)</c:f>
              <c:numCache>
                <c:formatCode>0.0%</c:formatCode>
                <c:ptCount val="5"/>
                <c:pt idx="0">
                  <c:v>2.8003828090729353E-2</c:v>
                </c:pt>
                <c:pt idx="1">
                  <c:v>0.76654606286689619</c:v>
                </c:pt>
                <c:pt idx="2">
                  <c:v>0.12501793118168392</c:v>
                </c:pt>
                <c:pt idx="3">
                  <c:v>8.0439107785978958E-2</c:v>
                </c:pt>
                <c:pt idx="4">
                  <c:v>-6.9299252884754648E-6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rgbClr val="336600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rgbClr val="5CB800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rgbClr val="79F200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rgbClr val="CDFF9B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rgbClr val="A162D0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rgbClr val="A996C0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EBD34C9-B924-47E4-8778-FDEEF88B49BF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76F64977-1E12-42B2-9F4E-0F90272944E3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C74A876-6C1F-4C3A-8069-03989F111A9A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13F6EB13-8B0B-4C03-A022-FC4CE34FBBB6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0B20F2BD-9A92-4AB2-B881-993167F5A8D7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00400F39-DFBE-4150-84BC-FCE5E841D229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687C7A1-2F9D-41F1-8EF1-93B74FD3ED34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0573F9F3-41B0-4F72-81B4-EB64ED55A652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197FC552-47A6-447E-B674-AF1EBF4E7D1A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64996599-B3F1-47FC-8685-3F914AD438EC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3A64BA5-64A5-4030-B309-78988D241066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11EE0913-BBCF-4700-A8E9-73C8799F4A0C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B22ACFBF-AB43-4F1D-8DCD-A4BE44FD2EA2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E1525AA0-EE96-4C32-9595-6D226AACDE1E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4433309E-37F5-4B0D-9EC9-1255870D9BD5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DBF0929F-7809-45F5-84F4-5B4E34FB40C8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1669DE9-558A-4779-9871-896DA7BCD0CC}" type="CATEGORYNAM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4D60EF53-B0F1-4591-9AE9-27FA15B182D8}" type="VALU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('PIE Detail Pg 7-Do Not Input'!$B$48,'PIE Detail Pg 7-Do Not Input'!$B$49,'PIE Detail Pg 7-Do Not Input'!$B$52,'PIE Detail Pg 7-Do Not Input'!$B$53,'PIE Detail Pg 7-Do Not Input'!$B$54,'PIE Detail Pg 7-Do Not Input'!$B$55,'PIE Detail Pg 7-Do Not Input'!$B$58,'PIE Detail Pg 7-Do Not Input'!$B$59,'PIE Detail Pg 7-Do Not Input'!$B$61)</c:f>
              <c:strCache>
                <c:ptCount val="9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from DOH</c:v>
                </c:pt>
                <c:pt idx="3">
                  <c:v>Foundational Public Health Services</c:v>
                </c:pt>
                <c:pt idx="4">
                  <c:v>County Public Health Assistance</c:v>
                </c:pt>
                <c:pt idx="5">
                  <c:v>State from Other</c:v>
                </c:pt>
                <c:pt idx="6">
                  <c:v>Federal through DOH</c:v>
                </c:pt>
                <c:pt idx="7">
                  <c:v>Federal from Other</c:v>
                </c:pt>
                <c:pt idx="8">
                  <c:v>Misc/Fund Balance/Other</c:v>
                </c:pt>
              </c:strCache>
            </c:strRef>
          </c:cat>
          <c:val>
            <c:numRef>
              <c:f>('PIE Detail Pg 7-Do Not Input'!$D$48,'PIE Detail Pg 7-Do Not Input'!$D$49,'PIE Detail Pg 7-Do Not Input'!$D$52,'PIE Detail Pg 7-Do Not Input'!$D$53,'PIE Detail Pg 7-Do Not Input'!$D$54,'PIE Detail Pg 7-Do Not Input'!$D$55,'PIE Detail Pg 7-Do Not Input'!$D$58,'PIE Detail Pg 7-Do Not Input'!$D$59,'PIE Detail Pg 7-Do Not Input'!$D$62)</c:f>
              <c:numCache>
                <c:formatCode>0.0%</c:formatCode>
                <c:ptCount val="9"/>
                <c:pt idx="0">
                  <c:v>0.28347918656724158</c:v>
                </c:pt>
                <c:pt idx="1">
                  <c:v>0.34127798942739823</c:v>
                </c:pt>
                <c:pt idx="2">
                  <c:v>2.4401895065553517E-2</c:v>
                </c:pt>
                <c:pt idx="3">
                  <c:v>8.3584452007938563E-3</c:v>
                </c:pt>
                <c:pt idx="4">
                  <c:v>8.6302985511438696E-2</c:v>
                </c:pt>
                <c:pt idx="5">
                  <c:v>4.6903842690963406E-2</c:v>
                </c:pt>
                <c:pt idx="6">
                  <c:v>0.1000629381797646</c:v>
                </c:pt>
                <c:pt idx="7">
                  <c:v>7.8022114083554542E-2</c:v>
                </c:pt>
                <c:pt idx="8">
                  <c:v>3.119060327329156E-2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&amp;C&amp;"Times New Roman,Bold"&amp;20Expenditures by Funding Sources - Detail
2017
All Local Health Jurisdictions
</c:oddHeader>
    </c:headerFooter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2896926509909"/>
          <c:y val="9.7926635982096444E-2"/>
          <c:w val="0.45843671909504841"/>
          <c:h val="0.80414672803580711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79495F1D-C614-40BA-A7B6-53ACEF5F365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FED3E4B7-35A4-4283-9FE8-09ACB3D4B0C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2773010624393599"/>
                  <c:y val="-4.4260160237377541E-2"/>
                </c:manualLayout>
              </c:layout>
              <c:tx>
                <c:rich>
                  <a:bodyPr/>
                  <a:lstStyle/>
                  <a:p>
                    <a:fld id="{71AA54CC-7485-4936-AB06-15032325C2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FF970C26-42D1-4A8B-B34C-C5DA9ECDDBD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8170925561419"/>
                      <c:h val="0.127735586576482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35BDC2D-B8DF-4852-A2C2-3AE09E691F5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8FF9E85A-EECF-4E9D-AA57-D2C255CB98E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5.0311451844753149E-2"/>
                  <c:y val="3.7583393703509048E-3"/>
                </c:manualLayout>
              </c:layout>
              <c:tx>
                <c:rich>
                  <a:bodyPr/>
                  <a:lstStyle/>
                  <a:p>
                    <a:fld id="{505AC3D8-C25D-4F56-8E7F-3CF33B3BEDE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7D5C531-F40A-4D51-87FD-40B0CB99A2F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3.4884788396217753E-2"/>
                  <c:y val="9.6618357487922701E-3"/>
                </c:manualLayout>
              </c:layout>
              <c:tx>
                <c:rich>
                  <a:bodyPr/>
                  <a:lstStyle/>
                  <a:p>
                    <a:fld id="{D381D8D3-DDFF-4F44-84CE-70536712EE68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 baseline="0"/>
                      <a:t>-.5%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('Snohomish Pgs 60-61'!$B$66,'Snohomish Pgs 60-61'!$B$67,'Snohomish Pgs 60-61'!$B$74,'Snohomish Pgs 60-61'!$B$78,'Snohomish Pgs 60-61'!$B$80)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('Snohomish Pgs 60-61'!$D$66,'Snohomish Pgs 60-61'!$D$67,'Snohomish Pgs 60-61'!$D$74,'Snohomish Pgs 60-61'!$D$78,'Snohomish Pgs 60-61'!$D$79)</c:f>
              <c:numCache>
                <c:formatCode>0.0%</c:formatCode>
                <c:ptCount val="5"/>
                <c:pt idx="0">
                  <c:v>0.16487167826793786</c:v>
                </c:pt>
                <c:pt idx="1">
                  <c:v>0.36149582596789021</c:v>
                </c:pt>
                <c:pt idx="2">
                  <c:v>0.2814451654517317</c:v>
                </c:pt>
                <c:pt idx="3">
                  <c:v>0.19689973096199279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265987270181901E-2"/>
                  <c:y val="6.38340597526701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7522879272802656E-3"/>
                  <c:y val="2.99990669581536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125804043589279"/>
                  <c:y val="3.05637383916115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3834805378429538E-3"/>
                  <c:y val="-1.03110500085925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('Spokane Pgs 62-63'!$B$66,'Spokane Pgs 62-63'!$B$67,'Spokane Pgs 62-63'!$B$74,'Spokane Pgs 62-63'!$B$78,'Spokane Pgs 62-63'!$B$80)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('Spokane Pgs 62-63'!$D$66,'Spokane Pgs 62-63'!$D$67,'Spokane Pgs 62-63'!$D$74,'Spokane Pgs 62-63'!$D$78,'Spokane Pgs 62-63'!$D$80)</c:f>
              <c:numCache>
                <c:formatCode>0.0%</c:formatCode>
                <c:ptCount val="5"/>
                <c:pt idx="0">
                  <c:v>7.440715590498885E-2</c:v>
                </c:pt>
                <c:pt idx="1">
                  <c:v>0.28362080103435106</c:v>
                </c:pt>
                <c:pt idx="2">
                  <c:v>0.36404920045713973</c:v>
                </c:pt>
                <c:pt idx="3">
                  <c:v>0.27070266346139993</c:v>
                </c:pt>
                <c:pt idx="4">
                  <c:v>7.2201791421204033E-3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0.16857704083159952"/>
                  <c:y val="-3.83141762452107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7907917945475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('Tacoma-Pierce Pgs 64-65'!$B$66,'Tacoma-Pierce Pgs 64-65'!$B$67,'Tacoma-Pierce Pgs 64-65'!$B$74,'Tacoma-Pierce Pgs 64-65'!$B$78,'Tacoma-Pierce Pgs 64-65'!$B$80)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('Tacoma-Pierce Pgs 64-65'!$D$66,'Tacoma-Pierce Pgs 64-65'!$D$67,'Tacoma-Pierce Pgs 64-65'!$D$74,'Tacoma-Pierce Pgs 64-65'!$D$78,'Tacoma-Pierce Pgs 64-65'!$D$80)</c:f>
              <c:numCache>
                <c:formatCode>0.0%</c:formatCode>
                <c:ptCount val="5"/>
                <c:pt idx="0">
                  <c:v>0.14060047132699585</c:v>
                </c:pt>
                <c:pt idx="1">
                  <c:v>0.44802476913810346</c:v>
                </c:pt>
                <c:pt idx="2">
                  <c:v>0.20726661113724479</c:v>
                </c:pt>
                <c:pt idx="3">
                  <c:v>0.15503389994355687</c:v>
                </c:pt>
                <c:pt idx="4">
                  <c:v>4.9074248454099037E-2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2.3542793776134118E-2"/>
                  <c:y val="-4.5272505659063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350848375157697E-2"/>
                  <c:y val="-1.94080543425521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4260021235516749E-2"/>
                  <c:y val="5.4989487303897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('Thurston Pgs 66-67'!$B$66,'Thurston Pgs 66-67'!$B$67,'Thurston Pgs 66-67'!$B$74,'Thurston Pgs 66-67'!$B$78,'Thurston Pgs 66-67'!$B$80)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('Thurston Pgs 66-67'!$D$66,'Thurston Pgs 66-67'!$D$67,'Thurston Pgs 66-67'!$D$74,'Thurston Pgs 66-67'!$D$78,'Thurston Pgs 66-67'!$D$80)</c:f>
              <c:numCache>
                <c:formatCode>0.0%</c:formatCode>
                <c:ptCount val="5"/>
                <c:pt idx="0">
                  <c:v>0.23621944178494353</c:v>
                </c:pt>
                <c:pt idx="1">
                  <c:v>0.49270141848093024</c:v>
                </c:pt>
                <c:pt idx="2">
                  <c:v>0.17836175477098165</c:v>
                </c:pt>
                <c:pt idx="3">
                  <c:v>9.1096172922915886E-2</c:v>
                </c:pt>
                <c:pt idx="4">
                  <c:v>1.621212040228712E-3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0142925382048867E-2"/>
                  <c:y val="4.67526772787583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915668423574292E-3"/>
                  <c:y val="1.51014651988518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082815331496922E-2"/>
                  <c:y val="2.94322649502837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6027800791678036E-2"/>
                  <c:y val="6.7210753720595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('Wahkiakum Pgs 68-69'!$B$66,'Wahkiakum Pgs 68-69'!$B$67,'Wahkiakum Pgs 68-69'!$B$74,'Wahkiakum Pgs 68-69'!$B$78,'Wahkiakum Pgs 68-69'!$B$80)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('Wahkiakum Pgs 68-69'!$D$66,'Wahkiakum Pgs 68-69'!$D$67,'Wahkiakum Pgs 68-69'!$D$74,'Wahkiakum Pgs 68-69'!$D$78,'Wahkiakum Pgs 68-69'!$D$80)</c:f>
              <c:numCache>
                <c:formatCode>0.0%</c:formatCode>
                <c:ptCount val="5"/>
                <c:pt idx="0">
                  <c:v>0.17897779710489514</c:v>
                </c:pt>
                <c:pt idx="1">
                  <c:v>0.13018273511386141</c:v>
                </c:pt>
                <c:pt idx="2">
                  <c:v>0.47535844676717465</c:v>
                </c:pt>
                <c:pt idx="3">
                  <c:v>0.21504616087322417</c:v>
                </c:pt>
                <c:pt idx="4">
                  <c:v>4.3486014084462982E-4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4732085903390263E-2"/>
                  <c:y val="1.0411244143675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717461273270987E-2"/>
                  <c:y val="-3.12337324310256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358930749340066E-2"/>
                  <c:y val="-1.25858551907975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4327974881299"/>
                      <c:h val="0.16404677681817623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8143690399037126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5421042233622288E-3"/>
                  <c:y val="1.77838259546030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('Walla Walla Pgs 70-71'!$B$66,'Walla Walla Pgs 70-71'!$B$67,'Walla Walla Pgs 70-71'!$B$74,'Walla Walla Pgs 70-71'!$B$78,'Walla Walla Pgs 70-71'!$B$80)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('Walla Walla Pgs 70-71'!$D$66,'Walla Walla Pgs 70-71'!$D$67,'Walla Walla Pgs 70-71'!$D$74,'Walla Walla Pgs 70-71'!$D$78,'Walla Walla Pgs 70-71'!$D$80)</c:f>
              <c:numCache>
                <c:formatCode>0.0%</c:formatCode>
                <c:ptCount val="5"/>
                <c:pt idx="0">
                  <c:v>0.19851312354997239</c:v>
                </c:pt>
                <c:pt idx="1">
                  <c:v>0.25907627373839215</c:v>
                </c:pt>
                <c:pt idx="2">
                  <c:v>0.26503426423632997</c:v>
                </c:pt>
                <c:pt idx="3">
                  <c:v>0.25609423061214787</c:v>
                </c:pt>
                <c:pt idx="4">
                  <c:v>2.1282107863157627E-2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2004562996432726E-2"/>
                  <c:y val="7.79534395325085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3285775533848862"/>
                  <c:y val="-5.4024033590696109E-2"/>
                </c:manualLayout>
              </c:layout>
              <c:tx>
                <c:rich>
                  <a:bodyPr/>
                  <a:lstStyle/>
                  <a:p>
                    <a:fld id="{6915A16B-D869-4F10-9DCC-E4E232420B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696EC0D-3439-4655-B8D5-8D722422EE5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3E1086-54F5-4FEB-A396-6B447ADAC3D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6F838633-4C1D-4E10-8FC7-91E69E96734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4.2415866002456372E-2"/>
                  <c:y val="0"/>
                </c:manualLayout>
              </c:layout>
              <c:tx>
                <c:rich>
                  <a:bodyPr/>
                  <a:lstStyle/>
                  <a:p>
                    <a:fld id="{2DE59E30-4360-41C3-B0C6-76E2E0EDE21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0FE1756F-2464-4C2E-8CC6-B2C0314841F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4.7852899087735781E-2"/>
                  <c:y val="4.7468597593906404E-2"/>
                </c:manualLayout>
              </c:layout>
              <c:tx>
                <c:rich>
                  <a:bodyPr/>
                  <a:lstStyle/>
                  <a:p>
                    <a:fld id="{75D3EEE1-2A57-4A91-981E-A0A75BECEA2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-.3%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('Whatcom Pgs 72-73'!$B$66,'Whatcom Pgs 72-73'!$B$67,'Whatcom Pgs 72-73'!$B$74,'Whatcom Pgs 72-73'!$B$78,'Whatcom Pgs 72-73'!$B$80)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('Whatcom Pgs 72-73'!$D$66,'Whatcom Pgs 72-73'!$D$67,'Whatcom Pgs 72-73'!$D$74,'Whatcom Pgs 72-73'!$D$78,'Whatcom Pgs 72-73'!$D$79)</c:f>
              <c:numCache>
                <c:formatCode>0.0%</c:formatCode>
                <c:ptCount val="5"/>
                <c:pt idx="0">
                  <c:v>0.12242282577362226</c:v>
                </c:pt>
                <c:pt idx="1">
                  <c:v>0.45437863728844718</c:v>
                </c:pt>
                <c:pt idx="2">
                  <c:v>0.34267690851893162</c:v>
                </c:pt>
                <c:pt idx="3">
                  <c:v>8.3759206804784408E-2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8834951456310544E-2"/>
                  <c:y val="3.21130378933847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6985340424679924E-2"/>
                  <c:y val="6.42260757867682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548756648137431E-2"/>
                  <c:y val="3.21130378933847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437817845584838E-2"/>
                  <c:y val="-1.926782273603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('Whitman Pgs 74-75'!$B$66,'Whitman Pgs 74-75'!$B$67,'Whitman Pgs 74-75'!$B$74,'Whitman Pgs 74-75'!$B$78,'Whitman Pgs 74-75'!$B$80)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('Whitman Pgs 74-75'!$D$66,'Whitman Pgs 74-75'!$D$67,'Whitman Pgs 74-75'!$D$74,'Whitman Pgs 74-75'!$D$78,'Whitman Pgs 74-75'!$D$80)</c:f>
              <c:numCache>
                <c:formatCode>0.0%</c:formatCode>
                <c:ptCount val="5"/>
                <c:pt idx="0">
                  <c:v>7.2765254076770147E-2</c:v>
                </c:pt>
                <c:pt idx="1">
                  <c:v>0.29169329552376294</c:v>
                </c:pt>
                <c:pt idx="2">
                  <c:v>0.32425022450000202</c:v>
                </c:pt>
                <c:pt idx="3">
                  <c:v>0.30661999065207884</c:v>
                </c:pt>
                <c:pt idx="4">
                  <c:v>4.6712352473860571E-3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2795922909414502E-2"/>
                  <c:y val="0.103510209851422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8345297257500462"/>
                  <c:y val="-2.56287041486464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13086692435118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01509295048768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7821735658250417E-2"/>
                  <c:y val="-2.36693484262162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('Yakima Pgs 76-77'!$B$66,'Yakima Pgs 76-77'!$B$67,'Yakima Pgs 76-77'!$B$74,'Yakima Pgs 76-77'!$B$78,'Yakima Pgs 76-77'!$B$80)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('Yakima Pgs 76-77'!$D$66,'Yakima Pgs 76-77'!$D$67,'Yakima Pgs 76-77'!$D$74,'Yakima Pgs 76-77'!$D$78,'Yakima Pgs 76-77'!$D$80)</c:f>
              <c:numCache>
                <c:formatCode>0.0%</c:formatCode>
                <c:ptCount val="5"/>
                <c:pt idx="0">
                  <c:v>3.0122032319386545E-2</c:v>
                </c:pt>
                <c:pt idx="1">
                  <c:v>0.63072498540132305</c:v>
                </c:pt>
                <c:pt idx="2">
                  <c:v>0.2318331081548764</c:v>
                </c:pt>
                <c:pt idx="3">
                  <c:v>0.10600742725614092</c:v>
                </c:pt>
                <c:pt idx="4">
                  <c:v>1.3124468682730883E-3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8.9701880997611078E-3"/>
                  <c:y val="-1.36962457192990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539884075221854E-2"/>
                  <c:y val="-3.7664793582372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('Adams Pgs 8-9'!$B$67,'Adams Pgs 8-9'!$B$68,'Adams Pgs 8-9'!$B$75,'Adams Pgs 8-9'!$B$79,'Adams Pgs 8-9'!$B$81)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('Adams Pgs 8-9'!$D$67,'Adams Pgs 8-9'!$D$68,'Adams Pgs 8-9'!$D$75,'Adams Pgs 8-9'!$D$79,'Adams Pgs 8-9'!$D$81)</c:f>
              <c:numCache>
                <c:formatCode>0.0%</c:formatCode>
                <c:ptCount val="5"/>
                <c:pt idx="0">
                  <c:v>0.19032069561052684</c:v>
                </c:pt>
                <c:pt idx="1">
                  <c:v>0.12850730320773698</c:v>
                </c:pt>
                <c:pt idx="2">
                  <c:v>0.26526073030775899</c:v>
                </c:pt>
                <c:pt idx="3">
                  <c:v>0.28538798819825578</c:v>
                </c:pt>
                <c:pt idx="4">
                  <c:v>0.13052328267572144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8360679226668271E-2"/>
                  <c:y val="3.12892450893405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129734262168968E-3"/>
                  <c:y val="2.26250004738815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262011915639634"/>
                  <c:y val="-2.42172634492302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2311735793304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5780021749353642E-3"/>
                  <c:y val="7.33633982940688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('Asotin Pgs 10-11'!$B$66,'Asotin Pgs 10-11'!$B$67,'Asotin Pgs 10-11'!$B$74,'Asotin Pgs 10-11'!$B$78,'Asotin Pgs 10-11'!$B$80)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('Asotin Pgs 10-11'!$D$66,'Asotin Pgs 10-11'!$D$67,'Asotin Pgs 10-11'!$D$74,'Asotin Pgs 10-11'!$D$78,'Asotin Pgs 10-11'!$D$80)</c:f>
              <c:numCache>
                <c:formatCode>0.0%</c:formatCode>
                <c:ptCount val="5"/>
                <c:pt idx="0">
                  <c:v>8.4204850619544622E-2</c:v>
                </c:pt>
                <c:pt idx="1">
                  <c:v>0.13508838883384161</c:v>
                </c:pt>
                <c:pt idx="2">
                  <c:v>0.35723689047767432</c:v>
                </c:pt>
                <c:pt idx="3">
                  <c:v>0.38717075203159523</c:v>
                </c:pt>
                <c:pt idx="4">
                  <c:v>3.6299118037344237E-2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766252130594981E-2"/>
                  <c:y val="3.85542168674698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586162292019224E-2"/>
                  <c:y val="-1.06760269424153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2572889129469715E-2"/>
                  <c:y val="3.81944444444444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('Benton-Franklin Pgs 12-13'!$B$66,'Benton-Franklin Pgs 12-13'!$B$67,'Benton-Franklin Pgs 12-13'!$B$74,'Benton-Franklin Pgs 12-13'!$B$78,'Benton-Franklin Pgs 12-13'!$B$80)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('Benton-Franklin Pgs 12-13'!$D$66,'Benton-Franklin Pgs 12-13'!$D$67,'Benton-Franklin Pgs 12-13'!$D$74,'Benton-Franklin Pgs 12-13'!$D$78,'Benton-Franklin Pgs 12-13'!$D$80)</c:f>
              <c:numCache>
                <c:formatCode>0.0%</c:formatCode>
                <c:ptCount val="5"/>
                <c:pt idx="0">
                  <c:v>9.7703180192916558E-2</c:v>
                </c:pt>
                <c:pt idx="1">
                  <c:v>0.31361928850005466</c:v>
                </c:pt>
                <c:pt idx="2">
                  <c:v>0.24288166590047278</c:v>
                </c:pt>
                <c:pt idx="3">
                  <c:v>0.34579586540655605</c:v>
                </c:pt>
                <c:pt idx="4" formatCode="@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0.17317319006399132"/>
                  <c:y val="-3.85694249649370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4546883285885864"/>
                  <c:y val="1.87871657644356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('Chelan-Douglas Pgs 14-15'!$B$66,'Chelan-Douglas Pgs 14-15'!$B$67,'Chelan-Douglas Pgs 14-15'!$B$74,'Chelan-Douglas Pgs 14-15'!$B$78,'Chelan-Douglas Pgs 14-15'!$B$80)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('Chelan-Douglas Pgs 14-15'!$D$66,'Chelan-Douglas Pgs 14-15'!$D$67,'Chelan-Douglas Pgs 14-15'!$D$74,'Chelan-Douglas Pgs 14-15'!$D$78,'Chelan-Douglas Pgs 14-15'!$D$80)</c:f>
              <c:numCache>
                <c:formatCode>0.0%</c:formatCode>
                <c:ptCount val="5"/>
                <c:pt idx="0">
                  <c:v>0.15442713217307533</c:v>
                </c:pt>
                <c:pt idx="1">
                  <c:v>0.4253886153675942</c:v>
                </c:pt>
                <c:pt idx="2">
                  <c:v>0.17197941866568081</c:v>
                </c:pt>
                <c:pt idx="3">
                  <c:v>0.24820483379364966</c:v>
                </c:pt>
                <c:pt idx="4" formatCode="@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1.2734847004068578E-3"/>
                  <c:y val="-2.128368019280712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855923035370091E-2"/>
                  <c:y val="9.0197216563912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3569983446753725E-3"/>
                  <c:y val="2.41129865656217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('Clallam Pgs 16-17'!$B$66,'Clallam Pgs 16-17'!$B$67,'Clallam Pgs 16-17'!$B$74,'Clallam Pgs 16-17'!$B$78,'Clallam Pgs 16-17'!$B$80)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('Clallam Pgs 16-17'!$D$66,'Clallam Pgs 16-17'!$D$67,'Clallam Pgs 16-17'!$D$74,'Clallam Pgs 16-17'!$D$78,'Clallam Pgs 16-17'!$D$80)</c:f>
              <c:numCache>
                <c:formatCode>0.0%</c:formatCode>
                <c:ptCount val="5"/>
                <c:pt idx="0">
                  <c:v>0.36297069341324928</c:v>
                </c:pt>
                <c:pt idx="1">
                  <c:v>0.21595311392733663</c:v>
                </c:pt>
                <c:pt idx="2">
                  <c:v>6.1482667023957688E-2</c:v>
                </c:pt>
                <c:pt idx="3">
                  <c:v>0.25640166768375977</c:v>
                </c:pt>
                <c:pt idx="4">
                  <c:v>0.10319185795169662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1156797477483323E-2"/>
                  <c:y val="2.4848922431408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374297614065822"/>
                  <c:y val="-3.68233288446357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5462575790642852E-2"/>
                  <c:y val="3.076637324294025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9683796018881"/>
                      <c:h val="0.13928317932457263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2.3785806658147481E-2"/>
                  <c:y val="3.5718711235232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('Clark Pgs 18-19'!$B$66,'Clark Pgs 18-19'!$B$67,'Clark Pgs 18-19'!$B$74,'Clark Pgs 18-19'!$B$78,'Clark Pgs 18-19'!$B$80)</c:f>
              <c:strCache>
                <c:ptCount val="5"/>
                <c:pt idx="0">
                  <c:v>Local Government Contributions</c:v>
                </c:pt>
                <c:pt idx="1">
                  <c:v>Licenses, Permits &amp; Fees</c:v>
                </c:pt>
                <c:pt idx="2">
                  <c:v>State Funded Expenditures</c:v>
                </c:pt>
                <c:pt idx="3">
                  <c:v>Federal Funded Expenditures</c:v>
                </c:pt>
                <c:pt idx="4">
                  <c:v>Other Funded Expenditures</c:v>
                </c:pt>
              </c:strCache>
            </c:strRef>
          </c:cat>
          <c:val>
            <c:numRef>
              <c:f>('Clark Pgs 18-19'!$D$66,'Clark Pgs 18-19'!$D$67,'Clark Pgs 18-19'!$D$74,'Clark Pgs 18-19'!$D$78,'Clark Pgs 18-19'!$D$80)</c:f>
              <c:numCache>
                <c:formatCode>0.0%</c:formatCode>
                <c:ptCount val="5"/>
                <c:pt idx="0">
                  <c:v>0.23283667562877991</c:v>
                </c:pt>
                <c:pt idx="1">
                  <c:v>0.33171361964132673</c:v>
                </c:pt>
                <c:pt idx="2">
                  <c:v>0.23945791686493489</c:v>
                </c:pt>
                <c:pt idx="3">
                  <c:v>0.17078902238196275</c:v>
                </c:pt>
                <c:pt idx="4">
                  <c:v>2.5202765482995756E-2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99057</xdr:colOff>
      <xdr:row>60</xdr:row>
      <xdr:rowOff>95249</xdr:rowOff>
    </xdr:from>
    <xdr:to>
      <xdr:col>12</xdr:col>
      <xdr:colOff>9524</xdr:colOff>
      <xdr:row>80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139064</xdr:colOff>
      <xdr:row>60</xdr:row>
      <xdr:rowOff>165735</xdr:rowOff>
    </xdr:from>
    <xdr:to>
      <xdr:col>12</xdr:col>
      <xdr:colOff>9525</xdr:colOff>
      <xdr:row>80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</xdr:colOff>
      <xdr:row>60</xdr:row>
      <xdr:rowOff>100965</xdr:rowOff>
    </xdr:from>
    <xdr:to>
      <xdr:col>12</xdr:col>
      <xdr:colOff>19050</xdr:colOff>
      <xdr:row>80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279401</xdr:colOff>
      <xdr:row>60</xdr:row>
      <xdr:rowOff>73024</xdr:rowOff>
    </xdr:from>
    <xdr:to>
      <xdr:col>12</xdr:col>
      <xdr:colOff>47625</xdr:colOff>
      <xdr:row>81</xdr:row>
      <xdr:rowOff>50799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60</xdr:row>
      <xdr:rowOff>132714</xdr:rowOff>
    </xdr:from>
    <xdr:to>
      <xdr:col>12</xdr:col>
      <xdr:colOff>9525</xdr:colOff>
      <xdr:row>80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138430</xdr:colOff>
      <xdr:row>61</xdr:row>
      <xdr:rowOff>12700</xdr:rowOff>
    </xdr:from>
    <xdr:to>
      <xdr:col>11</xdr:col>
      <xdr:colOff>765175</xdr:colOff>
      <xdr:row>81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23809</xdr:rowOff>
    </xdr:from>
    <xdr:to>
      <xdr:col>15</xdr:col>
      <xdr:colOff>619125</xdr:colOff>
      <xdr:row>39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158115</xdr:colOff>
      <xdr:row>60</xdr:row>
      <xdr:rowOff>114300</xdr:rowOff>
    </xdr:from>
    <xdr:to>
      <xdr:col>11</xdr:col>
      <xdr:colOff>819150</xdr:colOff>
      <xdr:row>80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60</xdr:row>
      <xdr:rowOff>114300</xdr:rowOff>
    </xdr:from>
    <xdr:to>
      <xdr:col>12</xdr:col>
      <xdr:colOff>9525</xdr:colOff>
      <xdr:row>81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106679</xdr:colOff>
      <xdr:row>60</xdr:row>
      <xdr:rowOff>120014</xdr:rowOff>
    </xdr:from>
    <xdr:to>
      <xdr:col>12</xdr:col>
      <xdr:colOff>0</xdr:colOff>
      <xdr:row>80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60</xdr:row>
      <xdr:rowOff>177799</xdr:rowOff>
    </xdr:from>
    <xdr:to>
      <xdr:col>12</xdr:col>
      <xdr:colOff>9525</xdr:colOff>
      <xdr:row>81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60</xdr:row>
      <xdr:rowOff>158115</xdr:rowOff>
    </xdr:from>
    <xdr:to>
      <xdr:col>12</xdr:col>
      <xdr:colOff>19049</xdr:colOff>
      <xdr:row>81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746760</xdr:colOff>
      <xdr:row>0</xdr:row>
      <xdr:rowOff>38100</xdr:rowOff>
    </xdr:from>
    <xdr:ext cx="1699260" cy="281940"/>
    <xdr:sp macro="" textlink="">
      <xdr:nvSpPr>
        <xdr:cNvPr id="5" name="TextBox 4"/>
        <xdr:cNvSpPr txBox="1"/>
      </xdr:nvSpPr>
      <xdr:spPr>
        <a:xfrm>
          <a:off x="3870960" y="38100"/>
          <a:ext cx="1699260" cy="281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1661160</xdr:colOff>
      <xdr:row>2</xdr:row>
      <xdr:rowOff>350520</xdr:rowOff>
    </xdr:from>
    <xdr:ext cx="0" cy="0"/>
    <xdr:sp macro="" textlink="">
      <xdr:nvSpPr>
        <xdr:cNvPr id="7" name="TextBox 6"/>
        <xdr:cNvSpPr txBox="1"/>
      </xdr:nvSpPr>
      <xdr:spPr>
        <a:xfrm>
          <a:off x="1661160" y="6858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2000" b="1" baseline="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15</xdr:col>
      <xdr:colOff>685799</xdr:colOff>
      <xdr:row>43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139065</xdr:colOff>
      <xdr:row>60</xdr:row>
      <xdr:rowOff>140969</xdr:rowOff>
    </xdr:from>
    <xdr:to>
      <xdr:col>11</xdr:col>
      <xdr:colOff>819150</xdr:colOff>
      <xdr:row>80</xdr:row>
      <xdr:rowOff>200024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129539</xdr:colOff>
      <xdr:row>60</xdr:row>
      <xdr:rowOff>140969</xdr:rowOff>
    </xdr:from>
    <xdr:to>
      <xdr:col>12</xdr:col>
      <xdr:colOff>0</xdr:colOff>
      <xdr:row>80</xdr:row>
      <xdr:rowOff>200024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60</xdr:row>
      <xdr:rowOff>113030</xdr:rowOff>
    </xdr:from>
    <xdr:to>
      <xdr:col>12</xdr:col>
      <xdr:colOff>19050</xdr:colOff>
      <xdr:row>80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</xdr:colOff>
      <xdr:row>60</xdr:row>
      <xdr:rowOff>161925</xdr:rowOff>
    </xdr:from>
    <xdr:to>
      <xdr:col>11</xdr:col>
      <xdr:colOff>819150</xdr:colOff>
      <xdr:row>81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123823</xdr:colOff>
      <xdr:row>60</xdr:row>
      <xdr:rowOff>150495</xdr:rowOff>
    </xdr:from>
    <xdr:to>
      <xdr:col>11</xdr:col>
      <xdr:colOff>819149</xdr:colOff>
      <xdr:row>81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62</xdr:row>
      <xdr:rowOff>91440</xdr:rowOff>
    </xdr:from>
    <xdr:to>
      <xdr:col>11</xdr:col>
      <xdr:colOff>809625</xdr:colOff>
      <xdr:row>83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</xdr:colOff>
      <xdr:row>60</xdr:row>
      <xdr:rowOff>91440</xdr:rowOff>
    </xdr:from>
    <xdr:to>
      <xdr:col>12</xdr:col>
      <xdr:colOff>0</xdr:colOff>
      <xdr:row>81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110489</xdr:colOff>
      <xdr:row>60</xdr:row>
      <xdr:rowOff>140969</xdr:rowOff>
    </xdr:from>
    <xdr:to>
      <xdr:col>11</xdr:col>
      <xdr:colOff>819149</xdr:colOff>
      <xdr:row>81</xdr:row>
      <xdr:rowOff>19049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60</xdr:row>
      <xdr:rowOff>142875</xdr:rowOff>
    </xdr:from>
    <xdr:to>
      <xdr:col>12</xdr:col>
      <xdr:colOff>28575</xdr:colOff>
      <xdr:row>80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86360</xdr:colOff>
      <xdr:row>60</xdr:row>
      <xdr:rowOff>144779</xdr:rowOff>
    </xdr:from>
    <xdr:to>
      <xdr:col>11</xdr:col>
      <xdr:colOff>742950</xdr:colOff>
      <xdr:row>81</xdr:row>
      <xdr:rowOff>19049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156209</xdr:colOff>
      <xdr:row>60</xdr:row>
      <xdr:rowOff>140970</xdr:rowOff>
    </xdr:from>
    <xdr:to>
      <xdr:col>12</xdr:col>
      <xdr:colOff>9524</xdr:colOff>
      <xdr:row>80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112394</xdr:colOff>
      <xdr:row>60</xdr:row>
      <xdr:rowOff>112394</xdr:rowOff>
    </xdr:from>
    <xdr:to>
      <xdr:col>12</xdr:col>
      <xdr:colOff>0</xdr:colOff>
      <xdr:row>81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140969</xdr:colOff>
      <xdr:row>60</xdr:row>
      <xdr:rowOff>121919</xdr:rowOff>
    </xdr:from>
    <xdr:to>
      <xdr:col>11</xdr:col>
      <xdr:colOff>819150</xdr:colOff>
      <xdr:row>80</xdr:row>
      <xdr:rowOff>200024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126999</xdr:colOff>
      <xdr:row>60</xdr:row>
      <xdr:rowOff>152399</xdr:rowOff>
    </xdr:from>
    <xdr:to>
      <xdr:col>11</xdr:col>
      <xdr:colOff>774699</xdr:colOff>
      <xdr:row>81</xdr:row>
      <xdr:rowOff>3174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140969</xdr:colOff>
      <xdr:row>60</xdr:row>
      <xdr:rowOff>152400</xdr:rowOff>
    </xdr:from>
    <xdr:to>
      <xdr:col>12</xdr:col>
      <xdr:colOff>28574</xdr:colOff>
      <xdr:row>81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60</xdr:row>
      <xdr:rowOff>99059</xdr:rowOff>
    </xdr:from>
    <xdr:to>
      <xdr:col>12</xdr:col>
      <xdr:colOff>0</xdr:colOff>
      <xdr:row>80</xdr:row>
      <xdr:rowOff>200024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140969</xdr:colOff>
      <xdr:row>60</xdr:row>
      <xdr:rowOff>120014</xdr:rowOff>
    </xdr:from>
    <xdr:to>
      <xdr:col>12</xdr:col>
      <xdr:colOff>0</xdr:colOff>
      <xdr:row>80</xdr:row>
      <xdr:rowOff>184149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98611</xdr:colOff>
      <xdr:row>60</xdr:row>
      <xdr:rowOff>144780</xdr:rowOff>
    </xdr:from>
    <xdr:to>
      <xdr:col>12</xdr:col>
      <xdr:colOff>9524</xdr:colOff>
      <xdr:row>81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60</xdr:row>
      <xdr:rowOff>140969</xdr:rowOff>
    </xdr:from>
    <xdr:to>
      <xdr:col>11</xdr:col>
      <xdr:colOff>819150</xdr:colOff>
      <xdr:row>80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121919</xdr:colOff>
      <xdr:row>60</xdr:row>
      <xdr:rowOff>127634</xdr:rowOff>
    </xdr:from>
    <xdr:to>
      <xdr:col>11</xdr:col>
      <xdr:colOff>819149</xdr:colOff>
      <xdr:row>81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139065</xdr:colOff>
      <xdr:row>60</xdr:row>
      <xdr:rowOff>150495</xdr:rowOff>
    </xdr:from>
    <xdr:to>
      <xdr:col>11</xdr:col>
      <xdr:colOff>819150</xdr:colOff>
      <xdr:row>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60</xdr:row>
      <xdr:rowOff>137159</xdr:rowOff>
    </xdr:from>
    <xdr:to>
      <xdr:col>11</xdr:col>
      <xdr:colOff>819150</xdr:colOff>
      <xdr:row>80</xdr:row>
      <xdr:rowOff>200024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60</xdr:row>
      <xdr:rowOff>121920</xdr:rowOff>
    </xdr:from>
    <xdr:to>
      <xdr:col>11</xdr:col>
      <xdr:colOff>828674</xdr:colOff>
      <xdr:row>80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148590</xdr:colOff>
      <xdr:row>60</xdr:row>
      <xdr:rowOff>112394</xdr:rowOff>
    </xdr:from>
    <xdr:to>
      <xdr:col>12</xdr:col>
      <xdr:colOff>19050</xdr:colOff>
      <xdr:row>80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914400</xdr:colOff>
      <xdr:row>0</xdr:row>
      <xdr:rowOff>312420</xdr:rowOff>
    </xdr:from>
    <xdr:ext cx="184731" cy="264560"/>
    <xdr:sp macro="" textlink="">
      <xdr:nvSpPr>
        <xdr:cNvPr id="3" name="TextBox 2"/>
        <xdr:cNvSpPr txBox="1"/>
      </xdr:nvSpPr>
      <xdr:spPr>
        <a:xfrm>
          <a:off x="914400" y="312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152401</xdr:colOff>
      <xdr:row>60</xdr:row>
      <xdr:rowOff>133350</xdr:rowOff>
    </xdr:from>
    <xdr:to>
      <xdr:col>12</xdr:col>
      <xdr:colOff>9525</xdr:colOff>
      <xdr:row>81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0.54704</cdr:x>
      <cdr:y>0.54694</cdr:y>
    </cdr:from>
    <cdr:to>
      <cdr:x>0.55677</cdr:x>
      <cdr:y>0.57023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9845" y="1431608"/>
          <a:ext cx="45719" cy="60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5"/>
  <sheetViews>
    <sheetView showZeros="0" view="pageLayout" zoomScale="55" zoomScaleNormal="100" zoomScalePageLayoutView="55" workbookViewId="0">
      <selection activeCell="G43" sqref="G43"/>
    </sheetView>
  </sheetViews>
  <sheetFormatPr defaultColWidth="6" defaultRowHeight="15" x14ac:dyDescent="0.25"/>
  <cols>
    <col min="1" max="1" width="14.140625" style="11" customWidth="1"/>
    <col min="2" max="2" width="12.140625" style="11" customWidth="1"/>
    <col min="3" max="3" width="13.140625" style="12" customWidth="1"/>
    <col min="4" max="4" width="11" style="11" customWidth="1"/>
    <col min="5" max="5" width="14.140625" style="14" customWidth="1"/>
    <col min="6" max="6" width="14.85546875" style="14" customWidth="1"/>
    <col min="7" max="8" width="13.140625" style="11" customWidth="1"/>
    <col min="9" max="9" width="16.5703125" style="11" bestFit="1" customWidth="1"/>
    <col min="10" max="10" width="12.85546875" style="14" customWidth="1"/>
    <col min="11" max="12" width="14.28515625" style="14" customWidth="1"/>
    <col min="13" max="13" width="16.5703125" style="11" bestFit="1" customWidth="1"/>
    <col min="14" max="14" width="16.28515625" style="11" customWidth="1"/>
    <col min="15" max="15" width="11.5703125" style="14" customWidth="1"/>
    <col min="16" max="16384" width="6" style="11"/>
  </cols>
  <sheetData>
    <row r="1" spans="1:15" x14ac:dyDescent="0.25">
      <c r="D1" s="13"/>
    </row>
    <row r="2" spans="1:15" ht="15.75" thickBot="1" x14ac:dyDescent="0.3">
      <c r="A2" s="15"/>
      <c r="B2" s="15"/>
      <c r="C2" s="16"/>
      <c r="D2" s="15"/>
      <c r="E2" s="29"/>
      <c r="F2" s="29"/>
      <c r="G2" s="15"/>
      <c r="H2" s="15"/>
      <c r="I2" s="15"/>
      <c r="J2" s="29"/>
      <c r="K2" s="29"/>
      <c r="L2" s="29"/>
      <c r="M2" s="15"/>
      <c r="N2" s="15"/>
    </row>
    <row r="3" spans="1:15" ht="19.899999999999999" customHeight="1" thickBot="1" x14ac:dyDescent="0.3">
      <c r="A3" s="82"/>
      <c r="B3" s="83"/>
      <c r="C3" s="84"/>
      <c r="D3" s="85"/>
      <c r="E3" s="519" t="s">
        <v>69</v>
      </c>
      <c r="F3" s="521"/>
      <c r="G3" s="519" t="s">
        <v>67</v>
      </c>
      <c r="H3" s="520"/>
      <c r="I3" s="520"/>
      <c r="J3" s="521"/>
      <c r="K3" s="519" t="s">
        <v>68</v>
      </c>
      <c r="L3" s="521"/>
      <c r="M3" s="116" t="s">
        <v>70</v>
      </c>
      <c r="N3" s="86"/>
      <c r="O3" s="11"/>
    </row>
    <row r="4" spans="1:15" ht="60.75" customHeight="1" thickBot="1" x14ac:dyDescent="0.3">
      <c r="A4" s="114" t="s">
        <v>139</v>
      </c>
      <c r="B4" s="87" t="s">
        <v>75</v>
      </c>
      <c r="C4" s="88" t="s">
        <v>151</v>
      </c>
      <c r="D4" s="115" t="s">
        <v>76</v>
      </c>
      <c r="E4" s="118" t="s">
        <v>62</v>
      </c>
      <c r="F4" s="117" t="s">
        <v>6</v>
      </c>
      <c r="G4" s="89" t="s">
        <v>1</v>
      </c>
      <c r="H4" s="122" t="s">
        <v>157</v>
      </c>
      <c r="I4" s="89" t="s">
        <v>2</v>
      </c>
      <c r="J4" s="117" t="s">
        <v>3</v>
      </c>
      <c r="K4" s="89" t="s">
        <v>4</v>
      </c>
      <c r="L4" s="117" t="s">
        <v>5</v>
      </c>
      <c r="M4" s="89" t="s">
        <v>8</v>
      </c>
      <c r="N4" s="89" t="s">
        <v>0</v>
      </c>
      <c r="O4" s="11"/>
    </row>
    <row r="5" spans="1:15" ht="15.75" customHeight="1" x14ac:dyDescent="0.25">
      <c r="A5" s="90" t="s">
        <v>72</v>
      </c>
      <c r="B5" s="91" t="str">
        <f>'Adams Pgs 8-9'!L2</f>
        <v>Cash</v>
      </c>
      <c r="C5" s="92">
        <f>'Adams Pgs 8-9'!C1</f>
        <v>19870</v>
      </c>
      <c r="D5" s="93">
        <f>'Adams Pgs 8-9'!C2</f>
        <v>8.75</v>
      </c>
      <c r="E5" s="119">
        <f>'Adams Pgs 8-9'!C60</f>
        <v>146235</v>
      </c>
      <c r="F5" s="94">
        <f>'Adams Pgs 8-9'!D60</f>
        <v>98740</v>
      </c>
      <c r="G5" s="96">
        <f>'Adams Pgs 8-9'!E60</f>
        <v>10433</v>
      </c>
      <c r="H5" s="95">
        <f>'Adams Pgs 8-9'!F60</f>
        <v>42000</v>
      </c>
      <c r="I5" s="96">
        <f>'Adams Pgs 8-9'!G60</f>
        <v>121214</v>
      </c>
      <c r="J5" s="94">
        <f>'Adams Pgs 8-9'!H60</f>
        <v>30169</v>
      </c>
      <c r="K5" s="96">
        <f>'Adams Pgs 8-9'!I60</f>
        <v>140257</v>
      </c>
      <c r="L5" s="94">
        <f>'Adams Pgs 8-9'!J60</f>
        <v>79024</v>
      </c>
      <c r="M5" s="96">
        <f>'Adams Pgs 8-9'!K60</f>
        <v>100289</v>
      </c>
      <c r="N5" s="119">
        <f>SUM(E5:M5)</f>
        <v>768361</v>
      </c>
      <c r="O5" s="15"/>
    </row>
    <row r="6" spans="1:15" ht="15.75" customHeight="1" x14ac:dyDescent="0.25">
      <c r="A6" s="90" t="s">
        <v>77</v>
      </c>
      <c r="B6" s="91" t="str">
        <f>'Asotin Pgs 10-11'!L2</f>
        <v>Cash</v>
      </c>
      <c r="C6" s="92">
        <f>'Asotin Pgs 10-11'!C1</f>
        <v>22290</v>
      </c>
      <c r="D6" s="93">
        <f>'Asotin Pgs 10-11'!C2</f>
        <v>6.75</v>
      </c>
      <c r="E6" s="119">
        <f>'Asotin Pgs 10-11'!C60</f>
        <v>48100</v>
      </c>
      <c r="F6" s="94">
        <f>'Asotin Pgs 10-11'!D60</f>
        <v>77166</v>
      </c>
      <c r="G6" s="96">
        <f>'Asotin Pgs 10-11'!E60</f>
        <v>486</v>
      </c>
      <c r="H6" s="95">
        <f>'Asotin Pgs 10-11'!F60</f>
        <v>42000</v>
      </c>
      <c r="I6" s="96">
        <f>'Asotin Pgs 10-11'!G60</f>
        <v>159891</v>
      </c>
      <c r="J6" s="94">
        <f>'Asotin Pgs 10-11'!H60</f>
        <v>1686</v>
      </c>
      <c r="K6" s="96">
        <f>'Asotin Pgs 10-11'!I60</f>
        <v>169911</v>
      </c>
      <c r="L6" s="94">
        <f>'Asotin Pgs 10-11'!J60</f>
        <v>51251</v>
      </c>
      <c r="M6" s="96">
        <f>'Asotin Pgs 10-11'!K60</f>
        <v>20735</v>
      </c>
      <c r="N6" s="119">
        <f t="shared" ref="N6:N39" si="0">SUM(E6:M6)</f>
        <v>571226</v>
      </c>
      <c r="O6" s="11"/>
    </row>
    <row r="7" spans="1:15" ht="15.75" customHeight="1" x14ac:dyDescent="0.25">
      <c r="A7" s="90" t="s">
        <v>73</v>
      </c>
      <c r="B7" s="91" t="str">
        <f>'Benton-Franklin Pgs 12-13'!L2</f>
        <v>Accrual</v>
      </c>
      <c r="C7" s="92">
        <f>'Benton-Franklin Pgs 12-13'!C1</f>
        <v>283830</v>
      </c>
      <c r="D7" s="93">
        <f>'Benton-Franklin Pgs 12-13'!C2</f>
        <v>85.19</v>
      </c>
      <c r="E7" s="119">
        <f>'Benton-Franklin Pgs 12-13'!C60</f>
        <v>903887</v>
      </c>
      <c r="F7" s="94">
        <f>'Benton-Franklin Pgs 12-13'!D60</f>
        <v>2901404</v>
      </c>
      <c r="G7" s="96">
        <f>'Benton-Franklin Pgs 12-13'!E60</f>
        <v>424562</v>
      </c>
      <c r="H7" s="95">
        <f>'Benton-Franklin Pgs 12-13'!F60</f>
        <v>157910</v>
      </c>
      <c r="I7" s="96">
        <f>'Benton-Franklin Pgs 12-13'!G60</f>
        <v>1614337</v>
      </c>
      <c r="J7" s="94">
        <f>'Benton-Franklin Pgs 12-13'!H60</f>
        <v>50176</v>
      </c>
      <c r="K7" s="96">
        <f>'Benton-Franklin Pgs 12-13'!I60</f>
        <v>2149660</v>
      </c>
      <c r="L7" s="94">
        <f>'Benton-Franklin Pgs 12-13'!J60</f>
        <v>1049421</v>
      </c>
      <c r="M7" s="98" t="s">
        <v>154</v>
      </c>
      <c r="N7" s="119">
        <f t="shared" si="0"/>
        <v>9251357</v>
      </c>
      <c r="O7" s="11"/>
    </row>
    <row r="8" spans="1:15" ht="15.75" customHeight="1" x14ac:dyDescent="0.25">
      <c r="A8" s="90" t="s">
        <v>74</v>
      </c>
      <c r="B8" s="91" t="str">
        <f>'Chelan-Douglas Pgs 14-15'!L2</f>
        <v>Accrual</v>
      </c>
      <c r="C8" s="92">
        <f>'Chelan-Douglas Pgs 14-15'!C1</f>
        <v>118250</v>
      </c>
      <c r="D8" s="93">
        <f>'Chelan-Douglas Pgs 14-15'!C2</f>
        <v>40</v>
      </c>
      <c r="E8" s="119">
        <f>'Chelan-Douglas Pgs 14-15'!C60</f>
        <v>457819</v>
      </c>
      <c r="F8" s="94">
        <f>'Chelan-Douglas Pgs 14-15'!D60</f>
        <v>1261119</v>
      </c>
      <c r="G8" s="96">
        <f>'Chelan-Douglas Pgs 14-15'!E60</f>
        <v>22478</v>
      </c>
      <c r="H8" s="95">
        <f>'Chelan-Douglas Pgs 14-15'!F60</f>
        <v>65679</v>
      </c>
      <c r="I8" s="96">
        <f>'Chelan-Douglas Pgs 14-15'!G60</f>
        <v>399633</v>
      </c>
      <c r="J8" s="94">
        <f>'Chelan-Douglas Pgs 14-15'!H48</f>
        <v>22065</v>
      </c>
      <c r="K8" s="96">
        <f>'Chelan-Douglas Pgs 14-15'!I60</f>
        <v>577574</v>
      </c>
      <c r="L8" s="94">
        <f>'Chelan-Douglas Pgs 14-15'!J60</f>
        <v>158261</v>
      </c>
      <c r="M8" s="98" t="s">
        <v>154</v>
      </c>
      <c r="N8" s="119">
        <f t="shared" si="0"/>
        <v>2964628</v>
      </c>
      <c r="O8" s="11"/>
    </row>
    <row r="9" spans="1:15" ht="15.75" customHeight="1" x14ac:dyDescent="0.25">
      <c r="A9" s="90" t="s">
        <v>78</v>
      </c>
      <c r="B9" s="91" t="str">
        <f>'Clallam Pgs 16-17'!L2</f>
        <v>Cash</v>
      </c>
      <c r="C9" s="92">
        <f>'Clallam Pgs 16-17'!C1</f>
        <v>74240</v>
      </c>
      <c r="D9" s="93">
        <f>'Clallam Pgs 16-17'!C2</f>
        <v>27.74</v>
      </c>
      <c r="E9" s="119">
        <f>'Clallam Pgs 16-17'!C60</f>
        <v>1040278</v>
      </c>
      <c r="F9" s="94">
        <f>'Clallam Pgs 16-17'!D60</f>
        <v>618924</v>
      </c>
      <c r="G9" s="96">
        <f>'Clallam Pgs 16-17'!E60</f>
        <v>62567</v>
      </c>
      <c r="H9" s="95">
        <f>'Clallam Pgs 16-17'!F60</f>
        <v>42000</v>
      </c>
      <c r="I9" s="96">
        <f>'Clallam Pgs 16-17'!G60</f>
        <v>10000</v>
      </c>
      <c r="J9" s="94">
        <f>'Clallam Pgs 16-17'!H60</f>
        <v>61643</v>
      </c>
      <c r="K9" s="96">
        <f>'Clallam Pgs 16-17'!I60</f>
        <v>598329</v>
      </c>
      <c r="L9" s="94">
        <f>'Clallam Pgs 16-17'!J60</f>
        <v>136521</v>
      </c>
      <c r="M9" s="96">
        <f>'Clallam Pgs 16-17'!K60</f>
        <v>295749</v>
      </c>
      <c r="N9" s="119">
        <f t="shared" si="0"/>
        <v>2866011</v>
      </c>
      <c r="O9" s="11"/>
    </row>
    <row r="10" spans="1:15" ht="15.75" customHeight="1" x14ac:dyDescent="0.25">
      <c r="A10" s="90" t="s">
        <v>79</v>
      </c>
      <c r="B10" s="91" t="str">
        <f>'Clark Pgs 18-19'!L2</f>
        <v>Accrual</v>
      </c>
      <c r="C10" s="92">
        <f>'Clark Pgs 18-19'!C1</f>
        <v>471000</v>
      </c>
      <c r="D10" s="93">
        <f>'Clark Pgs 18-19'!C2</f>
        <v>90.05</v>
      </c>
      <c r="E10" s="96">
        <f>'Clark Pgs 18-19'!C60</f>
        <v>2582596</v>
      </c>
      <c r="F10" s="94">
        <f>'Clark Pgs 18-19'!D60</f>
        <v>3679327</v>
      </c>
      <c r="G10" s="96">
        <f>'Clark Pgs 18-19'!E60</f>
        <v>375664</v>
      </c>
      <c r="H10" s="95">
        <f>'Clark Pgs 18-19'!F60</f>
        <v>154135</v>
      </c>
      <c r="I10" s="96">
        <f>'Clark Pgs 18-19'!G60</f>
        <v>1757342</v>
      </c>
      <c r="J10" s="94">
        <f>'Clark Pgs 18-19'!H60</f>
        <v>368897</v>
      </c>
      <c r="K10" s="96">
        <f>'Clark Pgs 18-19'!I60</f>
        <v>1240315</v>
      </c>
      <c r="L10" s="94">
        <f>'Clark Pgs 18-19'!J60</f>
        <v>654056</v>
      </c>
      <c r="M10" s="96">
        <f>'Clark Pgs 18-19'!K60</f>
        <v>279546</v>
      </c>
      <c r="N10" s="119">
        <f t="shared" si="0"/>
        <v>11091878</v>
      </c>
      <c r="O10" s="11"/>
    </row>
    <row r="11" spans="1:15" ht="15.75" customHeight="1" x14ac:dyDescent="0.25">
      <c r="A11" s="90" t="s">
        <v>80</v>
      </c>
      <c r="B11" s="91" t="str">
        <f>'Columbia Pgs 20-21'!L2</f>
        <v>Cash</v>
      </c>
      <c r="C11" s="92">
        <f>'Columbia Pgs 20-21'!C1</f>
        <v>4100</v>
      </c>
      <c r="D11" s="93">
        <f>'Columbia Pgs 20-21'!C2</f>
        <v>3.3</v>
      </c>
      <c r="E11" s="96">
        <f>'Columbia Pgs 20-21'!C60</f>
        <v>34322</v>
      </c>
      <c r="F11" s="94">
        <f>'Columbia Pgs 20-21'!D60</f>
        <v>19840</v>
      </c>
      <c r="G11" s="121" t="s">
        <v>154</v>
      </c>
      <c r="H11" s="95">
        <f>'Columbia Pgs 20-21'!F60</f>
        <v>21000</v>
      </c>
      <c r="I11" s="96">
        <f>'Columbia Pgs 20-21'!G60</f>
        <v>119991</v>
      </c>
      <c r="J11" s="94">
        <f>'Columbia Pgs 20-21'!H60</f>
        <v>4893</v>
      </c>
      <c r="K11" s="96">
        <f>'Columbia Pgs 20-21'!I60</f>
        <v>100343</v>
      </c>
      <c r="L11" s="94">
        <f>'Columbia Pgs 20-21'!J60</f>
        <v>30328</v>
      </c>
      <c r="M11" s="96">
        <f>'Columbia Pgs 20-21'!K60</f>
        <v>20052</v>
      </c>
      <c r="N11" s="119">
        <f t="shared" si="0"/>
        <v>350769</v>
      </c>
      <c r="O11" s="11"/>
    </row>
    <row r="12" spans="1:15" ht="15.75" customHeight="1" x14ac:dyDescent="0.25">
      <c r="A12" s="90" t="s">
        <v>81</v>
      </c>
      <c r="B12" s="91" t="str">
        <f>'Cowlitz Pgs 22-23'!L2</f>
        <v>Accrual</v>
      </c>
      <c r="C12" s="92">
        <f>'Cowlitz Pgs 22-23'!C1</f>
        <v>105900</v>
      </c>
      <c r="D12" s="93">
        <f>'Cowlitz Pgs 22-23'!C2</f>
        <v>23.25</v>
      </c>
      <c r="E12" s="96">
        <f>'Cowlitz Pgs 22-23'!C60</f>
        <v>318102</v>
      </c>
      <c r="F12" s="94">
        <f>'Cowlitz Pgs 22-23'!D60</f>
        <v>1365336</v>
      </c>
      <c r="G12" s="96">
        <f>'Cowlitz Pgs 22-23'!E60</f>
        <v>20000</v>
      </c>
      <c r="H12" s="95">
        <f>'Cowlitz Pgs 22-23'!F60</f>
        <v>1373</v>
      </c>
      <c r="I12" s="96">
        <f>'Cowlitz Pgs 22-23'!G60</f>
        <v>477981</v>
      </c>
      <c r="J12" s="94">
        <f>'Cowlitz Pgs 22-23'!H60</f>
        <v>38924</v>
      </c>
      <c r="K12" s="96">
        <f>'Cowlitz Pgs 22-23'!I60</f>
        <v>163454</v>
      </c>
      <c r="L12" s="94">
        <f>'Cowlitz Pgs 22-23'!J60</f>
        <v>26051</v>
      </c>
      <c r="M12" s="96">
        <f>'Cowlitz Pgs 22-23'!K60</f>
        <v>409439</v>
      </c>
      <c r="N12" s="119">
        <f t="shared" si="0"/>
        <v>2820660</v>
      </c>
      <c r="O12" s="11"/>
    </row>
    <row r="13" spans="1:15" ht="15.75" customHeight="1" x14ac:dyDescent="0.25">
      <c r="A13" s="90" t="s">
        <v>82</v>
      </c>
      <c r="B13" s="91" t="str">
        <f>'Garfield Pgs 24-25'!L2</f>
        <v>Accrual</v>
      </c>
      <c r="C13" s="92">
        <f>'Garfield Pgs 24-25'!C1</f>
        <v>2200</v>
      </c>
      <c r="D13" s="93">
        <f>'Garfield Pgs 24-25'!C2</f>
        <v>3.33</v>
      </c>
      <c r="E13" s="96">
        <f>'Garfield Pgs 24-25'!C60</f>
        <v>32500</v>
      </c>
      <c r="F13" s="94">
        <f>'Garfield Pgs 24-25'!D60</f>
        <v>7528</v>
      </c>
      <c r="G13" s="121" t="s">
        <v>154</v>
      </c>
      <c r="H13" s="95">
        <f>'Garfield Pgs 24-25'!F60</f>
        <v>42000</v>
      </c>
      <c r="I13" s="96">
        <f>'Garfield Pgs 24-25'!G60</f>
        <v>93154</v>
      </c>
      <c r="J13" s="94">
        <f>'Garfield Pgs 24-25'!H60</f>
        <v>840</v>
      </c>
      <c r="K13" s="96">
        <f>'Garfield Pgs 24-25'!I60</f>
        <v>59194</v>
      </c>
      <c r="L13" s="94" t="str">
        <f>'Garfield Pgs 24-25'!J60</f>
        <v>0</v>
      </c>
      <c r="M13" s="96">
        <f>'Garfield Pgs 24-25'!K60</f>
        <v>1800</v>
      </c>
      <c r="N13" s="119">
        <f t="shared" si="0"/>
        <v>237016</v>
      </c>
      <c r="O13" s="11"/>
    </row>
    <row r="14" spans="1:15" ht="15.75" customHeight="1" x14ac:dyDescent="0.25">
      <c r="A14" s="90" t="s">
        <v>83</v>
      </c>
      <c r="B14" s="91" t="str">
        <f>'Grant Pgs 26-27'!L2</f>
        <v>Accrual</v>
      </c>
      <c r="C14" s="92">
        <f>'Grant Pgs 26-27'!C1</f>
        <v>95630</v>
      </c>
      <c r="D14" s="93">
        <f>'Grant Pgs 26-27'!C2</f>
        <v>24</v>
      </c>
      <c r="E14" s="96">
        <f>'Grant Pgs 26-27'!C60</f>
        <v>271010</v>
      </c>
      <c r="F14" s="94">
        <f>'Grant Pgs 26-27'!D60</f>
        <v>818314</v>
      </c>
      <c r="G14" s="96">
        <f>'Grant Pgs 26-27'!E60</f>
        <v>276230</v>
      </c>
      <c r="H14" s="95">
        <f>'Grant Pgs 26-27'!F60</f>
        <v>52293</v>
      </c>
      <c r="I14" s="96">
        <f>'Grant Pgs 26-27'!G60</f>
        <v>297761</v>
      </c>
      <c r="J14" s="94">
        <f>'Grant Pgs 26-27'!H60</f>
        <v>22306</v>
      </c>
      <c r="K14" s="96">
        <f>'Grant Pgs 26-27'!I60</f>
        <v>552270</v>
      </c>
      <c r="L14" s="94">
        <f>'Grant Pgs 26-27'!J60</f>
        <v>100430</v>
      </c>
      <c r="M14" s="96">
        <f>'Grant Pgs 26-27'!K60</f>
        <v>10953</v>
      </c>
      <c r="N14" s="119">
        <f t="shared" si="0"/>
        <v>2401567</v>
      </c>
      <c r="O14" s="11"/>
    </row>
    <row r="15" spans="1:15" ht="15.75" customHeight="1" x14ac:dyDescent="0.25">
      <c r="A15" s="90" t="s">
        <v>84</v>
      </c>
      <c r="B15" s="91" t="str">
        <f>'Grays Harbor Pgs 28-29'!L2</f>
        <v>Accrual</v>
      </c>
      <c r="C15" s="92">
        <f>'Grays Harbor Pgs 28-29'!C1</f>
        <v>72970</v>
      </c>
      <c r="D15" s="93">
        <f>'Grays Harbor Pgs 28-29'!C2</f>
        <v>30.53</v>
      </c>
      <c r="E15" s="96">
        <f>'Grays Harbor Pgs 28-29'!C60</f>
        <v>102012</v>
      </c>
      <c r="F15" s="94">
        <f>'Grays Harbor Pgs 28-29'!D60</f>
        <v>296662</v>
      </c>
      <c r="G15" s="96">
        <f>'Grays Harbor Pgs 28-29'!E60</f>
        <v>99925</v>
      </c>
      <c r="H15" s="95">
        <f>'Grays Harbor Pgs 28-29'!F60</f>
        <v>42000</v>
      </c>
      <c r="I15" s="96">
        <f>'Grays Harbor Pgs 28-29'!G60</f>
        <v>258598</v>
      </c>
      <c r="J15" s="94">
        <f>'Grays Harbor Pgs 28-29'!H60</f>
        <v>179279</v>
      </c>
      <c r="K15" s="96">
        <f>'Grays Harbor Pgs 28-29'!I60</f>
        <v>681945</v>
      </c>
      <c r="L15" s="94">
        <f>'Grays Harbor Pgs 28-29'!J60</f>
        <v>474943</v>
      </c>
      <c r="M15" s="96">
        <f>'Grays Harbor Pgs 28-29'!K60</f>
        <v>682234</v>
      </c>
      <c r="N15" s="119">
        <f t="shared" si="0"/>
        <v>2817598</v>
      </c>
      <c r="O15" s="11"/>
    </row>
    <row r="16" spans="1:15" ht="15.75" customHeight="1" x14ac:dyDescent="0.25">
      <c r="A16" s="90" t="s">
        <v>85</v>
      </c>
      <c r="B16" s="91" t="str">
        <f>'Island Pgs 30-31'!L2</f>
        <v>Accrual</v>
      </c>
      <c r="C16" s="92">
        <f>'Island Pgs 30-31'!C1</f>
        <v>82790</v>
      </c>
      <c r="D16" s="93">
        <f>'Island Pgs 30-31'!C2</f>
        <v>38.5</v>
      </c>
      <c r="E16" s="96">
        <f>'Island Pgs 30-31'!C60</f>
        <v>636972</v>
      </c>
      <c r="F16" s="94">
        <f>'Island Pgs 30-31'!D60</f>
        <v>1734704</v>
      </c>
      <c r="G16" s="96">
        <f>'Island Pgs 30-31'!E60</f>
        <v>95235</v>
      </c>
      <c r="H16" s="95">
        <f>'Island Pgs 30-31'!F60</f>
        <v>46238</v>
      </c>
      <c r="I16" s="96">
        <f>'Island Pgs 30-31'!G60</f>
        <v>267535</v>
      </c>
      <c r="J16" s="94">
        <f>'Island Pgs 30-31'!H60</f>
        <v>130732</v>
      </c>
      <c r="K16" s="96">
        <f>'Island Pgs 30-31'!I60</f>
        <v>486978</v>
      </c>
      <c r="L16" s="94">
        <f>'Island Pgs 30-31'!J60</f>
        <v>311613</v>
      </c>
      <c r="M16" s="96">
        <f>'Island Pgs 30-31'!K60</f>
        <v>16678</v>
      </c>
      <c r="N16" s="119">
        <f t="shared" si="0"/>
        <v>3726685</v>
      </c>
      <c r="O16" s="11"/>
    </row>
    <row r="17" spans="1:15" ht="15.75" customHeight="1" x14ac:dyDescent="0.25">
      <c r="A17" s="90" t="s">
        <v>86</v>
      </c>
      <c r="B17" s="91" t="str">
        <f>'Jefferson Pgs 32-33'!L2</f>
        <v>Cash</v>
      </c>
      <c r="C17" s="92">
        <f>'Jefferson Pgs 32-33'!C1</f>
        <v>31360</v>
      </c>
      <c r="D17" s="93">
        <f>'Jefferson Pgs 32-33'!C2</f>
        <v>31.09</v>
      </c>
      <c r="E17" s="96">
        <f>'Jefferson Pgs 32-33'!C60</f>
        <v>790508</v>
      </c>
      <c r="F17" s="94">
        <f>'Jefferson Pgs 32-33'!D60</f>
        <v>1985749</v>
      </c>
      <c r="G17" s="96">
        <f>'Jefferson Pgs 32-33'!E60</f>
        <v>108622</v>
      </c>
      <c r="H17" s="95">
        <f>'Jefferson Pgs 32-33'!F60</f>
        <v>42000</v>
      </c>
      <c r="I17" s="96">
        <f>'Jefferson Pgs 32-33'!G60</f>
        <v>184080</v>
      </c>
      <c r="J17" s="94">
        <f>'Jefferson Pgs 32-33'!H60</f>
        <v>384096</v>
      </c>
      <c r="K17" s="96">
        <f>'Jefferson Pgs 32-33'!I60</f>
        <v>207918</v>
      </c>
      <c r="L17" s="94">
        <f>'Jefferson Pgs 32-33'!J60</f>
        <v>373709</v>
      </c>
      <c r="M17" s="96">
        <f>'Jefferson Pgs 32-33'!K60</f>
        <v>622608</v>
      </c>
      <c r="N17" s="119">
        <f t="shared" si="0"/>
        <v>4699290</v>
      </c>
      <c r="O17" s="11"/>
    </row>
    <row r="18" spans="1:15" ht="15.75" customHeight="1" x14ac:dyDescent="0.25">
      <c r="A18" s="90" t="s">
        <v>87</v>
      </c>
      <c r="B18" s="91" t="str">
        <f>'Kitsap Pgs 34-35'!L2</f>
        <v>Cash</v>
      </c>
      <c r="C18" s="92">
        <f>'Kitsap Pgs 34-35'!C1</f>
        <v>264300</v>
      </c>
      <c r="D18" s="93">
        <f>'Kitsap Pgs 34-35'!C2</f>
        <v>95.6</v>
      </c>
      <c r="E18" s="96">
        <f>'Kitsap Pgs 34-35'!C60</f>
        <v>3200870</v>
      </c>
      <c r="F18" s="94">
        <f>'Kitsap Pgs 34-35'!D60</f>
        <v>4609948</v>
      </c>
      <c r="G18" s="96">
        <f>'Kitsap Pgs 34-35'!E60</f>
        <v>632596</v>
      </c>
      <c r="H18" s="95">
        <f>'Kitsap Pgs 34-35'!F60</f>
        <v>147346</v>
      </c>
      <c r="I18" s="96">
        <f>'Kitsap Pgs 34-35'!G60</f>
        <v>997477</v>
      </c>
      <c r="J18" s="94">
        <f>'Kitsap Pgs 34-35'!H60</f>
        <v>445584</v>
      </c>
      <c r="K18" s="96">
        <f>'Kitsap Pgs 34-35'!I60</f>
        <v>978697</v>
      </c>
      <c r="L18" s="94">
        <f>'Kitsap Pgs 34-35'!J60</f>
        <v>101068</v>
      </c>
      <c r="M18" s="96">
        <f>'Kitsap Pgs 34-35'!K60</f>
        <v>265758</v>
      </c>
      <c r="N18" s="119">
        <f t="shared" si="0"/>
        <v>11379344</v>
      </c>
      <c r="O18" s="11"/>
    </row>
    <row r="19" spans="1:15" ht="15.75" customHeight="1" x14ac:dyDescent="0.25">
      <c r="A19" s="90" t="s">
        <v>88</v>
      </c>
      <c r="B19" s="91" t="str">
        <f>'Kittitas Pgs 36-37'!L2</f>
        <v>Accrual</v>
      </c>
      <c r="C19" s="92">
        <f>'Kittitas Pgs 36-37'!C1</f>
        <v>44730</v>
      </c>
      <c r="D19" s="93">
        <f>'Kittitas Pgs 36-37'!C2</f>
        <v>18.45</v>
      </c>
      <c r="E19" s="96">
        <f>'Kittitas Pgs 36-37'!C60</f>
        <v>374216</v>
      </c>
      <c r="F19" s="94">
        <f>'Kittitas Pgs 36-37'!D60</f>
        <v>820358</v>
      </c>
      <c r="G19" s="96">
        <f>'Kittitas Pgs 36-37'!E60</f>
        <v>10000</v>
      </c>
      <c r="H19" s="95">
        <f>'Kittitas Pgs 36-37'!F60</f>
        <v>4243</v>
      </c>
      <c r="I19" s="96">
        <f>'Kittitas Pgs 36-37'!G60</f>
        <v>178351</v>
      </c>
      <c r="J19" s="94">
        <f>'Kittitas Pgs 36-37'!H60</f>
        <v>100345</v>
      </c>
      <c r="K19" s="96">
        <f>'Kittitas Pgs 36-37'!I60</f>
        <v>128671</v>
      </c>
      <c r="L19" s="94">
        <f>'Kittitas Pgs 36-37'!J60</f>
        <v>88695</v>
      </c>
      <c r="M19" s="96">
        <f>'Kittitas Pgs 36-37'!K60</f>
        <v>-116954</v>
      </c>
      <c r="N19" s="119">
        <f t="shared" si="0"/>
        <v>1587925</v>
      </c>
      <c r="O19" s="11"/>
    </row>
    <row r="20" spans="1:15" ht="15.75" customHeight="1" x14ac:dyDescent="0.25">
      <c r="A20" s="90" t="s">
        <v>89</v>
      </c>
      <c r="B20" s="91" t="str">
        <f>'Klickitat Pgs 38-39'!L2</f>
        <v>Accrual</v>
      </c>
      <c r="C20" s="92">
        <f>'Klickitat Pgs 38-39'!C1</f>
        <v>21660</v>
      </c>
      <c r="D20" s="93">
        <f>'Klickitat Pgs 38-39'!C2</f>
        <v>14</v>
      </c>
      <c r="E20" s="96">
        <f>'Klickitat Pgs 38-39'!C60</f>
        <v>200000</v>
      </c>
      <c r="F20" s="94">
        <f>'Klickitat Pgs 38-39'!D60</f>
        <v>689158</v>
      </c>
      <c r="G20" s="96">
        <f>'Klickitat Pgs 38-39'!E60</f>
        <v>29981</v>
      </c>
      <c r="H20" s="95">
        <f>'Klickitat Pgs 38-39'!F60</f>
        <v>42000</v>
      </c>
      <c r="I20" s="96">
        <f>'Klickitat Pgs 38-39'!G60</f>
        <v>153784</v>
      </c>
      <c r="J20" s="99" t="s">
        <v>154</v>
      </c>
      <c r="K20" s="96">
        <f>'Klickitat Pgs 38-39'!I60</f>
        <v>202129</v>
      </c>
      <c r="L20" s="94">
        <f>'Klickitat Pgs 38-39'!J60</f>
        <v>149106</v>
      </c>
      <c r="M20" s="96">
        <f>'Klickitat Pgs 38-39'!K60</f>
        <v>798</v>
      </c>
      <c r="N20" s="119">
        <f t="shared" si="0"/>
        <v>1466956</v>
      </c>
      <c r="O20" s="11"/>
    </row>
    <row r="21" spans="1:15" ht="15.75" customHeight="1" x14ac:dyDescent="0.25">
      <c r="A21" s="90" t="s">
        <v>90</v>
      </c>
      <c r="B21" s="91" t="str">
        <f>'Lewis Pgs 40-41'!L2</f>
        <v>Accrual</v>
      </c>
      <c r="C21" s="92">
        <f>'Lewis Pgs 40-41'!C1</f>
        <v>77440</v>
      </c>
      <c r="D21" s="93">
        <f>'Lewis Pgs 40-41'!C2</f>
        <v>27.31</v>
      </c>
      <c r="E21" s="96">
        <f>'Lewis Pgs 40-41'!C60</f>
        <v>544506</v>
      </c>
      <c r="F21" s="94">
        <f>'Lewis Pgs 40-41'!D60</f>
        <v>2009034</v>
      </c>
      <c r="G21" s="96">
        <f>'Lewis Pgs 40-41'!E60</f>
        <v>62852</v>
      </c>
      <c r="H21" s="95">
        <f>'Lewis Pgs 40-41'!F60</f>
        <v>43147</v>
      </c>
      <c r="I21" s="96">
        <f>'Lewis Pgs 40-41'!G60</f>
        <v>263134</v>
      </c>
      <c r="J21" s="94">
        <f>'Lewis Pgs 40-41'!H60</f>
        <v>822834</v>
      </c>
      <c r="K21" s="96">
        <f>'Lewis Pgs 40-41'!I60</f>
        <v>736636</v>
      </c>
      <c r="L21" s="94">
        <f>'Lewis Pgs 40-41'!J60</f>
        <v>221700</v>
      </c>
      <c r="M21" s="96">
        <f>'Lewis Pgs 40-41'!K60</f>
        <v>133525</v>
      </c>
      <c r="N21" s="119">
        <f t="shared" si="0"/>
        <v>4837368</v>
      </c>
      <c r="O21" s="11"/>
    </row>
    <row r="22" spans="1:15" ht="15.75" customHeight="1" x14ac:dyDescent="0.25">
      <c r="A22" s="90" t="s">
        <v>91</v>
      </c>
      <c r="B22" s="91" t="str">
        <f>'Lincoln Pgs 42-43'!L2</f>
        <v>Accrual</v>
      </c>
      <c r="C22" s="92">
        <f>'Lincoln Pgs 42-43'!C1</f>
        <v>10700</v>
      </c>
      <c r="D22" s="93">
        <f>'Lincoln Pgs 42-43'!C2</f>
        <v>5.0999999999999996</v>
      </c>
      <c r="E22" s="96">
        <f>'Lincoln Pgs 42-43'!C60</f>
        <v>97062</v>
      </c>
      <c r="F22" s="94">
        <f>'Lincoln Pgs 42-43'!D60</f>
        <v>109349</v>
      </c>
      <c r="G22" s="96">
        <f>'Lincoln Pgs 42-43'!E60</f>
        <v>20000</v>
      </c>
      <c r="H22" s="95">
        <f>'Lincoln Pgs 42-43'!F60</f>
        <v>18171</v>
      </c>
      <c r="I22" s="96">
        <f>'Lincoln Pgs 42-43'!G60</f>
        <v>113917</v>
      </c>
      <c r="J22" s="94">
        <f>'Lincoln Pgs 42-43'!H60</f>
        <v>31160</v>
      </c>
      <c r="K22" s="96">
        <f>'Lincoln Pgs 42-43'!I60</f>
        <v>124467</v>
      </c>
      <c r="L22" s="94">
        <f>'Lincoln Pgs 42-43'!J60</f>
        <v>14496</v>
      </c>
      <c r="M22" s="96">
        <f>'Lincoln Pgs 42-43'!K60</f>
        <v>1357</v>
      </c>
      <c r="N22" s="119">
        <f t="shared" si="0"/>
        <v>529979</v>
      </c>
      <c r="O22" s="11"/>
    </row>
    <row r="23" spans="1:15" ht="15.75" customHeight="1" x14ac:dyDescent="0.25">
      <c r="A23" s="90" t="s">
        <v>92</v>
      </c>
      <c r="B23" s="91" t="str">
        <f>'Mason Pgs 44-45'!L2</f>
        <v>Accrual</v>
      </c>
      <c r="C23" s="92">
        <f>'Mason Pgs 44-45'!C1</f>
        <v>63190</v>
      </c>
      <c r="D23" s="93">
        <f>'Mason Pgs 44-45'!C2</f>
        <v>19.25</v>
      </c>
      <c r="E23" s="96">
        <f>'Mason Pgs 44-45'!C60</f>
        <v>305935</v>
      </c>
      <c r="F23" s="94">
        <f>'Mason Pgs 44-45'!D60</f>
        <v>640512</v>
      </c>
      <c r="G23" s="96">
        <f>'Mason Pgs 44-45'!E60</f>
        <v>68015</v>
      </c>
      <c r="H23" s="95">
        <f>'Mason Pgs 44-45'!F60</f>
        <v>6907</v>
      </c>
      <c r="I23" s="96">
        <f>'Mason Pgs 44-45'!G60</f>
        <v>227448</v>
      </c>
      <c r="J23" s="94">
        <f>'Mason Pgs 44-45'!H60</f>
        <v>123434</v>
      </c>
      <c r="K23" s="96">
        <f>'Mason Pgs 44-45'!I60</f>
        <v>374677</v>
      </c>
      <c r="L23" s="94">
        <f>'Mason Pgs 44-45'!J60</f>
        <v>207629</v>
      </c>
      <c r="M23" s="96">
        <f>'Mason Pgs 44-45'!K60</f>
        <v>93219</v>
      </c>
      <c r="N23" s="119">
        <f t="shared" si="0"/>
        <v>2047776</v>
      </c>
      <c r="O23" s="11"/>
    </row>
    <row r="24" spans="1:15" ht="15.75" customHeight="1" x14ac:dyDescent="0.25">
      <c r="A24" s="90" t="s">
        <v>168</v>
      </c>
      <c r="B24" s="91" t="str">
        <f>'Northeast Tri Pgs 46-47'!L2</f>
        <v>Accrual</v>
      </c>
      <c r="C24" s="92">
        <f>'Northeast Tri Pgs 46-47'!C1</f>
        <v>65620</v>
      </c>
      <c r="D24" s="93">
        <f>'Northeast Tri Pgs 46-47'!C2</f>
        <v>19.46</v>
      </c>
      <c r="E24" s="96">
        <f>'Northeast Tri Pgs 46-47'!C60</f>
        <v>799272</v>
      </c>
      <c r="F24" s="94">
        <f>'Northeast Tri Pgs 46-47'!D60</f>
        <v>334061</v>
      </c>
      <c r="G24" s="96">
        <f>'Northeast Tri Pgs 46-47'!E60</f>
        <v>20000</v>
      </c>
      <c r="H24" s="95">
        <f>'Northeast Tri Pgs 46-47'!F60</f>
        <v>42000</v>
      </c>
      <c r="I24" s="96">
        <f>'Northeast Tri Pgs 46-47'!G60</f>
        <v>249303</v>
      </c>
      <c r="J24" s="94">
        <f>'Northeast Tri Pgs 46-47'!H60</f>
        <v>61069</v>
      </c>
      <c r="K24" s="96">
        <f>'Northeast Tri Pgs 46-47'!I60</f>
        <v>335067</v>
      </c>
      <c r="L24" s="94">
        <f>'Northeast Tri Pgs 46-47'!J60</f>
        <v>83564</v>
      </c>
      <c r="M24" s="96">
        <f>'Northeast Tri Pgs 46-47'!K60</f>
        <v>19259</v>
      </c>
      <c r="N24" s="119">
        <f t="shared" si="0"/>
        <v>1943595</v>
      </c>
      <c r="O24" s="11"/>
    </row>
    <row r="25" spans="1:15" ht="15.75" customHeight="1" x14ac:dyDescent="0.25">
      <c r="A25" s="90" t="s">
        <v>93</v>
      </c>
      <c r="B25" s="91" t="str">
        <f>'Okanogan Pgs 48-49'!L2</f>
        <v>Cash</v>
      </c>
      <c r="C25" s="92">
        <f>'Okanogan Pgs 48-49'!C1</f>
        <v>42110</v>
      </c>
      <c r="D25" s="93">
        <f>'Okanogan Pgs 48-49'!C2</f>
        <v>11.27</v>
      </c>
      <c r="E25" s="96">
        <f>'Okanogan Pgs 48-49'!C60</f>
        <v>135000</v>
      </c>
      <c r="F25" s="94">
        <f>'Okanogan Pgs 48-49'!D60</f>
        <v>415095</v>
      </c>
      <c r="G25" s="96">
        <f>'Okanogan Pgs 48-49'!E60</f>
        <v>20000</v>
      </c>
      <c r="H25" s="95">
        <f>'Okanogan Pgs 48-49'!F60</f>
        <v>42000</v>
      </c>
      <c r="I25" s="96">
        <f>'Okanogan Pgs 48-49'!G60</f>
        <v>169882</v>
      </c>
      <c r="J25" s="94">
        <f>'Okanogan Pgs 48-49'!H60</f>
        <v>60337</v>
      </c>
      <c r="K25" s="96">
        <f>'Okanogan Pgs 48-49'!I60</f>
        <v>119193</v>
      </c>
      <c r="L25" s="94">
        <f>'Okanogan Pgs 48-49'!J60</f>
        <v>91120</v>
      </c>
      <c r="M25" s="96">
        <f>'Okanogan Pgs 48-49'!K60</f>
        <v>17737</v>
      </c>
      <c r="N25" s="119">
        <f t="shared" si="0"/>
        <v>1070364</v>
      </c>
      <c r="O25" s="11"/>
    </row>
    <row r="26" spans="1:15" ht="15.75" customHeight="1" x14ac:dyDescent="0.25">
      <c r="A26" s="90" t="s">
        <v>94</v>
      </c>
      <c r="B26" s="91" t="str">
        <f>'Pacific Pgs 50-51'!L2</f>
        <v>Cash</v>
      </c>
      <c r="C26" s="92">
        <f>'Pacific Pgs 50-51'!C1</f>
        <v>21250</v>
      </c>
      <c r="D26" s="93">
        <f>'Pacific Pgs 50-51'!C2</f>
        <v>14.6</v>
      </c>
      <c r="E26" s="96">
        <f>'Pacific Pgs 50-51'!C60</f>
        <v>94321</v>
      </c>
      <c r="F26" s="94">
        <f>'Pacific Pgs 50-51'!D60</f>
        <v>28486</v>
      </c>
      <c r="G26" s="96">
        <f>'Pacific Pgs 50-51'!E60</f>
        <v>7180</v>
      </c>
      <c r="H26" s="95">
        <f>'Pacific Pgs 50-51'!F60</f>
        <v>42000</v>
      </c>
      <c r="I26" s="96">
        <f>'Pacific Pgs 50-51'!G60</f>
        <v>169075</v>
      </c>
      <c r="J26" s="94">
        <f>'Pacific Pgs 50-51'!H60</f>
        <v>191891</v>
      </c>
      <c r="K26" s="96">
        <f>'Pacific Pgs 50-51'!I60</f>
        <v>416686</v>
      </c>
      <c r="L26" s="94">
        <f>'Pacific Pgs 50-51'!J60</f>
        <v>40493</v>
      </c>
      <c r="M26" s="96">
        <f>'Pacific Pgs 50-51'!K60</f>
        <v>7062</v>
      </c>
      <c r="N26" s="119">
        <f t="shared" si="0"/>
        <v>997194</v>
      </c>
      <c r="O26" s="11"/>
    </row>
    <row r="27" spans="1:15" ht="15.75" customHeight="1" x14ac:dyDescent="0.25">
      <c r="A27" s="90" t="s">
        <v>95</v>
      </c>
      <c r="B27" s="91" t="str">
        <f>'San Juan Pgs 52-53'!L2</f>
        <v>Cash</v>
      </c>
      <c r="C27" s="92">
        <f>'San Juan Pgs 52-53'!C1</f>
        <v>16510</v>
      </c>
      <c r="D27" s="93">
        <f>'San Juan Pgs 52-53'!C2</f>
        <v>26</v>
      </c>
      <c r="E27" s="96">
        <f>'San Juan Pgs 52-53'!C60</f>
        <v>1676827</v>
      </c>
      <c r="F27" s="94">
        <f>'San Juan Pgs 52-53'!D60</f>
        <v>913891</v>
      </c>
      <c r="G27" s="96">
        <f>'San Juan Pgs 52-53'!E60</f>
        <v>59911</v>
      </c>
      <c r="H27" s="95">
        <f>'San Juan Pgs 52-53'!F60</f>
        <v>8223</v>
      </c>
      <c r="I27" s="96">
        <f>'San Juan Pgs 52-53'!G60</f>
        <v>126569</v>
      </c>
      <c r="J27" s="94">
        <f>'San Juan Pgs 52-53'!H60</f>
        <v>893481</v>
      </c>
      <c r="K27" s="96">
        <f>'San Juan Pgs 52-53'!I60</f>
        <v>172398</v>
      </c>
      <c r="L27" s="94">
        <f>'San Juan Pgs 52-53'!J60</f>
        <v>195229</v>
      </c>
      <c r="M27" s="96">
        <f>'San Juan Pgs 52-53'!K60</f>
        <v>4106</v>
      </c>
      <c r="N27" s="119">
        <f t="shared" si="0"/>
        <v>4050635</v>
      </c>
      <c r="O27" s="11"/>
    </row>
    <row r="28" spans="1:15" ht="15.75" customHeight="1" x14ac:dyDescent="0.25">
      <c r="A28" s="90" t="s">
        <v>96</v>
      </c>
      <c r="B28" s="91" t="str">
        <f>'Seattle-King Pgs 54-55'!L2</f>
        <v>Accrual</v>
      </c>
      <c r="C28" s="100">
        <f>'Seattle-King Pgs 54-55'!C1</f>
        <v>2153700</v>
      </c>
      <c r="D28" s="101">
        <f>'Seattle-King Pgs 54-55'!C2</f>
        <v>1344</v>
      </c>
      <c r="E28" s="104">
        <f>'Seattle-King Pgs 54-55'!C60</f>
        <v>87878693</v>
      </c>
      <c r="F28" s="102">
        <f>'Seattle-King Pgs 54-55'!D60</f>
        <v>69150273</v>
      </c>
      <c r="G28" s="104">
        <f>'Seattle-King Pgs 54-55'!E60</f>
        <v>4727743</v>
      </c>
      <c r="H28" s="103">
        <f>'Seattle-King Pgs 54-55'!F60</f>
        <v>1193608</v>
      </c>
      <c r="I28" s="104">
        <f>'Seattle-King Pgs 54-55'!G60</f>
        <v>12686175</v>
      </c>
      <c r="J28" s="102">
        <f>'Seattle-King Pgs 54-55'!H60</f>
        <v>1489592</v>
      </c>
      <c r="K28" s="104">
        <f>'Seattle-King Pgs 54-55'!I60</f>
        <v>17549839</v>
      </c>
      <c r="L28" s="97">
        <f>'Seattle-King Pgs 54-55'!J60</f>
        <v>20558308</v>
      </c>
      <c r="M28" s="104">
        <f>'Seattle-King Pgs 54-55'!K60</f>
        <v>8352703</v>
      </c>
      <c r="N28" s="119">
        <f t="shared" si="0"/>
        <v>223586934</v>
      </c>
      <c r="O28" s="11"/>
    </row>
    <row r="29" spans="1:15" ht="15.75" customHeight="1" x14ac:dyDescent="0.25">
      <c r="A29" s="90" t="s">
        <v>97</v>
      </c>
      <c r="B29" s="91" t="str">
        <f>'Skagit Pgs 56-57'!L2</f>
        <v>Accrual</v>
      </c>
      <c r="C29" s="92">
        <f>'Skagit Pgs 56-57'!C1</f>
        <v>124100</v>
      </c>
      <c r="D29" s="93">
        <f>'Skagit Pgs 56-57'!C2</f>
        <v>25.841000000000001</v>
      </c>
      <c r="E29" s="96">
        <f>'Skagit Pgs 56-57'!C60</f>
        <v>1105478</v>
      </c>
      <c r="F29" s="94">
        <f>'Skagit Pgs 56-57'!D60</f>
        <v>906378</v>
      </c>
      <c r="G29" s="96">
        <f>'Skagit Pgs 56-57'!E60</f>
        <v>87911</v>
      </c>
      <c r="H29" s="103" t="str">
        <f>'Skagit Pgs 56-57'!F60</f>
        <v>0</v>
      </c>
      <c r="I29" s="96">
        <f>'Skagit Pgs 56-57'!G60</f>
        <v>449745</v>
      </c>
      <c r="J29" s="94">
        <f>'Skagit Pgs 56-57'!H60</f>
        <v>132222</v>
      </c>
      <c r="K29" s="96">
        <f>'Skagit Pgs 56-57'!I60</f>
        <v>288184</v>
      </c>
      <c r="L29" s="94">
        <f>'Skagit Pgs 56-57'!J60</f>
        <v>484720</v>
      </c>
      <c r="M29" s="96">
        <f>'Skagit Pgs 56-57'!K60</f>
        <v>62042</v>
      </c>
      <c r="N29" s="119">
        <f t="shared" si="0"/>
        <v>3516680</v>
      </c>
      <c r="O29" s="11">
        <f>'San Juan Pgs 52-53'!M62</f>
        <v>0</v>
      </c>
    </row>
    <row r="30" spans="1:15" ht="15.75" customHeight="1" x14ac:dyDescent="0.25">
      <c r="A30" s="90" t="s">
        <v>98</v>
      </c>
      <c r="B30" s="91" t="str">
        <f>'Skamania Pgs 58-59'!L2</f>
        <v>Cash</v>
      </c>
      <c r="C30" s="92">
        <f>'Skamania Pgs 58-59'!C1</f>
        <v>11690</v>
      </c>
      <c r="D30" s="93">
        <f>'Skamania Pgs 58-59'!C2</f>
        <v>2.06</v>
      </c>
      <c r="E30" s="96">
        <f>'Skamania Pgs 58-59'!C60</f>
        <v>40410</v>
      </c>
      <c r="F30" s="94">
        <f>'Skamania Pgs 58-59'!D60</f>
        <v>1106139</v>
      </c>
      <c r="G30" s="96">
        <f>'Skamania Pgs 58-59'!E60</f>
        <v>12166</v>
      </c>
      <c r="H30" s="95">
        <f>'Skamania Pgs 58-59'!F60</f>
        <v>1000</v>
      </c>
      <c r="I30" s="96">
        <f>'Skamania Pgs 58-59'!G60</f>
        <v>108420</v>
      </c>
      <c r="J30" s="94">
        <f>'Skamania Pgs 58-59'!H60</f>
        <v>58817</v>
      </c>
      <c r="K30" s="96">
        <f>'Skamania Pgs 58-59'!I60</f>
        <v>99302</v>
      </c>
      <c r="L30" s="94">
        <f>'Skamania Pgs 58-59'!J60</f>
        <v>16773</v>
      </c>
      <c r="M30" s="96">
        <f>'Skamania Pgs 58-59'!K60</f>
        <v>-10</v>
      </c>
      <c r="N30" s="119">
        <f t="shared" si="0"/>
        <v>1443017</v>
      </c>
      <c r="O30" s="11"/>
    </row>
    <row r="31" spans="1:15" ht="15.75" customHeight="1" x14ac:dyDescent="0.25">
      <c r="A31" s="90" t="s">
        <v>99</v>
      </c>
      <c r="B31" s="91" t="str">
        <f>'Snohomish Pgs 60-61'!L2</f>
        <v>Accrual</v>
      </c>
      <c r="C31" s="92">
        <f>'Snohomish Pgs 60-61'!C1</f>
        <v>789400</v>
      </c>
      <c r="D31" s="93">
        <f>'Snohomish Pgs 60-61'!C2</f>
        <v>131.19999999999999</v>
      </c>
      <c r="E31" s="96">
        <f>'Snohomish Pgs 60-61'!C60</f>
        <v>2705352</v>
      </c>
      <c r="F31" s="94">
        <f>'Snohomish Pgs 60-61'!D60</f>
        <v>5931725</v>
      </c>
      <c r="G31" s="96">
        <f>'Snohomish Pgs 60-61'!E60</f>
        <v>154255</v>
      </c>
      <c r="H31" s="95">
        <f>'Snohomish Pgs 60-61'!F60</f>
        <v>437504</v>
      </c>
      <c r="I31" s="96">
        <f>'Snohomish Pgs 60-61'!G60</f>
        <v>3433291</v>
      </c>
      <c r="J31" s="94">
        <f>'Snohomish Pgs 60-61'!H60</f>
        <v>593137</v>
      </c>
      <c r="K31" s="96">
        <f>'Snohomish Pgs 60-61'!I60</f>
        <v>2925215</v>
      </c>
      <c r="L31" s="94">
        <f>'Snohomish Pgs 60-61'!J60</f>
        <v>305680</v>
      </c>
      <c r="M31" s="96">
        <f>'Snohomish Pgs 60-61'!K60</f>
        <v>-77325</v>
      </c>
      <c r="N31" s="119">
        <f t="shared" si="0"/>
        <v>16408834</v>
      </c>
      <c r="O31" s="11"/>
    </row>
    <row r="32" spans="1:15" ht="15.75" customHeight="1" x14ac:dyDescent="0.25">
      <c r="A32" s="90" t="s">
        <v>100</v>
      </c>
      <c r="B32" s="91" t="str">
        <f>'Spokane Pgs 62-63'!L2</f>
        <v>Accrual</v>
      </c>
      <c r="C32" s="92">
        <f>'Spokane Pgs 62-63'!C1</f>
        <v>499800</v>
      </c>
      <c r="D32" s="93">
        <f>'Spokane Pgs 62-63'!C2</f>
        <v>219.15</v>
      </c>
      <c r="E32" s="96">
        <f>'Spokane Pgs 62-63'!C60</f>
        <v>2215516</v>
      </c>
      <c r="F32" s="94">
        <f>'Spokane Pgs 62-63'!D60</f>
        <v>8444973</v>
      </c>
      <c r="G32" s="96">
        <f>'Spokane Pgs 62-63'!E60</f>
        <v>1594853</v>
      </c>
      <c r="H32" s="95">
        <f>'Spokane Pgs 62-63'!F60</f>
        <v>288025</v>
      </c>
      <c r="I32" s="96">
        <f>'Spokane Pgs 62-63'!G60</f>
        <v>2877318</v>
      </c>
      <c r="J32" s="94">
        <f>'Spokane Pgs 62-63'!H60</f>
        <v>6079579</v>
      </c>
      <c r="K32" s="96">
        <f>'Spokane Pgs 62-63'!I60</f>
        <v>4604679</v>
      </c>
      <c r="L32" s="94">
        <f>'Spokane Pgs 62-63'!J60</f>
        <v>3455649</v>
      </c>
      <c r="M32" s="96">
        <f>'Spokane Pgs 62-63'!K60</f>
        <v>214985</v>
      </c>
      <c r="N32" s="119">
        <f t="shared" si="0"/>
        <v>29775577</v>
      </c>
      <c r="O32" s="11"/>
    </row>
    <row r="33" spans="1:15" ht="15.75" customHeight="1" x14ac:dyDescent="0.25">
      <c r="A33" s="90" t="s">
        <v>101</v>
      </c>
      <c r="B33" s="91" t="str">
        <f>'Tacoma-Pierce Pgs 64-65'!L2</f>
        <v>Accrual</v>
      </c>
      <c r="C33" s="92">
        <f>'Tacoma-Pierce Pgs 64-65'!C1</f>
        <v>859400</v>
      </c>
      <c r="D33" s="93">
        <f>'Tacoma-Pierce Pgs 64-65'!C2</f>
        <v>255.8</v>
      </c>
      <c r="E33" s="96">
        <f>'Tacoma-Pierce Pgs 64-65'!C60</f>
        <v>4518944</v>
      </c>
      <c r="F33" s="94">
        <f>'Tacoma-Pierce Pgs 64-65'!D60</f>
        <v>14399659</v>
      </c>
      <c r="G33" s="96">
        <f>'Tacoma-Pierce Pgs 64-65'!E60</f>
        <v>825371</v>
      </c>
      <c r="H33" s="95">
        <f>'Tacoma-Pierce Pgs 64-65'!F60</f>
        <v>160509</v>
      </c>
      <c r="I33" s="96">
        <f>'Tacoma-Pierce Pgs 64-65'!G60</f>
        <v>4143168</v>
      </c>
      <c r="J33" s="94">
        <f>'Tacoma-Pierce Pgs 64-65'!H60</f>
        <v>1532567</v>
      </c>
      <c r="K33" s="96">
        <f>'Tacoma-Pierce Pgs 64-65'!I60</f>
        <v>2985332</v>
      </c>
      <c r="L33" s="94">
        <f>'Tacoma-Pierce Pgs 64-65'!J60</f>
        <v>1997507</v>
      </c>
      <c r="M33" s="96">
        <f>'Tacoma-Pierce Pgs 64-65'!K60</f>
        <v>1577262</v>
      </c>
      <c r="N33" s="119">
        <f t="shared" si="0"/>
        <v>32140319</v>
      </c>
      <c r="O33" s="11"/>
    </row>
    <row r="34" spans="1:15" ht="15.75" customHeight="1" x14ac:dyDescent="0.25">
      <c r="A34" s="90" t="s">
        <v>102</v>
      </c>
      <c r="B34" s="91" t="str">
        <f>'Thurston Pgs 66-67'!L2</f>
        <v>Accrual</v>
      </c>
      <c r="C34" s="92">
        <f>'Thurston Pgs 66-67'!C1</f>
        <v>276900</v>
      </c>
      <c r="D34" s="93">
        <f>'Thurston Pgs 66-67'!C2</f>
        <v>67.22</v>
      </c>
      <c r="E34" s="96">
        <f>'Thurston Pgs 66-67'!C60</f>
        <v>2077177</v>
      </c>
      <c r="F34" s="94">
        <f>'Thurston Pgs 66-67'!D60</f>
        <v>4332531</v>
      </c>
      <c r="G34" s="96">
        <f>'Thurston Pgs 66-67'!E60</f>
        <v>90635</v>
      </c>
      <c r="H34" s="95">
        <f>'Thurston Pgs 66-67'!F60</f>
        <v>13265</v>
      </c>
      <c r="I34" s="96">
        <f>'Thurston Pgs 66-67'!G60</f>
        <v>1046897</v>
      </c>
      <c r="J34" s="94">
        <f>'Thurston Pgs 66-67'!H60</f>
        <v>417613</v>
      </c>
      <c r="K34" s="96">
        <f>'Thurston Pgs 66-67'!I60</f>
        <v>719377</v>
      </c>
      <c r="L34" s="94">
        <f>'Thurston Pgs 66-67'!J60</f>
        <v>81670</v>
      </c>
      <c r="M34" s="96">
        <f>'Thurston Pgs 66-67'!K60</f>
        <v>14256</v>
      </c>
      <c r="N34" s="119">
        <f t="shared" si="0"/>
        <v>8793421</v>
      </c>
      <c r="O34" s="11"/>
    </row>
    <row r="35" spans="1:15" ht="15.75" customHeight="1" x14ac:dyDescent="0.25">
      <c r="A35" s="90" t="s">
        <v>103</v>
      </c>
      <c r="B35" s="91" t="str">
        <f>'Wahkiakum Pgs 68-69'!L2</f>
        <v>Cash</v>
      </c>
      <c r="C35" s="92">
        <f>'Wahkiakum Pgs 68-69'!C1</f>
        <v>4030</v>
      </c>
      <c r="D35" s="93">
        <f>'Wahkiakum Pgs 68-69'!C2</f>
        <v>5.6</v>
      </c>
      <c r="E35" s="96">
        <f>'Wahkiakum Pgs 68-69'!C60</f>
        <v>57209</v>
      </c>
      <c r="F35" s="94">
        <f>'Wahkiakum Pgs 68-69'!D60</f>
        <v>41612</v>
      </c>
      <c r="G35" s="98" t="s">
        <v>154</v>
      </c>
      <c r="H35" s="95">
        <f>'Wahkiakum Pgs 68-69'!F60</f>
        <v>42000</v>
      </c>
      <c r="I35" s="96">
        <f>'Wahkiakum Pgs 68-69'!G60</f>
        <v>93181</v>
      </c>
      <c r="J35" s="94">
        <f>'Wahkiakum Pgs 68-69'!H60</f>
        <v>16764</v>
      </c>
      <c r="K35" s="96">
        <f>'Wahkiakum Pgs 68-69'!I60</f>
        <v>66273</v>
      </c>
      <c r="L35" s="94">
        <f>'Wahkiakum Pgs 68-69'!J60</f>
        <v>2465</v>
      </c>
      <c r="M35" s="96">
        <f>'Wahkiakum Pgs 68-69'!K60</f>
        <v>139</v>
      </c>
      <c r="N35" s="119">
        <f t="shared" si="0"/>
        <v>319643</v>
      </c>
      <c r="O35" s="11"/>
    </row>
    <row r="36" spans="1:15" ht="15.75" customHeight="1" x14ac:dyDescent="0.25">
      <c r="A36" s="90" t="s">
        <v>104</v>
      </c>
      <c r="B36" s="91" t="str">
        <f>'Walla Walla Pgs 70-71'!L2</f>
        <v>Accrual</v>
      </c>
      <c r="C36" s="92">
        <f>'Walla Walla Pgs 70-71'!C1</f>
        <v>61400</v>
      </c>
      <c r="D36" s="93">
        <f>'Walla Walla Pgs 70-71'!C2</f>
        <v>19.5</v>
      </c>
      <c r="E36" s="96">
        <f>'Walla Walla Pgs 70-71'!C60</f>
        <v>325658</v>
      </c>
      <c r="F36" s="94">
        <f>'Walla Walla Pgs 70-71'!D60</f>
        <v>425011</v>
      </c>
      <c r="G36" s="96">
        <f>'Walla Walla Pgs 70-71'!E60</f>
        <v>37852</v>
      </c>
      <c r="H36" s="95">
        <f>'Walla Walla Pgs 70-71'!F60</f>
        <v>42000</v>
      </c>
      <c r="I36" s="96">
        <f>'Walla Walla Pgs 70-71'!G60</f>
        <v>302173</v>
      </c>
      <c r="J36" s="94">
        <f>'Walla Walla Pgs 70-71'!H60</f>
        <v>52760</v>
      </c>
      <c r="K36" s="96">
        <f>'Walla Walla Pgs 70-71'!I60</f>
        <v>375606</v>
      </c>
      <c r="L36" s="94">
        <f>'Walla Walla Pgs 70-71'!J60</f>
        <v>44513</v>
      </c>
      <c r="M36" s="96">
        <f>'Walla Walla Pgs 70-71'!K60</f>
        <v>34913</v>
      </c>
      <c r="N36" s="119">
        <f t="shared" si="0"/>
        <v>1640486</v>
      </c>
      <c r="O36" s="11"/>
    </row>
    <row r="37" spans="1:15" ht="15.75" customHeight="1" x14ac:dyDescent="0.25">
      <c r="A37" s="90" t="s">
        <v>105</v>
      </c>
      <c r="B37" s="91" t="str">
        <f>'Whatcom Pgs 72-73'!L2</f>
        <v>Accrual</v>
      </c>
      <c r="C37" s="92">
        <f>'Whatcom Pgs 72-73'!C1</f>
        <v>216300</v>
      </c>
      <c r="D37" s="93">
        <f>'Whatcom Pgs 72-73'!C2</f>
        <v>81.400000000000006</v>
      </c>
      <c r="E37" s="96">
        <f>'Whatcom Pgs 72-73'!C60</f>
        <v>2344260</v>
      </c>
      <c r="F37" s="94">
        <f>'Whatcom Pgs 72-73'!D60</f>
        <v>8700842</v>
      </c>
      <c r="G37" s="96">
        <f>'Whatcom Pgs 72-73'!E60</f>
        <v>94671</v>
      </c>
      <c r="H37" s="95">
        <f>'Whatcom Pgs 72-73'!F60</f>
        <v>120699</v>
      </c>
      <c r="I37" s="96">
        <f>'Whatcom Pgs 72-73'!G60</f>
        <v>1214301</v>
      </c>
      <c r="J37" s="94">
        <f>'Whatcom Pgs 72-73'!H60</f>
        <v>5132208</v>
      </c>
      <c r="K37" s="96">
        <f>'Whatcom Pgs 72-73'!I60</f>
        <v>689442</v>
      </c>
      <c r="L37" s="94">
        <f>'Whatcom Pgs 72-73'!J60</f>
        <v>914453</v>
      </c>
      <c r="M37" s="96">
        <f>'Whatcom Pgs 72-73'!K60</f>
        <v>-61996</v>
      </c>
      <c r="N37" s="119">
        <f t="shared" si="0"/>
        <v>19148880</v>
      </c>
      <c r="O37" s="11"/>
    </row>
    <row r="38" spans="1:15" ht="15.75" customHeight="1" x14ac:dyDescent="0.25">
      <c r="A38" s="90" t="s">
        <v>106</v>
      </c>
      <c r="B38" s="91" t="str">
        <f>'Whitman Pgs 74-75'!L2</f>
        <v>Cash</v>
      </c>
      <c r="C38" s="92">
        <f>'Whitman Pgs 74-75'!C1</f>
        <v>48640</v>
      </c>
      <c r="D38" s="93">
        <f>'Whitman Pgs 74-75'!C2</f>
        <v>10.8</v>
      </c>
      <c r="E38" s="96">
        <f>'Whitman Pgs 74-75'!C60</f>
        <v>53399</v>
      </c>
      <c r="F38" s="94">
        <f>'Whitman Pgs 74-75'!D60</f>
        <v>214060</v>
      </c>
      <c r="G38" s="98" t="s">
        <v>154</v>
      </c>
      <c r="H38" s="95">
        <f>'Whitman Pgs 74-75'!F60</f>
        <v>42000</v>
      </c>
      <c r="I38" s="96">
        <f>'Whitman Pgs 74-75'!G60</f>
        <v>189355</v>
      </c>
      <c r="J38" s="94">
        <f>'Whitman Pgs 74-75'!H60</f>
        <v>6597</v>
      </c>
      <c r="K38" s="96">
        <f>'Whitman Pgs 74-75'!I60</f>
        <v>195004</v>
      </c>
      <c r="L38" s="94">
        <f>'Whitman Pgs 74-75'!J60</f>
        <v>30010</v>
      </c>
      <c r="M38" s="96">
        <f>'Whitman Pgs 74-75'!K60</f>
        <v>3428</v>
      </c>
      <c r="N38" s="119">
        <f t="shared" si="0"/>
        <v>733853</v>
      </c>
      <c r="O38" s="11"/>
    </row>
    <row r="39" spans="1:15" ht="15.75" customHeight="1" thickBot="1" x14ac:dyDescent="0.3">
      <c r="A39" s="105" t="s">
        <v>107</v>
      </c>
      <c r="B39" s="106" t="str">
        <f>'Yakima Pgs 76-77'!L2</f>
        <v>Accrual</v>
      </c>
      <c r="C39" s="107">
        <f>'Yakima Pgs 76-77'!C1</f>
        <v>253000</v>
      </c>
      <c r="D39" s="108">
        <f>'Yakima Pgs 76-77'!C2</f>
        <v>27.72</v>
      </c>
      <c r="E39" s="96">
        <f>'Yakima Pgs 76-77'!C60</f>
        <v>157536</v>
      </c>
      <c r="F39" s="94">
        <f>'Yakima Pgs 76-77'!D60</f>
        <v>3298645</v>
      </c>
      <c r="G39" s="96">
        <f>'Yakima Pgs 76-77'!E60</f>
        <v>128661</v>
      </c>
      <c r="H39" s="95" t="str">
        <f>'Yakima Pgs 76-77'!F60</f>
        <v>0</v>
      </c>
      <c r="I39" s="96">
        <f>'Yakima Pgs 76-77'!G60</f>
        <v>1052484</v>
      </c>
      <c r="J39" s="94">
        <f>'Yakima Pgs 76-77'!H60</f>
        <v>31325</v>
      </c>
      <c r="K39" s="96">
        <f>'Yakima Pgs 76-77'!I60</f>
        <v>532812</v>
      </c>
      <c r="L39" s="94">
        <f>'Yakima Pgs 76-77'!J60</f>
        <v>21599</v>
      </c>
      <c r="M39" s="96">
        <f>'Yakima Pgs 76-77'!K60</f>
        <v>6864</v>
      </c>
      <c r="N39" s="119">
        <f t="shared" si="0"/>
        <v>5229926</v>
      </c>
      <c r="O39" s="11"/>
    </row>
    <row r="40" spans="1:15" ht="19.149999999999999" customHeight="1" thickBot="1" x14ac:dyDescent="0.3">
      <c r="A40" s="109" t="s">
        <v>41</v>
      </c>
      <c r="B40" s="123"/>
      <c r="C40" s="110">
        <f t="shared" ref="C40:M40" si="1">SUM(C5:C39)</f>
        <v>7310300</v>
      </c>
      <c r="D40" s="124">
        <f t="shared" si="1"/>
        <v>2853.8109999999997</v>
      </c>
      <c r="E40" s="120">
        <f>SUM(E5:E39)</f>
        <v>118271982</v>
      </c>
      <c r="F40" s="111">
        <f>SUM(F5:F39)</f>
        <v>142386553</v>
      </c>
      <c r="G40" s="113">
        <f t="shared" si="1"/>
        <v>10180855</v>
      </c>
      <c r="H40" s="112">
        <f>SUM(H5:H39)</f>
        <v>3487275</v>
      </c>
      <c r="I40" s="113">
        <f t="shared" si="1"/>
        <v>36006965</v>
      </c>
      <c r="J40" s="111">
        <f t="shared" si="1"/>
        <v>19569022</v>
      </c>
      <c r="K40" s="113">
        <f t="shared" si="1"/>
        <v>41747834</v>
      </c>
      <c r="L40" s="111">
        <f>SUM(L5:L39)</f>
        <v>32552055</v>
      </c>
      <c r="M40" s="113">
        <f t="shared" si="1"/>
        <v>13013211</v>
      </c>
      <c r="N40" s="120">
        <f>SUM(E40:M40)</f>
        <v>417215752</v>
      </c>
      <c r="O40" s="11"/>
    </row>
    <row r="41" spans="1:15" x14ac:dyDescent="0.25">
      <c r="A41" s="15"/>
      <c r="B41" s="15"/>
      <c r="C41" s="16"/>
    </row>
    <row r="42" spans="1:15" x14ac:dyDescent="0.25">
      <c r="A42" s="15"/>
      <c r="B42" s="15"/>
      <c r="C42" s="16"/>
    </row>
    <row r="43" spans="1:15" x14ac:dyDescent="0.25">
      <c r="A43" s="15"/>
      <c r="B43" s="15"/>
      <c r="C43" s="16"/>
    </row>
    <row r="45" spans="1:15" x14ac:dyDescent="0.25">
      <c r="H45" s="23"/>
    </row>
  </sheetData>
  <mergeCells count="3">
    <mergeCell ref="G3:J3"/>
    <mergeCell ref="K3:L3"/>
    <mergeCell ref="E3:F3"/>
  </mergeCells>
  <conditionalFormatting sqref="A5:D7 D8:D27 A40:D40 G40:L40 I8:L8 M5:N27 E5:F27 G9:L9 A8:B39 E29:F40 M29:N40 I29:L39 D29:D39 C28:N28 G5:L7 H29 I10:L13 I15:L27 J14:L14">
    <cfRule type="expression" dxfId="139" priority="9">
      <formula>ROW()=EVEN(ROW())</formula>
    </cfRule>
  </conditionalFormatting>
  <conditionalFormatting sqref="C8:C27 C29:C39">
    <cfRule type="expression" dxfId="138" priority="6">
      <formula>ROW()=EVEN(ROW())</formula>
    </cfRule>
  </conditionalFormatting>
  <conditionalFormatting sqref="G29 G30:H39 G10:H27 I14">
    <cfRule type="expression" dxfId="137" priority="4">
      <formula>ROW()=EVEN(ROW())</formula>
    </cfRule>
  </conditionalFormatting>
  <conditionalFormatting sqref="G8:H8">
    <cfRule type="expression" dxfId="136" priority="3">
      <formula>ROW()=EVEN(ROW())</formula>
    </cfRule>
  </conditionalFormatting>
  <printOptions horizontalCentered="1"/>
  <pageMargins left="0" right="0" top="0.98" bottom="0.6" header="0.3" footer="0.3"/>
  <pageSetup scale="65" fitToHeight="2" orientation="landscape" r:id="rId1"/>
  <headerFooter>
    <oddHeader xml:space="preserve">&amp;C&amp;"Arial,Bold"&amp;20Summary
2017
All Local Health Jurisdictions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32" zoomScaleNormal="100" workbookViewId="0">
      <selection activeCell="D40" sqref="D40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74240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27.74</v>
      </c>
      <c r="D2" s="386"/>
      <c r="G2" s="382"/>
      <c r="H2" s="380"/>
      <c r="I2" s="380"/>
      <c r="J2" s="532" t="s">
        <v>144</v>
      </c>
      <c r="K2" s="532"/>
      <c r="L2" s="449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644454</v>
      </c>
      <c r="D5" s="219">
        <f>353+451</f>
        <v>804</v>
      </c>
      <c r="E5" s="221"/>
      <c r="F5" s="219">
        <v>8365</v>
      </c>
      <c r="G5" s="220">
        <v>10000</v>
      </c>
      <c r="H5" s="219">
        <v>5594</v>
      </c>
      <c r="I5" s="221">
        <f>1093+1793</f>
        <v>2886</v>
      </c>
      <c r="J5" s="219">
        <v>14964</v>
      </c>
      <c r="K5" s="222">
        <v>194736</v>
      </c>
      <c r="L5" s="223">
        <f>SUM(C5:K5)</f>
        <v>881803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>
        <v>730</v>
      </c>
      <c r="D11" s="219"/>
      <c r="E11" s="221"/>
      <c r="F11" s="219"/>
      <c r="G11" s="220"/>
      <c r="H11" s="219"/>
      <c r="I11" s="221">
        <v>10944</v>
      </c>
      <c r="J11" s="219"/>
      <c r="K11" s="222">
        <f>225+360</f>
        <v>585</v>
      </c>
      <c r="L11" s="223">
        <f t="shared" ref="L11:L47" si="1">SUM(C11:K11)</f>
        <v>12259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/>
      <c r="K12" s="222"/>
      <c r="L12" s="223">
        <f t="shared" si="1"/>
        <v>0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>
        <v>45105</v>
      </c>
      <c r="J13" s="219"/>
      <c r="K13" s="222"/>
      <c r="L13" s="223">
        <f t="shared" si="1"/>
        <v>45105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>
        <v>59382</v>
      </c>
      <c r="D16" s="219"/>
      <c r="E16" s="221"/>
      <c r="F16" s="219"/>
      <c r="G16" s="220"/>
      <c r="H16" s="219"/>
      <c r="I16" s="221">
        <f>251122+608</f>
        <v>251730</v>
      </c>
      <c r="J16" s="219">
        <f>1208+70985</f>
        <v>72193</v>
      </c>
      <c r="K16" s="222">
        <v>22363</v>
      </c>
      <c r="L16" s="223">
        <f t="shared" si="1"/>
        <v>405668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>
        <v>30837</v>
      </c>
      <c r="D18" s="219">
        <v>6300</v>
      </c>
      <c r="E18" s="221">
        <v>988</v>
      </c>
      <c r="F18" s="219"/>
      <c r="G18" s="220"/>
      <c r="H18" s="299"/>
      <c r="I18" s="221">
        <f>5460+141+1331+2300</f>
        <v>9232</v>
      </c>
      <c r="J18" s="219">
        <f>4674+44690</f>
        <v>49364</v>
      </c>
      <c r="K18" s="222"/>
      <c r="L18" s="223">
        <f t="shared" si="1"/>
        <v>96721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>
        <v>5292</v>
      </c>
      <c r="D19" s="219"/>
      <c r="E19" s="221"/>
      <c r="F19" s="219"/>
      <c r="G19" s="220"/>
      <c r="H19" s="219"/>
      <c r="I19" s="221"/>
      <c r="J19" s="219"/>
      <c r="K19" s="222">
        <v>22892</v>
      </c>
      <c r="L19" s="223">
        <f t="shared" si="1"/>
        <v>28184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2187</v>
      </c>
      <c r="D20" s="219">
        <v>6872</v>
      </c>
      <c r="E20" s="221"/>
      <c r="F20" s="219"/>
      <c r="G20" s="220"/>
      <c r="H20" s="219"/>
      <c r="I20" s="221"/>
      <c r="J20" s="219"/>
      <c r="K20" s="222">
        <v>4433</v>
      </c>
      <c r="L20" s="223">
        <f t="shared" si="1"/>
        <v>13492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43127</v>
      </c>
      <c r="D22" s="219"/>
      <c r="E22" s="221"/>
      <c r="F22" s="219">
        <v>33635</v>
      </c>
      <c r="G22" s="220"/>
      <c r="H22" s="219"/>
      <c r="I22" s="221"/>
      <c r="J22" s="219"/>
      <c r="K22" s="222"/>
      <c r="L22" s="223">
        <f t="shared" si="1"/>
        <v>76762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>
        <v>10336</v>
      </c>
      <c r="D28" s="219">
        <v>1716</v>
      </c>
      <c r="E28" s="221"/>
      <c r="F28" s="219"/>
      <c r="G28" s="220"/>
      <c r="H28" s="219"/>
      <c r="I28" s="221">
        <v>23036</v>
      </c>
      <c r="J28" s="219"/>
      <c r="K28" s="222">
        <v>40099</v>
      </c>
      <c r="L28" s="223">
        <f t="shared" si="1"/>
        <v>75187</v>
      </c>
      <c r="M28" s="11"/>
    </row>
    <row r="29" spans="1:13" ht="15" customHeight="1" x14ac:dyDescent="0.25">
      <c r="A29" s="214">
        <v>562.52</v>
      </c>
      <c r="B29" s="350" t="s">
        <v>17</v>
      </c>
      <c r="C29" s="216">
        <v>31047</v>
      </c>
      <c r="D29" s="219"/>
      <c r="E29" s="221"/>
      <c r="F29" s="219"/>
      <c r="G29" s="220"/>
      <c r="H29" s="219"/>
      <c r="I29" s="221"/>
      <c r="J29" s="219"/>
      <c r="K29" s="222">
        <f>4600+4600+1441</f>
        <v>10641</v>
      </c>
      <c r="L29" s="223">
        <f t="shared" si="1"/>
        <v>41688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4843</v>
      </c>
      <c r="D30" s="219">
        <f>22771+7662</f>
        <v>30433</v>
      </c>
      <c r="E30" s="221"/>
      <c r="F30" s="219"/>
      <c r="G30" s="220"/>
      <c r="H30" s="219">
        <f>10172+3520+27629</f>
        <v>41321</v>
      </c>
      <c r="I30" s="221"/>
      <c r="J30" s="219"/>
      <c r="K30" s="222"/>
      <c r="L30" s="223">
        <f t="shared" si="1"/>
        <v>76597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>
        <f>661+253763</f>
        <v>254424</v>
      </c>
      <c r="E31" s="221">
        <v>58759</v>
      </c>
      <c r="F31" s="219"/>
      <c r="G31" s="220"/>
      <c r="H31" s="219"/>
      <c r="I31" s="221">
        <f>131388+1219+81964+6405+2362</f>
        <v>223338</v>
      </c>
      <c r="J31" s="219"/>
      <c r="K31" s="222"/>
      <c r="L31" s="223">
        <f t="shared" si="1"/>
        <v>536521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>
        <v>152953</v>
      </c>
      <c r="D33" s="219">
        <v>154956</v>
      </c>
      <c r="E33" s="221"/>
      <c r="F33" s="219"/>
      <c r="G33" s="220"/>
      <c r="H33" s="219"/>
      <c r="I33" s="221"/>
      <c r="J33" s="219"/>
      <c r="K33" s="222"/>
      <c r="L33" s="223">
        <f t="shared" si="1"/>
        <v>307909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>
        <v>98</v>
      </c>
      <c r="D35" s="219">
        <v>5744</v>
      </c>
      <c r="E35" s="221"/>
      <c r="F35" s="219"/>
      <c r="G35" s="220"/>
      <c r="H35" s="219"/>
      <c r="I35" s="221"/>
      <c r="J35" s="219"/>
      <c r="K35" s="222"/>
      <c r="L35" s="223">
        <f t="shared" si="1"/>
        <v>5842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50" t="s">
        <v>20</v>
      </c>
      <c r="C37" s="216">
        <v>23208</v>
      </c>
      <c r="D37" s="219"/>
      <c r="E37" s="221">
        <v>2820</v>
      </c>
      <c r="F37" s="219"/>
      <c r="G37" s="220"/>
      <c r="H37" s="219">
        <v>14728</v>
      </c>
      <c r="I37" s="221">
        <f>5513+432</f>
        <v>5945</v>
      </c>
      <c r="J37" s="219"/>
      <c r="K37" s="222"/>
      <c r="L37" s="223">
        <f t="shared" si="1"/>
        <v>46701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59794</v>
      </c>
      <c r="E38" s="221"/>
      <c r="F38" s="219"/>
      <c r="G38" s="220"/>
      <c r="H38" s="219"/>
      <c r="I38" s="221"/>
      <c r="J38" s="219"/>
      <c r="K38" s="222"/>
      <c r="L38" s="223">
        <f t="shared" si="1"/>
        <v>59794</v>
      </c>
      <c r="M38" s="11"/>
    </row>
    <row r="39" spans="1:13" ht="15" customHeight="1" x14ac:dyDescent="0.25">
      <c r="A39" s="214">
        <v>562.72</v>
      </c>
      <c r="B39" s="350" t="s">
        <v>22</v>
      </c>
      <c r="C39" s="216">
        <v>29431</v>
      </c>
      <c r="D39" s="219">
        <v>97881</v>
      </c>
      <c r="E39" s="221"/>
      <c r="F39" s="219"/>
      <c r="G39" s="220"/>
      <c r="H39" s="219"/>
      <c r="I39" s="221"/>
      <c r="J39" s="219"/>
      <c r="K39" s="222"/>
      <c r="L39" s="223">
        <f t="shared" si="1"/>
        <v>127312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/>
      <c r="H44" s="219"/>
      <c r="I44" s="221"/>
      <c r="J44" s="219"/>
      <c r="K44" s="222"/>
      <c r="L44" s="223">
        <f t="shared" si="1"/>
        <v>0</v>
      </c>
      <c r="M44" s="11"/>
    </row>
    <row r="45" spans="1:13" ht="15" customHeight="1" x14ac:dyDescent="0.25">
      <c r="A45" s="214">
        <v>562.88</v>
      </c>
      <c r="B45" s="350" t="s">
        <v>50</v>
      </c>
      <c r="C45" s="216">
        <v>2206</v>
      </c>
      <c r="D45" s="219"/>
      <c r="E45" s="221"/>
      <c r="F45" s="219"/>
      <c r="G45" s="220"/>
      <c r="H45" s="219"/>
      <c r="I45" s="221">
        <v>26113</v>
      </c>
      <c r="J45" s="219"/>
      <c r="K45" s="222"/>
      <c r="L45" s="223">
        <f t="shared" si="1"/>
        <v>28319</v>
      </c>
      <c r="M45" s="11"/>
    </row>
    <row r="46" spans="1:13" ht="15" customHeight="1" x14ac:dyDescent="0.25">
      <c r="A46" s="214">
        <v>562.9</v>
      </c>
      <c r="B46" s="350" t="s">
        <v>27</v>
      </c>
      <c r="C46" s="216">
        <v>147</v>
      </c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147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1040278</v>
      </c>
      <c r="D48" s="364">
        <f t="shared" si="2"/>
        <v>618924</v>
      </c>
      <c r="E48" s="366">
        <f t="shared" si="2"/>
        <v>62567</v>
      </c>
      <c r="F48" s="364">
        <f t="shared" si="2"/>
        <v>42000</v>
      </c>
      <c r="G48" s="365">
        <f t="shared" si="2"/>
        <v>10000</v>
      </c>
      <c r="H48" s="364">
        <f t="shared" si="2"/>
        <v>61643</v>
      </c>
      <c r="I48" s="366">
        <f t="shared" si="2"/>
        <v>598329</v>
      </c>
      <c r="J48" s="364">
        <f t="shared" si="2"/>
        <v>136521</v>
      </c>
      <c r="K48" s="456">
        <f t="shared" si="2"/>
        <v>295749</v>
      </c>
      <c r="L48" s="405">
        <f>SUM(C48:K48)</f>
        <v>2866011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1040278</v>
      </c>
      <c r="D60" s="364">
        <f>SUM(D48:D59)</f>
        <v>618924</v>
      </c>
      <c r="E60" s="366">
        <f t="shared" ref="E60:K60" si="4">SUM(E48:E59)</f>
        <v>62567</v>
      </c>
      <c r="F60" s="364">
        <f>SUM(F48:F59)</f>
        <v>42000</v>
      </c>
      <c r="G60" s="365">
        <f t="shared" si="4"/>
        <v>10000</v>
      </c>
      <c r="H60" s="362">
        <f t="shared" si="4"/>
        <v>61643</v>
      </c>
      <c r="I60" s="363">
        <f t="shared" si="4"/>
        <v>598329</v>
      </c>
      <c r="J60" s="364">
        <f t="shared" si="4"/>
        <v>136521</v>
      </c>
      <c r="K60" s="456">
        <f t="shared" si="4"/>
        <v>295749</v>
      </c>
      <c r="L60" s="409">
        <f>SUM(C60:K60)</f>
        <v>2866011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1040278</v>
      </c>
      <c r="D66" s="422">
        <f>C60/L60</f>
        <v>0.36297069341324928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618924</v>
      </c>
      <c r="D67" s="425">
        <f>D60/L60</f>
        <v>0.21595311392733663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1659202</v>
      </c>
      <c r="D68" s="428">
        <f>SUM(D66:D67)</f>
        <v>0.57892380734058591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62567</v>
      </c>
      <c r="D70" s="434">
        <f>E60/$L60</f>
        <v>2.1830690810328363E-2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1.465451458490564E-2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10000</v>
      </c>
      <c r="D72" s="434">
        <f>G60/$L60</f>
        <v>3.4891701392632478E-3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61643</v>
      </c>
      <c r="D73" s="437">
        <f>H60/$L60</f>
        <v>2.150829148946044E-2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176210</v>
      </c>
      <c r="D74" s="428">
        <f>SUM(D70:D73)</f>
        <v>6.1482667023957688E-2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598329</v>
      </c>
      <c r="D76" s="422">
        <f>I60/L60</f>
        <v>0.20876716802552397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136521</v>
      </c>
      <c r="D77" s="425">
        <f>J60/L60</f>
        <v>4.7634499658235782E-2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734850</v>
      </c>
      <c r="D78" s="428">
        <f>SUM(D76:D77)</f>
        <v>0.25640166768375977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295749</v>
      </c>
      <c r="D80" s="428">
        <f>K60/L60</f>
        <v>0.10319185795169662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2866011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18" priority="5">
      <formula>ROW()=EVEN(ROW())</formula>
    </cfRule>
  </conditionalFormatting>
  <conditionalFormatting sqref="L49:L59">
    <cfRule type="expression" dxfId="117" priority="3">
      <formula>ROW()=EVEN(ROW())</formula>
    </cfRule>
  </conditionalFormatting>
  <conditionalFormatting sqref="L5:L10">
    <cfRule type="expression" dxfId="116" priority="4">
      <formula>ROW()=EVEN(ROW())</formula>
    </cfRule>
  </conditionalFormatting>
  <conditionalFormatting sqref="A6:K10">
    <cfRule type="expression" dxfId="115" priority="2">
      <formula>ROW()=EVEN(ROW())</formula>
    </cfRule>
  </conditionalFormatting>
  <printOptions horizontalCentered="1"/>
  <pageMargins left="0" right="0" top="0.98" bottom="0.6" header="0.3" footer="0.3"/>
  <pageSetup scale="65" firstPageNumber="16" fitToHeight="2" orientation="landscape" useFirstPageNumber="1" r:id="rId1"/>
  <headerFooter>
    <oddHeader>&amp;C&amp;"Arial,Bold"&amp;16Expenditures by Expenditure Code and Revenue Source
2017
CLALLAM</oddHeader>
  </headerFooter>
  <rowBreaks count="1" manualBreakCount="1">
    <brk id="4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topLeftCell="A48" zoomScaleNormal="100" workbookViewId="0">
      <selection activeCell="E57" sqref="E57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471000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90.05</v>
      </c>
      <c r="D2" s="386"/>
      <c r="G2" s="382"/>
      <c r="H2" s="380"/>
      <c r="I2" s="380"/>
      <c r="J2" s="531" t="s">
        <v>143</v>
      </c>
      <c r="K2" s="531"/>
      <c r="L2" s="452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441110</v>
      </c>
      <c r="D5" s="219"/>
      <c r="E5" s="221"/>
      <c r="F5" s="219"/>
      <c r="G5" s="220">
        <v>37452</v>
      </c>
      <c r="H5" s="219"/>
      <c r="I5" s="221"/>
      <c r="J5" s="219"/>
      <c r="K5" s="222">
        <v>87629</v>
      </c>
      <c r="L5" s="223">
        <f>SUM(C5:K5)</f>
        <v>566191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>
        <v>14086</v>
      </c>
      <c r="E11" s="221"/>
      <c r="F11" s="219"/>
      <c r="G11" s="220">
        <v>148888</v>
      </c>
      <c r="H11" s="219">
        <v>54600</v>
      </c>
      <c r="I11" s="221"/>
      <c r="J11" s="219">
        <f>371190+34120</f>
        <v>405310</v>
      </c>
      <c r="K11" s="222">
        <v>10</v>
      </c>
      <c r="L11" s="223">
        <f t="shared" ref="L11:L47" si="1">SUM(C11:K11)</f>
        <v>622894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>
        <v>20353</v>
      </c>
      <c r="H12" s="219">
        <v>21500</v>
      </c>
      <c r="I12" s="231"/>
      <c r="J12" s="219">
        <v>24717</v>
      </c>
      <c r="K12" s="222"/>
      <c r="L12" s="223">
        <f t="shared" si="1"/>
        <v>66570</v>
      </c>
      <c r="M12" s="11"/>
    </row>
    <row r="13" spans="1:13" ht="15" customHeight="1" x14ac:dyDescent="0.25">
      <c r="A13" s="214">
        <v>562.25</v>
      </c>
      <c r="B13" s="350" t="s">
        <v>52</v>
      </c>
      <c r="C13" s="216">
        <v>67792</v>
      </c>
      <c r="D13" s="219"/>
      <c r="E13" s="221">
        <v>21052</v>
      </c>
      <c r="F13" s="219"/>
      <c r="G13" s="220"/>
      <c r="H13" s="219"/>
      <c r="I13" s="221">
        <v>167918</v>
      </c>
      <c r="J13" s="219">
        <v>20267</v>
      </c>
      <c r="K13" s="222">
        <f>2000-350</f>
        <v>1650</v>
      </c>
      <c r="L13" s="223">
        <f t="shared" si="1"/>
        <v>278679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>
        <v>76121</v>
      </c>
      <c r="D18" s="219">
        <v>157</v>
      </c>
      <c r="E18" s="221"/>
      <c r="F18" s="219">
        <v>8772</v>
      </c>
      <c r="G18" s="220"/>
      <c r="H18" s="219"/>
      <c r="I18" s="221">
        <v>73330</v>
      </c>
      <c r="J18" s="219">
        <v>16946</v>
      </c>
      <c r="K18" s="222">
        <v>1454</v>
      </c>
      <c r="L18" s="223">
        <f t="shared" si="1"/>
        <v>176780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>
        <v>169304</v>
      </c>
      <c r="D19" s="219">
        <v>236</v>
      </c>
      <c r="E19" s="221"/>
      <c r="F19" s="219">
        <v>31916</v>
      </c>
      <c r="G19" s="220">
        <v>69807</v>
      </c>
      <c r="H19" s="219"/>
      <c r="I19" s="221">
        <v>72000</v>
      </c>
      <c r="J19" s="219">
        <v>14262</v>
      </c>
      <c r="K19" s="222"/>
      <c r="L19" s="223">
        <f t="shared" si="1"/>
        <v>357525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595632</v>
      </c>
      <c r="D20" s="219">
        <v>-2158</v>
      </c>
      <c r="E20" s="221"/>
      <c r="F20" s="219">
        <v>47721</v>
      </c>
      <c r="G20" s="220">
        <v>77932</v>
      </c>
      <c r="H20" s="219"/>
      <c r="I20" s="221">
        <v>12500</v>
      </c>
      <c r="J20" s="219">
        <v>33853</v>
      </c>
      <c r="K20" s="222"/>
      <c r="L20" s="223">
        <f t="shared" si="1"/>
        <v>765480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>
        <v>43147</v>
      </c>
      <c r="E21" s="221">
        <v>344612</v>
      </c>
      <c r="F21" s="219"/>
      <c r="G21" s="220">
        <v>259098</v>
      </c>
      <c r="H21" s="219"/>
      <c r="I21" s="221"/>
      <c r="J21" s="219">
        <f>21537+11189</f>
        <v>32726</v>
      </c>
      <c r="K21" s="222">
        <f>12500+3450+610</f>
        <v>16560</v>
      </c>
      <c r="L21" s="223">
        <f t="shared" si="1"/>
        <v>696143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397088</v>
      </c>
      <c r="D22" s="219"/>
      <c r="E22" s="221"/>
      <c r="F22" s="219">
        <v>65726</v>
      </c>
      <c r="G22" s="220">
        <v>77932</v>
      </c>
      <c r="H22" s="219"/>
      <c r="I22" s="221">
        <f>11914+115035</f>
        <v>126949</v>
      </c>
      <c r="J22" s="219">
        <v>18228</v>
      </c>
      <c r="K22" s="222">
        <v>9140</v>
      </c>
      <c r="L22" s="223">
        <f t="shared" si="1"/>
        <v>695063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>
        <v>36194</v>
      </c>
      <c r="H26" s="219"/>
      <c r="I26" s="221"/>
      <c r="J26" s="219"/>
      <c r="K26" s="222"/>
      <c r="L26" s="223">
        <f t="shared" si="1"/>
        <v>36194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>
        <v>320000</v>
      </c>
      <c r="H28" s="219">
        <v>19300</v>
      </c>
      <c r="I28" s="221">
        <v>189841</v>
      </c>
      <c r="J28" s="219">
        <f>27780+49205</f>
        <v>76985</v>
      </c>
      <c r="K28" s="222">
        <v>144471</v>
      </c>
      <c r="L28" s="223">
        <f t="shared" si="1"/>
        <v>750597</v>
      </c>
      <c r="M28" s="11"/>
    </row>
    <row r="29" spans="1:13" ht="15" customHeight="1" x14ac:dyDescent="0.25">
      <c r="A29" s="214">
        <v>562.52</v>
      </c>
      <c r="B29" s="350" t="s">
        <v>17</v>
      </c>
      <c r="C29" s="216">
        <v>50323</v>
      </c>
      <c r="D29" s="219">
        <f>40000+162169</f>
        <v>202169</v>
      </c>
      <c r="E29" s="221">
        <v>10000</v>
      </c>
      <c r="F29" s="219"/>
      <c r="G29" s="220"/>
      <c r="H29" s="219">
        <v>39653</v>
      </c>
      <c r="I29" s="221"/>
      <c r="J29" s="219"/>
      <c r="K29" s="222">
        <v>11107</v>
      </c>
      <c r="L29" s="223">
        <f t="shared" si="1"/>
        <v>313252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148911</v>
      </c>
      <c r="D30" s="219">
        <f>59418+20000</f>
        <v>79418</v>
      </c>
      <c r="E30" s="221"/>
      <c r="F30" s="219"/>
      <c r="G30" s="220"/>
      <c r="H30" s="219">
        <f>245781-11937</f>
        <v>233844</v>
      </c>
      <c r="I30" s="221"/>
      <c r="J30" s="219"/>
      <c r="K30" s="222"/>
      <c r="L30" s="223">
        <f t="shared" si="1"/>
        <v>462173</v>
      </c>
      <c r="M30" s="11"/>
    </row>
    <row r="31" spans="1:13" ht="15" customHeight="1" x14ac:dyDescent="0.25">
      <c r="A31" s="214">
        <v>562.54</v>
      </c>
      <c r="B31" s="350" t="s">
        <v>59</v>
      </c>
      <c r="C31" s="216">
        <v>59081</v>
      </c>
      <c r="D31" s="219">
        <v>1041531</v>
      </c>
      <c r="E31" s="221"/>
      <c r="F31" s="219"/>
      <c r="G31" s="220">
        <v>62516</v>
      </c>
      <c r="H31" s="219"/>
      <c r="I31" s="221"/>
      <c r="J31" s="219"/>
      <c r="K31" s="222"/>
      <c r="L31" s="223">
        <f t="shared" si="1"/>
        <v>1163128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>
        <v>118919</v>
      </c>
      <c r="D33" s="219">
        <f>1211594+148819</f>
        <v>1360413</v>
      </c>
      <c r="E33" s="221"/>
      <c r="F33" s="219"/>
      <c r="G33" s="220"/>
      <c r="H33" s="219"/>
      <c r="I33" s="221"/>
      <c r="J33" s="219">
        <v>2500</v>
      </c>
      <c r="K33" s="222"/>
      <c r="L33" s="223">
        <f t="shared" si="1"/>
        <v>1481832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>
        <v>116505</v>
      </c>
      <c r="D34" s="219">
        <f>66094+20440</f>
        <v>86534</v>
      </c>
      <c r="E34" s="221"/>
      <c r="F34" s="219"/>
      <c r="G34" s="220"/>
      <c r="H34" s="219"/>
      <c r="I34" s="221"/>
      <c r="J34" s="219">
        <v>4131</v>
      </c>
      <c r="K34" s="222"/>
      <c r="L34" s="223">
        <f t="shared" si="1"/>
        <v>207170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0</v>
      </c>
      <c r="M35" s="11"/>
    </row>
    <row r="36" spans="1:13" ht="15" customHeight="1" x14ac:dyDescent="0.25">
      <c r="A36" s="214">
        <v>562.59</v>
      </c>
      <c r="B36" s="350" t="s">
        <v>48</v>
      </c>
      <c r="C36" s="216">
        <v>116505</v>
      </c>
      <c r="D36" s="219">
        <f>66094+20440</f>
        <v>86534</v>
      </c>
      <c r="E36" s="221"/>
      <c r="F36" s="219"/>
      <c r="G36" s="220"/>
      <c r="H36" s="219"/>
      <c r="I36" s="221"/>
      <c r="J36" s="219">
        <v>4131</v>
      </c>
      <c r="K36" s="222"/>
      <c r="L36" s="223">
        <f t="shared" si="1"/>
        <v>207170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>
        <v>213978</v>
      </c>
      <c r="E37" s="221"/>
      <c r="F37" s="219"/>
      <c r="G37" s="220"/>
      <c r="H37" s="219"/>
      <c r="I37" s="221"/>
      <c r="J37" s="219"/>
      <c r="K37" s="222"/>
      <c r="L37" s="223">
        <f t="shared" si="1"/>
        <v>213978</v>
      </c>
      <c r="M37" s="11"/>
    </row>
    <row r="38" spans="1:13" ht="15" customHeight="1" x14ac:dyDescent="0.25">
      <c r="A38" s="214">
        <v>562.71</v>
      </c>
      <c r="B38" s="350" t="s">
        <v>21</v>
      </c>
      <c r="C38" s="216">
        <v>120099</v>
      </c>
      <c r="D38" s="219">
        <v>553282</v>
      </c>
      <c r="E38" s="221"/>
      <c r="F38" s="219"/>
      <c r="G38" s="220"/>
      <c r="H38" s="219"/>
      <c r="I38" s="221"/>
      <c r="J38" s="219"/>
      <c r="K38" s="222">
        <v>25</v>
      </c>
      <c r="L38" s="223">
        <f t="shared" si="1"/>
        <v>673406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v>647170</v>
      </c>
      <c r="H44" s="219"/>
      <c r="I44" s="221"/>
      <c r="J44" s="219"/>
      <c r="K44" s="222">
        <v>7500</v>
      </c>
      <c r="L44" s="223">
        <f t="shared" si="1"/>
        <v>654670</v>
      </c>
      <c r="M44" s="11"/>
    </row>
    <row r="45" spans="1:13" ht="15" customHeight="1" x14ac:dyDescent="0.25">
      <c r="A45" s="214">
        <v>562.88</v>
      </c>
      <c r="B45" s="350" t="s">
        <v>50</v>
      </c>
      <c r="C45" s="216">
        <v>105206</v>
      </c>
      <c r="D45" s="219"/>
      <c r="E45" s="221"/>
      <c r="F45" s="219"/>
      <c r="G45" s="220"/>
      <c r="H45" s="219"/>
      <c r="I45" s="221">
        <v>597777</v>
      </c>
      <c r="J45" s="219"/>
      <c r="K45" s="222"/>
      <c r="L45" s="223">
        <f t="shared" si="1"/>
        <v>702983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2582596</v>
      </c>
      <c r="D48" s="364">
        <f t="shared" si="2"/>
        <v>3679327</v>
      </c>
      <c r="E48" s="366">
        <f t="shared" si="2"/>
        <v>375664</v>
      </c>
      <c r="F48" s="364">
        <f t="shared" si="2"/>
        <v>154135</v>
      </c>
      <c r="G48" s="365">
        <f t="shared" si="2"/>
        <v>1757342</v>
      </c>
      <c r="H48" s="364">
        <f t="shared" si="2"/>
        <v>368897</v>
      </c>
      <c r="I48" s="366">
        <f t="shared" si="2"/>
        <v>1240315</v>
      </c>
      <c r="J48" s="364">
        <f t="shared" si="2"/>
        <v>654056</v>
      </c>
      <c r="K48" s="456">
        <f t="shared" si="2"/>
        <v>279546</v>
      </c>
      <c r="L48" s="405">
        <f>SUM(C48:K48)</f>
        <v>11091878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2582596</v>
      </c>
      <c r="D60" s="364">
        <f>SUM(D48:D59)</f>
        <v>3679327</v>
      </c>
      <c r="E60" s="366">
        <f t="shared" ref="E60:K60" si="4">SUM(E48:E59)</f>
        <v>375664</v>
      </c>
      <c r="F60" s="364">
        <f>SUM(F48:F59)</f>
        <v>154135</v>
      </c>
      <c r="G60" s="365">
        <f t="shared" si="4"/>
        <v>1757342</v>
      </c>
      <c r="H60" s="362">
        <f t="shared" si="4"/>
        <v>368897</v>
      </c>
      <c r="I60" s="363">
        <f t="shared" si="4"/>
        <v>1240315</v>
      </c>
      <c r="J60" s="364">
        <f t="shared" si="4"/>
        <v>654056</v>
      </c>
      <c r="K60" s="456">
        <f t="shared" si="4"/>
        <v>279546</v>
      </c>
      <c r="L60" s="409">
        <f>SUM(C60:K60)</f>
        <v>11091878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2582596</v>
      </c>
      <c r="D66" s="422">
        <f>C60/L60</f>
        <v>0.23283667562877991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3679327</v>
      </c>
      <c r="D67" s="425">
        <f>D60/L60</f>
        <v>0.33171361964132673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6261923</v>
      </c>
      <c r="D68" s="428">
        <f>SUM(D66:D67)</f>
        <v>0.56455029527010669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375664</v>
      </c>
      <c r="D70" s="434">
        <f>E60/$L60</f>
        <v>3.3868385497929206E-2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154135</v>
      </c>
      <c r="D71" s="434">
        <f>F60/L60</f>
        <v>1.38962040512887E-2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1757342</v>
      </c>
      <c r="D72" s="434">
        <f>G60/$L60</f>
        <v>0.15843502786453295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368897</v>
      </c>
      <c r="D73" s="437">
        <f>H60/$L60</f>
        <v>3.3258299451184012E-2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2656038</v>
      </c>
      <c r="D74" s="428">
        <f>SUM(D70:D73)</f>
        <v>0.23945791686493489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1240315</v>
      </c>
      <c r="D76" s="422">
        <f>I60/L60</f>
        <v>0.11182191149235504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654056</v>
      </c>
      <c r="D77" s="425">
        <f>J60/L60</f>
        <v>5.8967110889607696E-2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1894371</v>
      </c>
      <c r="D78" s="428">
        <f>SUM(D76:D77)</f>
        <v>0.17078902238196275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279546</v>
      </c>
      <c r="D80" s="428">
        <f>K60/L60</f>
        <v>2.5202765482995756E-2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11091878</v>
      </c>
      <c r="D81" s="448">
        <f>D74+D78+D68+D80</f>
        <v>1.0000000000000002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14" priority="5">
      <formula>ROW()=EVEN(ROW())</formula>
    </cfRule>
  </conditionalFormatting>
  <conditionalFormatting sqref="L49:L59">
    <cfRule type="expression" dxfId="113" priority="3">
      <formula>ROW()=EVEN(ROW())</formula>
    </cfRule>
  </conditionalFormatting>
  <conditionalFormatting sqref="L5:L10">
    <cfRule type="expression" dxfId="112" priority="4">
      <formula>ROW()=EVEN(ROW())</formula>
    </cfRule>
  </conditionalFormatting>
  <conditionalFormatting sqref="A6:K10">
    <cfRule type="expression" dxfId="111" priority="2">
      <formula>ROW()=EVEN(ROW())</formula>
    </cfRule>
  </conditionalFormatting>
  <printOptions horizontalCentered="1"/>
  <pageMargins left="0" right="0" top="0.98" bottom="0.6" header="0.3" footer="0.3"/>
  <pageSetup scale="65" firstPageNumber="18" fitToHeight="2" orientation="landscape" useFirstPageNumber="1" r:id="rId1"/>
  <headerFooter>
    <oddHeader>&amp;C&amp;"Arial,Bold"&amp;16Expenditures by Expenditure Code and Revenue Source
2017
CLARK</oddHeader>
  </headerFooter>
  <rowBreaks count="1" manualBreakCount="1">
    <brk id="4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topLeftCell="A30" zoomScaleNormal="100" workbookViewId="0">
      <selection activeCell="B39" sqref="B39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4100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3.3</v>
      </c>
      <c r="D2" s="386"/>
      <c r="G2" s="382"/>
      <c r="H2" s="380"/>
      <c r="I2" s="380"/>
      <c r="J2" s="531" t="s">
        <v>143</v>
      </c>
      <c r="K2" s="531"/>
      <c r="L2" s="457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3291</v>
      </c>
      <c r="D5" s="219"/>
      <c r="E5" s="221"/>
      <c r="F5" s="219"/>
      <c r="G5" s="220">
        <v>3375</v>
      </c>
      <c r="H5" s="219">
        <v>140</v>
      </c>
      <c r="I5" s="221"/>
      <c r="J5" s="219">
        <v>26461</v>
      </c>
      <c r="K5" s="222"/>
      <c r="L5" s="223">
        <f>SUM(C5:K5)</f>
        <v>33267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>
        <v>26601</v>
      </c>
      <c r="D7" s="299">
        <f>1406+108+31+1855+930</f>
        <v>4330</v>
      </c>
      <c r="E7" s="310"/>
      <c r="F7" s="299">
        <v>7669</v>
      </c>
      <c r="G7" s="311">
        <v>10816</v>
      </c>
      <c r="H7" s="299"/>
      <c r="I7" s="310"/>
      <c r="J7" s="299"/>
      <c r="K7" s="313">
        <v>1217</v>
      </c>
      <c r="L7" s="223">
        <f t="shared" si="0"/>
        <v>50633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>
        <v>3624</v>
      </c>
      <c r="H11" s="219"/>
      <c r="I11" s="221">
        <v>15907</v>
      </c>
      <c r="J11" s="219"/>
      <c r="K11" s="222"/>
      <c r="L11" s="223">
        <f t="shared" ref="L11:L47" si="1">SUM(C11:K11)</f>
        <v>19531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>
        <v>2961</v>
      </c>
      <c r="H12" s="219">
        <v>1380</v>
      </c>
      <c r="I12" s="231"/>
      <c r="J12" s="219">
        <v>1380</v>
      </c>
      <c r="K12" s="222"/>
      <c r="L12" s="223">
        <f t="shared" si="1"/>
        <v>5721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>
        <v>1315</v>
      </c>
      <c r="H13" s="219"/>
      <c r="I13" s="221">
        <v>7417</v>
      </c>
      <c r="J13" s="219"/>
      <c r="K13" s="222"/>
      <c r="L13" s="223">
        <f t="shared" si="1"/>
        <v>8732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>
        <f>6028+40</f>
        <v>6068</v>
      </c>
      <c r="H16" s="219"/>
      <c r="I16" s="221">
        <f>41478+160</f>
        <v>41638</v>
      </c>
      <c r="J16" s="219"/>
      <c r="K16" s="222"/>
      <c r="L16" s="223">
        <f t="shared" si="1"/>
        <v>47706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>
        <f>10350+9198+5076+1764</f>
        <v>26388</v>
      </c>
      <c r="H17" s="219"/>
      <c r="I17" s="221">
        <v>12971</v>
      </c>
      <c r="J17" s="219">
        <v>2487</v>
      </c>
      <c r="K17" s="222">
        <f>283+17194</f>
        <v>17477</v>
      </c>
      <c r="L17" s="223">
        <f t="shared" si="1"/>
        <v>59323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>
        <v>690</v>
      </c>
      <c r="E18" s="221"/>
      <c r="F18" s="219"/>
      <c r="G18" s="220">
        <f>9311+11182</f>
        <v>20493</v>
      </c>
      <c r="H18" s="219"/>
      <c r="I18" s="221">
        <v>14</v>
      </c>
      <c r="J18" s="219"/>
      <c r="K18" s="222">
        <v>810</v>
      </c>
      <c r="L18" s="223">
        <f t="shared" si="1"/>
        <v>22007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>
        <v>2740</v>
      </c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2740</v>
      </c>
      <c r="M19" s="11"/>
    </row>
    <row r="20" spans="1:13" ht="15" customHeight="1" x14ac:dyDescent="0.25">
      <c r="A20" s="214">
        <v>562.34</v>
      </c>
      <c r="B20" s="350" t="s">
        <v>12</v>
      </c>
      <c r="C20" s="216"/>
      <c r="D20" s="219">
        <v>650</v>
      </c>
      <c r="E20" s="221"/>
      <c r="F20" s="219"/>
      <c r="G20" s="220">
        <v>3884</v>
      </c>
      <c r="H20" s="219"/>
      <c r="I20" s="221"/>
      <c r="J20" s="219"/>
      <c r="K20" s="222"/>
      <c r="L20" s="223">
        <f t="shared" si="1"/>
        <v>4534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50" t="s">
        <v>14</v>
      </c>
      <c r="C22" s="216"/>
      <c r="D22" s="219"/>
      <c r="E22" s="221"/>
      <c r="F22" s="219">
        <v>13331</v>
      </c>
      <c r="G22" s="220"/>
      <c r="H22" s="219"/>
      <c r="I22" s="221"/>
      <c r="J22" s="219"/>
      <c r="K22" s="222"/>
      <c r="L22" s="223">
        <f t="shared" si="1"/>
        <v>13331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>
        <v>42</v>
      </c>
      <c r="H24" s="219"/>
      <c r="I24" s="221"/>
      <c r="J24" s="219"/>
      <c r="K24" s="222"/>
      <c r="L24" s="223">
        <f t="shared" si="1"/>
        <v>42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>
        <v>440</v>
      </c>
      <c r="H26" s="219">
        <v>3373</v>
      </c>
      <c r="I26" s="221"/>
      <c r="J26" s="219"/>
      <c r="K26" s="222"/>
      <c r="L26" s="223">
        <f t="shared" si="1"/>
        <v>3813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ht="15" customHeight="1" x14ac:dyDescent="0.25">
      <c r="A29" s="214">
        <v>562.52</v>
      </c>
      <c r="B29" s="350" t="s">
        <v>17</v>
      </c>
      <c r="C29" s="216">
        <v>662</v>
      </c>
      <c r="D29" s="219">
        <v>300</v>
      </c>
      <c r="E29" s="221"/>
      <c r="F29" s="219"/>
      <c r="G29" s="220"/>
      <c r="H29" s="219"/>
      <c r="I29" s="221"/>
      <c r="J29" s="219"/>
      <c r="K29" s="222"/>
      <c r="L29" s="223">
        <f t="shared" si="1"/>
        <v>962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>
        <v>28</v>
      </c>
      <c r="E30" s="221"/>
      <c r="F30" s="219"/>
      <c r="G30" s="220"/>
      <c r="H30" s="219"/>
      <c r="I30" s="221"/>
      <c r="J30" s="219"/>
      <c r="K30" s="222"/>
      <c r="L30" s="223">
        <f t="shared" si="1"/>
        <v>28</v>
      </c>
      <c r="M30" s="11"/>
    </row>
    <row r="31" spans="1:13" ht="15" customHeight="1" x14ac:dyDescent="0.25">
      <c r="A31" s="214">
        <v>562.54</v>
      </c>
      <c r="B31" s="350" t="s">
        <v>59</v>
      </c>
      <c r="C31" s="216">
        <v>0</v>
      </c>
      <c r="D31" s="219">
        <f>3727+115</f>
        <v>3842</v>
      </c>
      <c r="E31" s="221"/>
      <c r="F31" s="219"/>
      <c r="G31" s="220"/>
      <c r="H31" s="219"/>
      <c r="I31" s="221"/>
      <c r="J31" s="219"/>
      <c r="K31" s="222"/>
      <c r="L31" s="223">
        <f t="shared" si="1"/>
        <v>3842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>
        <v>637</v>
      </c>
      <c r="H32" s="219"/>
      <c r="I32" s="221"/>
      <c r="J32" s="219"/>
      <c r="K32" s="222"/>
      <c r="L32" s="223">
        <f t="shared" si="1"/>
        <v>637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>
        <f>7143+549+157</f>
        <v>7849</v>
      </c>
      <c r="E33" s="221"/>
      <c r="F33" s="219"/>
      <c r="G33" s="220"/>
      <c r="H33" s="219"/>
      <c r="I33" s="221"/>
      <c r="J33" s="219"/>
      <c r="K33" s="222"/>
      <c r="L33" s="223">
        <f t="shared" si="1"/>
        <v>7849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>
        <v>609</v>
      </c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609</v>
      </c>
      <c r="M35" s="11"/>
    </row>
    <row r="36" spans="1:13" ht="15" customHeight="1" x14ac:dyDescent="0.25">
      <c r="A36" s="214">
        <v>562.59</v>
      </c>
      <c r="B36" s="350" t="s">
        <v>48</v>
      </c>
      <c r="C36" s="216">
        <v>419</v>
      </c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419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2151</v>
      </c>
      <c r="E38" s="221"/>
      <c r="F38" s="219"/>
      <c r="G38" s="220">
        <v>5185</v>
      </c>
      <c r="H38" s="219"/>
      <c r="I38" s="221"/>
      <c r="J38" s="219"/>
      <c r="K38" s="222"/>
      <c r="L38" s="223">
        <f t="shared" si="1"/>
        <v>7336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f>25861+922</f>
        <v>26783</v>
      </c>
      <c r="H44" s="219"/>
      <c r="I44" s="221">
        <v>1978</v>
      </c>
      <c r="J44" s="219"/>
      <c r="K44" s="222">
        <f>146+402</f>
        <v>548</v>
      </c>
      <c r="L44" s="223">
        <f t="shared" si="1"/>
        <v>29309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>
        <v>7980</v>
      </c>
      <c r="H45" s="219"/>
      <c r="I45" s="221">
        <v>20418</v>
      </c>
      <c r="J45" s="219"/>
      <c r="K45" s="222"/>
      <c r="L45" s="223">
        <f t="shared" si="1"/>
        <v>28398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34322</v>
      </c>
      <c r="D48" s="364">
        <f t="shared" si="2"/>
        <v>19840</v>
      </c>
      <c r="E48" s="459" t="s">
        <v>154</v>
      </c>
      <c r="F48" s="364">
        <f t="shared" si="2"/>
        <v>21000</v>
      </c>
      <c r="G48" s="365">
        <f t="shared" si="2"/>
        <v>119991</v>
      </c>
      <c r="H48" s="364">
        <f t="shared" si="2"/>
        <v>4893</v>
      </c>
      <c r="I48" s="366">
        <f t="shared" si="2"/>
        <v>100343</v>
      </c>
      <c r="J48" s="364">
        <f t="shared" si="2"/>
        <v>30328</v>
      </c>
      <c r="K48" s="456">
        <f t="shared" si="2"/>
        <v>20052</v>
      </c>
      <c r="L48" s="405">
        <f>SUM(C48:K48)</f>
        <v>350769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34322</v>
      </c>
      <c r="D60" s="364">
        <f>SUM(D48:D59)</f>
        <v>19840</v>
      </c>
      <c r="E60" s="459" t="s">
        <v>154</v>
      </c>
      <c r="F60" s="364">
        <f>SUM(F48:F59)</f>
        <v>21000</v>
      </c>
      <c r="G60" s="365">
        <f t="shared" ref="G60:K60" si="4">SUM(G48:G59)</f>
        <v>119991</v>
      </c>
      <c r="H60" s="362">
        <f t="shared" si="4"/>
        <v>4893</v>
      </c>
      <c r="I60" s="363">
        <f t="shared" si="4"/>
        <v>100343</v>
      </c>
      <c r="J60" s="364">
        <f t="shared" si="4"/>
        <v>30328</v>
      </c>
      <c r="K60" s="456">
        <f t="shared" si="4"/>
        <v>20052</v>
      </c>
      <c r="L60" s="409">
        <f>SUM(C60:K60)</f>
        <v>350769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34322</v>
      </c>
      <c r="D66" s="422">
        <f>C60/L60</f>
        <v>9.7847871391143454E-2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19840</v>
      </c>
      <c r="D67" s="425">
        <f>D60/L60</f>
        <v>5.6561440720246089E-2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54162</v>
      </c>
      <c r="D68" s="428">
        <f>SUM(D66:D67)</f>
        <v>0.15440931211138953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60" t="str">
        <f>E60</f>
        <v>0</v>
      </c>
      <c r="D70" s="461" t="s">
        <v>155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21000</v>
      </c>
      <c r="D71" s="434">
        <f>F60/L60</f>
        <v>5.9868460439776602E-2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119991</v>
      </c>
      <c r="D72" s="434">
        <f>G60/$L60</f>
        <v>0.34207983031567785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4893</v>
      </c>
      <c r="D73" s="437">
        <f>H60/$L60</f>
        <v>1.3949351282467949E-2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145884</v>
      </c>
      <c r="D74" s="428">
        <f>SUM(D70:D73)</f>
        <v>0.4158976420379224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100343</v>
      </c>
      <c r="D76" s="422">
        <f>I60/L60</f>
        <v>0.28606575837659542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30328</v>
      </c>
      <c r="D77" s="425">
        <f>J60/L60</f>
        <v>8.6461460391311667E-2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130671</v>
      </c>
      <c r="D78" s="428">
        <f>SUM(D76:D77)</f>
        <v>0.37252721876790706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20052</v>
      </c>
      <c r="D80" s="428">
        <f>K60/L60</f>
        <v>5.7165827082780979E-2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350769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10" priority="5">
      <formula>ROW()=EVEN(ROW())</formula>
    </cfRule>
  </conditionalFormatting>
  <conditionalFormatting sqref="L49:L59">
    <cfRule type="expression" dxfId="109" priority="3">
      <formula>ROW()=EVEN(ROW())</formula>
    </cfRule>
  </conditionalFormatting>
  <conditionalFormatting sqref="L5:L10">
    <cfRule type="expression" dxfId="108" priority="4">
      <formula>ROW()=EVEN(ROW())</formula>
    </cfRule>
  </conditionalFormatting>
  <conditionalFormatting sqref="A6:K10">
    <cfRule type="expression" dxfId="107" priority="2">
      <formula>ROW()=EVEN(ROW())</formula>
    </cfRule>
  </conditionalFormatting>
  <printOptions horizontalCentered="1"/>
  <pageMargins left="0" right="0" top="0.98" bottom="0.6" header="0.3" footer="0.3"/>
  <pageSetup scale="65" firstPageNumber="20" fitToHeight="2" orientation="landscape" useFirstPageNumber="1" r:id="rId1"/>
  <headerFooter>
    <oddHeader>&amp;C&amp;"Arial,Bold"&amp;16Expenditures by Expenditure Code and Revenue Source
2017
COLUMBIA</oddHeader>
  </headerFooter>
  <rowBreaks count="1" manualBreakCount="1">
    <brk id="48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3" zoomScaleNormal="100" workbookViewId="0">
      <selection activeCell="D9" sqref="D9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105900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23.25</v>
      </c>
      <c r="D2" s="386"/>
      <c r="G2" s="382"/>
      <c r="H2" s="380"/>
      <c r="I2" s="380"/>
      <c r="J2" s="531" t="s">
        <v>143</v>
      </c>
      <c r="K2" s="531"/>
      <c r="L2" s="458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22343</v>
      </c>
      <c r="D5" s="219">
        <v>40968</v>
      </c>
      <c r="E5" s="221"/>
      <c r="F5" s="219"/>
      <c r="G5" s="220">
        <v>83209</v>
      </c>
      <c r="H5" s="219"/>
      <c r="I5" s="221"/>
      <c r="J5" s="219">
        <v>2898</v>
      </c>
      <c r="K5" s="222">
        <f>101036+11023</f>
        <v>112059</v>
      </c>
      <c r="L5" s="223">
        <f>SUM(C5:K5)</f>
        <v>261477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>
        <v>94998</v>
      </c>
      <c r="H11" s="219"/>
      <c r="I11" s="221">
        <v>88196</v>
      </c>
      <c r="J11" s="219">
        <v>5450</v>
      </c>
      <c r="K11" s="222">
        <v>3617</v>
      </c>
      <c r="L11" s="223">
        <f t="shared" ref="L11:L47" si="1">SUM(C11:K11)</f>
        <v>192261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/>
      <c r="K12" s="222"/>
      <c r="L12" s="223">
        <f t="shared" si="1"/>
        <v>0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>
        <v>1826</v>
      </c>
      <c r="D18" s="219"/>
      <c r="E18" s="221"/>
      <c r="F18" s="219"/>
      <c r="G18" s="220">
        <v>45</v>
      </c>
      <c r="H18" s="219"/>
      <c r="I18" s="221"/>
      <c r="J18" s="219"/>
      <c r="K18" s="222"/>
      <c r="L18" s="223">
        <f t="shared" si="1"/>
        <v>1871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>
        <v>17964</v>
      </c>
      <c r="D19" s="219"/>
      <c r="E19" s="221"/>
      <c r="F19" s="219"/>
      <c r="G19" s="220">
        <v>4495</v>
      </c>
      <c r="H19" s="219"/>
      <c r="I19" s="221"/>
      <c r="J19" s="219"/>
      <c r="K19" s="222"/>
      <c r="L19" s="223">
        <f t="shared" si="1"/>
        <v>22459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40154</v>
      </c>
      <c r="D20" s="219"/>
      <c r="E20" s="221"/>
      <c r="F20" s="219"/>
      <c r="G20" s="220">
        <v>1393</v>
      </c>
      <c r="H20" s="219"/>
      <c r="I20" s="221"/>
      <c r="J20" s="219"/>
      <c r="K20" s="222"/>
      <c r="L20" s="223">
        <f t="shared" si="1"/>
        <v>41547</v>
      </c>
      <c r="M20" s="11"/>
    </row>
    <row r="21" spans="1:13" ht="15" customHeight="1" x14ac:dyDescent="0.25">
      <c r="A21" s="214">
        <v>562.35</v>
      </c>
      <c r="B21" s="350" t="s">
        <v>13</v>
      </c>
      <c r="C21" s="216">
        <v>6650</v>
      </c>
      <c r="D21" s="219"/>
      <c r="E21" s="221"/>
      <c r="F21" s="219"/>
      <c r="G21" s="220">
        <v>58899</v>
      </c>
      <c r="H21" s="219"/>
      <c r="I21" s="221"/>
      <c r="J21" s="219"/>
      <c r="K21" s="222">
        <v>75</v>
      </c>
      <c r="L21" s="223">
        <f t="shared" si="1"/>
        <v>65624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229165</v>
      </c>
      <c r="D22" s="219"/>
      <c r="E22" s="221"/>
      <c r="F22" s="219">
        <v>1373</v>
      </c>
      <c r="G22" s="220">
        <v>91951</v>
      </c>
      <c r="H22" s="219"/>
      <c r="I22" s="221"/>
      <c r="J22" s="219"/>
      <c r="K22" s="222"/>
      <c r="L22" s="223">
        <f t="shared" si="1"/>
        <v>322489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>
        <v>5178</v>
      </c>
      <c r="H26" s="219">
        <v>2135</v>
      </c>
      <c r="I26" s="221"/>
      <c r="J26" s="219">
        <v>1872</v>
      </c>
      <c r="K26" s="222"/>
      <c r="L26" s="223">
        <f t="shared" si="1"/>
        <v>9185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>
        <v>6731</v>
      </c>
      <c r="H27" s="219"/>
      <c r="I27" s="221"/>
      <c r="J27" s="219"/>
      <c r="K27" s="222"/>
      <c r="L27" s="223">
        <f t="shared" si="1"/>
        <v>6731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>
        <v>5779</v>
      </c>
      <c r="H28" s="219"/>
      <c r="I28" s="221"/>
      <c r="J28" s="219">
        <v>14732</v>
      </c>
      <c r="K28" s="222">
        <f>99483+188466</f>
        <v>287949</v>
      </c>
      <c r="L28" s="223">
        <f t="shared" si="1"/>
        <v>308460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f>88160+11815</f>
        <v>99975</v>
      </c>
      <c r="E29" s="221">
        <v>20000</v>
      </c>
      <c r="F29" s="219"/>
      <c r="G29" s="220">
        <v>4596</v>
      </c>
      <c r="H29" s="219"/>
      <c r="I29" s="221"/>
      <c r="J29" s="219"/>
      <c r="K29" s="222"/>
      <c r="L29" s="223">
        <f t="shared" si="1"/>
        <v>124571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>
        <f>1016+110670</f>
        <v>111686</v>
      </c>
      <c r="E30" s="221"/>
      <c r="F30" s="219"/>
      <c r="G30" s="220"/>
      <c r="H30" s="219"/>
      <c r="I30" s="221"/>
      <c r="J30" s="219"/>
      <c r="K30" s="222"/>
      <c r="L30" s="223">
        <f t="shared" si="1"/>
        <v>111686</v>
      </c>
      <c r="M30" s="11"/>
    </row>
    <row r="31" spans="1:13" ht="15" customHeight="1" x14ac:dyDescent="0.25">
      <c r="A31" s="214">
        <v>562.54</v>
      </c>
      <c r="B31" s="350" t="s">
        <v>59</v>
      </c>
      <c r="C31" s="216">
        <v>0</v>
      </c>
      <c r="D31" s="219">
        <f>257923+269290</f>
        <v>527213</v>
      </c>
      <c r="E31" s="221"/>
      <c r="F31" s="219"/>
      <c r="G31" s="220"/>
      <c r="H31" s="219"/>
      <c r="I31" s="221"/>
      <c r="J31" s="219"/>
      <c r="K31" s="222"/>
      <c r="L31" s="223">
        <f t="shared" si="1"/>
        <v>527213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>
        <v>24045</v>
      </c>
      <c r="H32" s="219"/>
      <c r="I32" s="221"/>
      <c r="J32" s="219"/>
      <c r="K32" s="222">
        <v>407</v>
      </c>
      <c r="L32" s="223">
        <f t="shared" si="1"/>
        <v>24452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>
        <f>317699+114694</f>
        <v>432393</v>
      </c>
      <c r="E33" s="221"/>
      <c r="F33" s="219"/>
      <c r="G33" s="220">
        <v>46369</v>
      </c>
      <c r="H33" s="219"/>
      <c r="I33" s="221"/>
      <c r="J33" s="219">
        <f>50+1049</f>
        <v>1099</v>
      </c>
      <c r="K33" s="222">
        <v>5332</v>
      </c>
      <c r="L33" s="223">
        <f t="shared" si="1"/>
        <v>485193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>
        <v>2047</v>
      </c>
      <c r="E34" s="221"/>
      <c r="F34" s="219"/>
      <c r="G34" s="220"/>
      <c r="H34" s="219"/>
      <c r="I34" s="221"/>
      <c r="J34" s="219"/>
      <c r="K34" s="222"/>
      <c r="L34" s="223">
        <f t="shared" si="1"/>
        <v>2047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>
        <f>56732+4346</f>
        <v>61078</v>
      </c>
      <c r="E35" s="221"/>
      <c r="F35" s="219"/>
      <c r="G35" s="220"/>
      <c r="H35" s="219"/>
      <c r="I35" s="221"/>
      <c r="J35" s="219"/>
      <c r="K35" s="222"/>
      <c r="L35" s="223">
        <f t="shared" si="1"/>
        <v>61078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>
        <f>8118+25847</f>
        <v>33965</v>
      </c>
      <c r="E37" s="221"/>
      <c r="F37" s="219"/>
      <c r="G37" s="220"/>
      <c r="H37" s="219">
        <v>36789</v>
      </c>
      <c r="I37" s="221"/>
      <c r="J37" s="219"/>
      <c r="K37" s="222"/>
      <c r="L37" s="223">
        <f t="shared" si="1"/>
        <v>70754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56011</v>
      </c>
      <c r="E38" s="221"/>
      <c r="F38" s="219"/>
      <c r="G38" s="220">
        <v>3736</v>
      </c>
      <c r="H38" s="219"/>
      <c r="I38" s="221"/>
      <c r="J38" s="219"/>
      <c r="K38" s="222"/>
      <c r="L38" s="223">
        <f t="shared" si="1"/>
        <v>59747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>
        <v>3226</v>
      </c>
      <c r="H43" s="219"/>
      <c r="I43" s="221"/>
      <c r="J43" s="219"/>
      <c r="K43" s="222"/>
      <c r="L43" s="223">
        <f t="shared" si="1"/>
        <v>3226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/>
      <c r="H44" s="219"/>
      <c r="I44" s="221"/>
      <c r="J44" s="219"/>
      <c r="K44" s="222"/>
      <c r="L44" s="223">
        <f t="shared" si="1"/>
        <v>0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>
        <v>43331</v>
      </c>
      <c r="H45" s="219"/>
      <c r="I45" s="221">
        <v>75258</v>
      </c>
      <c r="J45" s="219"/>
      <c r="K45" s="222"/>
      <c r="L45" s="223">
        <f t="shared" si="1"/>
        <v>118589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318102</v>
      </c>
      <c r="D48" s="364">
        <f t="shared" si="2"/>
        <v>1365336</v>
      </c>
      <c r="E48" s="366">
        <f t="shared" si="2"/>
        <v>20000</v>
      </c>
      <c r="F48" s="364">
        <f t="shared" si="2"/>
        <v>1373</v>
      </c>
      <c r="G48" s="365">
        <f t="shared" si="2"/>
        <v>477981</v>
      </c>
      <c r="H48" s="364">
        <f t="shared" si="2"/>
        <v>38924</v>
      </c>
      <c r="I48" s="366">
        <f t="shared" si="2"/>
        <v>163454</v>
      </c>
      <c r="J48" s="364">
        <f t="shared" si="2"/>
        <v>26051</v>
      </c>
      <c r="K48" s="456">
        <f t="shared" si="2"/>
        <v>409439</v>
      </c>
      <c r="L48" s="405">
        <f>SUM(C48:K48)</f>
        <v>2820660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318102</v>
      </c>
      <c r="D60" s="364">
        <f>SUM(D48:D59)</f>
        <v>1365336</v>
      </c>
      <c r="E60" s="366">
        <f t="shared" ref="E60:K60" si="4">SUM(E48:E59)</f>
        <v>20000</v>
      </c>
      <c r="F60" s="364">
        <f>SUM(F48:F59)</f>
        <v>1373</v>
      </c>
      <c r="G60" s="365">
        <f t="shared" si="4"/>
        <v>477981</v>
      </c>
      <c r="H60" s="362">
        <f t="shared" si="4"/>
        <v>38924</v>
      </c>
      <c r="I60" s="363">
        <f t="shared" si="4"/>
        <v>163454</v>
      </c>
      <c r="J60" s="364">
        <f t="shared" si="4"/>
        <v>26051</v>
      </c>
      <c r="K60" s="456">
        <f t="shared" si="4"/>
        <v>409439</v>
      </c>
      <c r="L60" s="409">
        <f>SUM(C60:K60)</f>
        <v>2820660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318102</v>
      </c>
      <c r="D66" s="422">
        <f>C60/L60</f>
        <v>0.11277573333900577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1365336</v>
      </c>
      <c r="D67" s="425">
        <f>D60/L60</f>
        <v>0.4840484142009317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1683438</v>
      </c>
      <c r="D68" s="428">
        <f>SUM(D66:D67)</f>
        <v>0.59682414753993751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20000</v>
      </c>
      <c r="D70" s="434">
        <f>E60/$L60</f>
        <v>7.090539093687293E-3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1373</v>
      </c>
      <c r="D71" s="434">
        <f>F60/L60</f>
        <v>4.8676550878163266E-4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477981</v>
      </c>
      <c r="D72" s="434">
        <f>G60/$L60</f>
        <v>0.1694571483269873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38924</v>
      </c>
      <c r="D73" s="437">
        <f>H60/$L60</f>
        <v>1.379960718413421E-2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538278</v>
      </c>
      <c r="D74" s="428">
        <f>SUM(D70:D73)</f>
        <v>0.19083406011359041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163454</v>
      </c>
      <c r="D76" s="422">
        <f>I60/L60</f>
        <v>5.7948848850978139E-2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26051</v>
      </c>
      <c r="D77" s="425">
        <f>J60/L60</f>
        <v>9.2357816964823841E-3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189505</v>
      </c>
      <c r="D78" s="428">
        <f>SUM(D76:D77)</f>
        <v>6.7184630547460517E-2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409439</v>
      </c>
      <c r="D80" s="428">
        <f>K60/L60</f>
        <v>0.14515716179901159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2820660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C48:J59 A5:L5 K11:K59 A11:B59 L6:L48">
    <cfRule type="expression" dxfId="106" priority="5">
      <formula>ROW()=EVEN(ROW())</formula>
    </cfRule>
  </conditionalFormatting>
  <conditionalFormatting sqref="L49:L59">
    <cfRule type="expression" dxfId="105" priority="3">
      <formula>ROW()=EVEN(ROW())</formula>
    </cfRule>
  </conditionalFormatting>
  <conditionalFormatting sqref="A6:K10">
    <cfRule type="expression" dxfId="104" priority="2">
      <formula>ROW()=EVEN(ROW())</formula>
    </cfRule>
  </conditionalFormatting>
  <printOptions horizontalCentered="1"/>
  <pageMargins left="0" right="0" top="0.98" bottom="0.6" header="0.3" footer="0.3"/>
  <pageSetup scale="65" firstPageNumber="22" fitToHeight="2" orientation="landscape" useFirstPageNumber="1" r:id="rId1"/>
  <headerFooter>
    <oddHeader>&amp;C&amp;"Arial,Bold"&amp;16Expenditures by Expenditure Code and Revenue Source
2017
COWLITZ</oddHeader>
  </headerFooter>
  <rowBreaks count="1" manualBreakCount="1">
    <brk id="4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D2" sqref="D2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2200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3.33</v>
      </c>
      <c r="D2" s="386"/>
      <c r="G2" s="382"/>
      <c r="H2" s="380"/>
      <c r="I2" s="380"/>
      <c r="J2" s="531" t="s">
        <v>143</v>
      </c>
      <c r="K2" s="531"/>
      <c r="L2" s="462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f>11890+8003</f>
        <v>19893</v>
      </c>
      <c r="D5" s="219">
        <v>2820</v>
      </c>
      <c r="E5" s="221"/>
      <c r="F5" s="219">
        <v>41989</v>
      </c>
      <c r="G5" s="220">
        <v>35375</v>
      </c>
      <c r="H5" s="219">
        <v>107</v>
      </c>
      <c r="I5" s="221">
        <v>10551</v>
      </c>
      <c r="J5" s="219"/>
      <c r="K5" s="222"/>
      <c r="L5" s="223">
        <f>SUM(C5:K5)</f>
        <v>110735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>
        <v>11</v>
      </c>
      <c r="G6" s="311"/>
      <c r="H6" s="299"/>
      <c r="I6" s="310"/>
      <c r="J6" s="299"/>
      <c r="K6" s="313"/>
      <c r="L6" s="223">
        <f t="shared" ref="L6:L10" si="0">SUM(C6:K6)</f>
        <v>11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/>
      <c r="H11" s="219"/>
      <c r="I11" s="221">
        <v>10041</v>
      </c>
      <c r="J11" s="219"/>
      <c r="K11" s="222"/>
      <c r="L11" s="223">
        <f t="shared" ref="L11:L47" si="1">SUM(C11:K11)</f>
        <v>10041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/>
      <c r="K12" s="222"/>
      <c r="L12" s="223">
        <f t="shared" si="1"/>
        <v>0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>
        <v>4739</v>
      </c>
      <c r="J13" s="219"/>
      <c r="K13" s="222"/>
      <c r="L13" s="223">
        <f t="shared" si="1"/>
        <v>4739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>
        <v>22306</v>
      </c>
      <c r="J16" s="219"/>
      <c r="K16" s="222"/>
      <c r="L16" s="464">
        <f t="shared" si="1"/>
        <v>22306</v>
      </c>
      <c r="M16" s="11"/>
    </row>
    <row r="17" spans="1:13" ht="15" customHeight="1" x14ac:dyDescent="0.25">
      <c r="A17" s="214">
        <v>562.29</v>
      </c>
      <c r="B17" s="350" t="s">
        <v>45</v>
      </c>
      <c r="C17" s="216">
        <v>3106</v>
      </c>
      <c r="D17" s="219"/>
      <c r="E17" s="221"/>
      <c r="F17" s="219"/>
      <c r="G17" s="220"/>
      <c r="H17" s="219"/>
      <c r="I17" s="221"/>
      <c r="J17" s="219"/>
      <c r="K17" s="222">
        <v>1800</v>
      </c>
      <c r="L17" s="223">
        <f t="shared" si="1"/>
        <v>4906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>
        <v>1369</v>
      </c>
      <c r="D18" s="219"/>
      <c r="E18" s="221"/>
      <c r="F18" s="219"/>
      <c r="G18" s="220"/>
      <c r="H18" s="219"/>
      <c r="I18" s="221">
        <f>299+413+1000</f>
        <v>1712</v>
      </c>
      <c r="J18" s="219"/>
      <c r="K18" s="222"/>
      <c r="L18" s="223">
        <f t="shared" si="1"/>
        <v>3081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0</v>
      </c>
      <c r="M19" s="11"/>
    </row>
    <row r="20" spans="1:13" ht="15" customHeight="1" x14ac:dyDescent="0.25">
      <c r="A20" s="214">
        <v>562.34</v>
      </c>
      <c r="B20" s="350" t="s">
        <v>12</v>
      </c>
      <c r="C20" s="216"/>
      <c r="D20" s="219"/>
      <c r="E20" s="221"/>
      <c r="F20" s="219"/>
      <c r="G20" s="220"/>
      <c r="H20" s="219"/>
      <c r="I20" s="221"/>
      <c r="J20" s="219"/>
      <c r="K20" s="222"/>
      <c r="L20" s="223">
        <f t="shared" si="1"/>
        <v>0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50" t="s">
        <v>14</v>
      </c>
      <c r="C22" s="216"/>
      <c r="D22" s="219"/>
      <c r="E22" s="221"/>
      <c r="F22" s="219"/>
      <c r="G22" s="220"/>
      <c r="H22" s="219"/>
      <c r="I22" s="221"/>
      <c r="J22" s="219"/>
      <c r="K22" s="222"/>
      <c r="L22" s="223">
        <f t="shared" si="1"/>
        <v>0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>
        <v>168</v>
      </c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168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>
        <v>3285</v>
      </c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3285</v>
      </c>
      <c r="M28" s="11"/>
    </row>
    <row r="29" spans="1:13" ht="15" customHeight="1" x14ac:dyDescent="0.25">
      <c r="A29" s="214">
        <v>562.52</v>
      </c>
      <c r="B29" s="350" t="s">
        <v>17</v>
      </c>
      <c r="C29" s="216">
        <v>322</v>
      </c>
      <c r="D29" s="219"/>
      <c r="E29" s="221"/>
      <c r="F29" s="219"/>
      <c r="G29" s="220"/>
      <c r="H29" s="219"/>
      <c r="I29" s="221"/>
      <c r="J29" s="219"/>
      <c r="K29" s="222"/>
      <c r="L29" s="223">
        <f t="shared" si="1"/>
        <v>322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/>
      <c r="E30" s="221"/>
      <c r="F30" s="219"/>
      <c r="G30" s="220"/>
      <c r="H30" s="219">
        <v>733</v>
      </c>
      <c r="I30" s="221"/>
      <c r="J30" s="219"/>
      <c r="K30" s="222"/>
      <c r="L30" s="223">
        <f t="shared" si="1"/>
        <v>733</v>
      </c>
      <c r="M30" s="11"/>
    </row>
    <row r="31" spans="1:13" ht="15" customHeight="1" x14ac:dyDescent="0.25">
      <c r="A31" s="214">
        <v>562.54</v>
      </c>
      <c r="B31" s="350" t="s">
        <v>59</v>
      </c>
      <c r="C31" s="216">
        <v>1689</v>
      </c>
      <c r="D31" s="219">
        <f>653+245+343+245+147</f>
        <v>1633</v>
      </c>
      <c r="E31" s="221"/>
      <c r="F31" s="219"/>
      <c r="G31" s="220"/>
      <c r="H31" s="219"/>
      <c r="I31" s="221"/>
      <c r="J31" s="219"/>
      <c r="K31" s="222"/>
      <c r="L31" s="223">
        <f t="shared" si="1"/>
        <v>3322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>
        <v>1494</v>
      </c>
      <c r="D33" s="219"/>
      <c r="E33" s="221"/>
      <c r="F33" s="219"/>
      <c r="G33" s="220"/>
      <c r="H33" s="219"/>
      <c r="I33" s="221"/>
      <c r="J33" s="219"/>
      <c r="K33" s="222"/>
      <c r="L33" s="223">
        <f t="shared" si="1"/>
        <v>1494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>
        <f>350+2339</f>
        <v>2689</v>
      </c>
      <c r="E34" s="221"/>
      <c r="F34" s="219"/>
      <c r="G34" s="220"/>
      <c r="H34" s="219"/>
      <c r="I34" s="221"/>
      <c r="J34" s="219"/>
      <c r="K34" s="222"/>
      <c r="L34" s="223">
        <f t="shared" si="1"/>
        <v>2689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0</v>
      </c>
      <c r="M35" s="11"/>
    </row>
    <row r="36" spans="1:13" ht="15" customHeight="1" x14ac:dyDescent="0.25">
      <c r="A36" s="214">
        <v>562.59</v>
      </c>
      <c r="B36" s="350" t="s">
        <v>48</v>
      </c>
      <c r="C36" s="216">
        <v>65</v>
      </c>
      <c r="D36" s="219">
        <v>25</v>
      </c>
      <c r="E36" s="221"/>
      <c r="F36" s="219"/>
      <c r="G36" s="220"/>
      <c r="H36" s="219"/>
      <c r="I36" s="221"/>
      <c r="J36" s="219"/>
      <c r="K36" s="222"/>
      <c r="L36" s="223">
        <f t="shared" si="1"/>
        <v>90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50" t="s">
        <v>21</v>
      </c>
      <c r="C38" s="216">
        <v>1109</v>
      </c>
      <c r="D38" s="219">
        <v>361</v>
      </c>
      <c r="E38" s="221"/>
      <c r="F38" s="219"/>
      <c r="G38" s="220"/>
      <c r="H38" s="219"/>
      <c r="I38" s="221"/>
      <c r="J38" s="219"/>
      <c r="K38" s="222"/>
      <c r="L38" s="223">
        <f t="shared" si="1"/>
        <v>1470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v>57779</v>
      </c>
      <c r="H44" s="219"/>
      <c r="I44" s="221"/>
      <c r="J44" s="219"/>
      <c r="K44" s="222"/>
      <c r="L44" s="223">
        <f t="shared" si="1"/>
        <v>57779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/>
      <c r="H45" s="219"/>
      <c r="I45" s="221">
        <v>9845</v>
      </c>
      <c r="J45" s="219"/>
      <c r="K45" s="222"/>
      <c r="L45" s="223">
        <f t="shared" si="1"/>
        <v>9845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32500</v>
      </c>
      <c r="D48" s="364">
        <f t="shared" si="2"/>
        <v>7528</v>
      </c>
      <c r="E48" s="459" t="s">
        <v>154</v>
      </c>
      <c r="F48" s="364">
        <f t="shared" si="2"/>
        <v>42000</v>
      </c>
      <c r="G48" s="365">
        <f t="shared" si="2"/>
        <v>93154</v>
      </c>
      <c r="H48" s="364">
        <f t="shared" si="2"/>
        <v>840</v>
      </c>
      <c r="I48" s="366">
        <f t="shared" si="2"/>
        <v>59194</v>
      </c>
      <c r="J48" s="465" t="s">
        <v>154</v>
      </c>
      <c r="K48" s="456">
        <f t="shared" si="2"/>
        <v>1800</v>
      </c>
      <c r="L48" s="405">
        <f>SUM(C48:K48)</f>
        <v>237016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32500</v>
      </c>
      <c r="D60" s="364">
        <f>SUM(D48:D59)</f>
        <v>7528</v>
      </c>
      <c r="E60" s="459" t="s">
        <v>154</v>
      </c>
      <c r="F60" s="364">
        <f>SUM(F48:F59)</f>
        <v>42000</v>
      </c>
      <c r="G60" s="365">
        <f t="shared" ref="G60:K60" si="4">SUM(G48:G59)</f>
        <v>93154</v>
      </c>
      <c r="H60" s="362">
        <f t="shared" si="4"/>
        <v>840</v>
      </c>
      <c r="I60" s="363">
        <f t="shared" si="4"/>
        <v>59194</v>
      </c>
      <c r="J60" s="465" t="s">
        <v>154</v>
      </c>
      <c r="K60" s="456">
        <f t="shared" si="4"/>
        <v>1800</v>
      </c>
      <c r="L60" s="409">
        <f>SUM(C60:K60)</f>
        <v>237016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32500</v>
      </c>
      <c r="D66" s="422">
        <f>C60/L60</f>
        <v>0.13712154453707767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7528</v>
      </c>
      <c r="D67" s="425">
        <f>D60/L60</f>
        <v>3.1761568839234484E-2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40028</v>
      </c>
      <c r="D68" s="428">
        <f>SUM(D66:D67)</f>
        <v>0.16888311337631215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60" t="str">
        <f>E60</f>
        <v>0</v>
      </c>
      <c r="D70" s="461" t="s">
        <v>155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0.17720322678637729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93154</v>
      </c>
      <c r="D72" s="434">
        <f>G60/$L60</f>
        <v>0.39302831876329025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840</v>
      </c>
      <c r="D73" s="437">
        <f>H60/$L60</f>
        <v>3.5440645357275456E-3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135994</v>
      </c>
      <c r="D74" s="428">
        <f>SUM(D70:D73)</f>
        <v>0.57377561008539513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59194</v>
      </c>
      <c r="D76" s="422">
        <f>I60/L60</f>
        <v>0.24974685253316231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66" t="str">
        <f>J60</f>
        <v>0</v>
      </c>
      <c r="D77" s="467" t="s">
        <v>155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59194</v>
      </c>
      <c r="D78" s="428">
        <f>SUM(D76:D77)</f>
        <v>0.24974685253316231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1800</v>
      </c>
      <c r="D80" s="428">
        <f>K60/L60</f>
        <v>7.5944240051304557E-3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237016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03" priority="5">
      <formula>ROW()=EVEN(ROW())</formula>
    </cfRule>
  </conditionalFormatting>
  <conditionalFormatting sqref="L49:L59">
    <cfRule type="expression" dxfId="102" priority="3">
      <formula>ROW()=EVEN(ROW())</formula>
    </cfRule>
  </conditionalFormatting>
  <conditionalFormatting sqref="L5:L10">
    <cfRule type="expression" dxfId="101" priority="4">
      <formula>ROW()=EVEN(ROW())</formula>
    </cfRule>
  </conditionalFormatting>
  <conditionalFormatting sqref="A6:K10">
    <cfRule type="expression" dxfId="100" priority="2">
      <formula>ROW()=EVEN(ROW())</formula>
    </cfRule>
  </conditionalFormatting>
  <printOptions horizontalCentered="1"/>
  <pageMargins left="0" right="0" top="0.98" bottom="0.6" header="0.3" footer="0.3"/>
  <pageSetup scale="65" firstPageNumber="24" fitToHeight="2" orientation="landscape" useFirstPageNumber="1" r:id="rId1"/>
  <headerFooter>
    <oddHeader>&amp;C&amp;"Arial,Bold"&amp;16Expenditures by Expenditure Code and Revenue Source
2017
GARFIELD</oddHeader>
  </headerFooter>
  <rowBreaks count="1" manualBreakCount="1">
    <brk id="4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F9" sqref="F9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95630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24</v>
      </c>
      <c r="D2" s="386"/>
      <c r="G2" s="382"/>
      <c r="H2" s="380"/>
      <c r="I2" s="380"/>
      <c r="J2" s="531" t="s">
        <v>143</v>
      </c>
      <c r="K2" s="531"/>
      <c r="L2" s="463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/>
      <c r="D5" s="219">
        <v>175</v>
      </c>
      <c r="E5" s="221"/>
      <c r="F5" s="219"/>
      <c r="G5" s="220">
        <v>85583</v>
      </c>
      <c r="H5" s="219"/>
      <c r="I5" s="221"/>
      <c r="J5" s="219"/>
      <c r="K5" s="222">
        <v>292</v>
      </c>
      <c r="L5" s="223">
        <f>SUM(C5:K5)</f>
        <v>86050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>
        <v>426</v>
      </c>
      <c r="H11" s="219"/>
      <c r="I11" s="221">
        <v>49981</v>
      </c>
      <c r="J11" s="219"/>
      <c r="K11" s="222">
        <v>2015</v>
      </c>
      <c r="L11" s="223">
        <f t="shared" ref="L11:L47" si="1">SUM(C11:K11)</f>
        <v>52422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>
        <v>28000</v>
      </c>
      <c r="J12" s="219"/>
      <c r="K12" s="222">
        <v>925</v>
      </c>
      <c r="L12" s="223">
        <f t="shared" si="1"/>
        <v>28925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>
        <v>3050</v>
      </c>
      <c r="E13" s="221"/>
      <c r="F13" s="219"/>
      <c r="G13" s="220">
        <v>996</v>
      </c>
      <c r="H13" s="219"/>
      <c r="I13" s="221">
        <v>65278</v>
      </c>
      <c r="J13" s="219"/>
      <c r="K13" s="222"/>
      <c r="L13" s="223">
        <f t="shared" si="1"/>
        <v>69324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>
        <v>1607</v>
      </c>
      <c r="E18" s="221"/>
      <c r="F18" s="219"/>
      <c r="G18" s="220">
        <v>26909</v>
      </c>
      <c r="H18" s="219"/>
      <c r="I18" s="221">
        <v>20505</v>
      </c>
      <c r="J18" s="219"/>
      <c r="K18" s="222"/>
      <c r="L18" s="223">
        <f t="shared" si="1"/>
        <v>49021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>
        <v>65053</v>
      </c>
      <c r="H19" s="219"/>
      <c r="I19" s="221"/>
      <c r="J19" s="219"/>
      <c r="K19" s="222"/>
      <c r="L19" s="223">
        <f t="shared" si="1"/>
        <v>65053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42550</v>
      </c>
      <c r="D20" s="219">
        <v>3801</v>
      </c>
      <c r="E20" s="221"/>
      <c r="F20" s="219"/>
      <c r="G20" s="220">
        <v>36837</v>
      </c>
      <c r="H20" s="219"/>
      <c r="I20" s="221"/>
      <c r="J20" s="219"/>
      <c r="K20" s="222"/>
      <c r="L20" s="223">
        <f t="shared" si="1"/>
        <v>83188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>
        <v>1390</v>
      </c>
      <c r="E21" s="221"/>
      <c r="F21" s="219"/>
      <c r="G21" s="220">
        <v>1456</v>
      </c>
      <c r="H21" s="219"/>
      <c r="I21" s="221"/>
      <c r="J21" s="219"/>
      <c r="K21" s="222"/>
      <c r="L21" s="223">
        <f t="shared" si="1"/>
        <v>2846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54092</v>
      </c>
      <c r="D22" s="219"/>
      <c r="E22" s="221"/>
      <c r="F22" s="219"/>
      <c r="G22" s="220">
        <v>80501</v>
      </c>
      <c r="H22" s="219"/>
      <c r="I22" s="221"/>
      <c r="J22" s="219"/>
      <c r="K22" s="222"/>
      <c r="L22" s="223">
        <f t="shared" si="1"/>
        <v>134593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>
        <v>23848</v>
      </c>
      <c r="D24" s="219"/>
      <c r="E24" s="221"/>
      <c r="F24" s="219"/>
      <c r="G24" s="220"/>
      <c r="H24" s="219"/>
      <c r="I24" s="221">
        <v>274365</v>
      </c>
      <c r="J24" s="219"/>
      <c r="K24" s="222"/>
      <c r="L24" s="223">
        <f t="shared" si="1"/>
        <v>298213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>
        <v>17182</v>
      </c>
      <c r="D26" s="219"/>
      <c r="E26" s="221">
        <v>266230</v>
      </c>
      <c r="F26" s="219"/>
      <c r="G26" s="220"/>
      <c r="H26" s="219"/>
      <c r="I26" s="221">
        <v>58340</v>
      </c>
      <c r="J26" s="219"/>
      <c r="K26" s="222"/>
      <c r="L26" s="223">
        <f t="shared" si="1"/>
        <v>341752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v>79491</v>
      </c>
      <c r="E29" s="221">
        <v>10000</v>
      </c>
      <c r="F29" s="219"/>
      <c r="G29" s="220"/>
      <c r="H29" s="219"/>
      <c r="I29" s="221"/>
      <c r="J29" s="219"/>
      <c r="K29" s="222"/>
      <c r="L29" s="223">
        <f t="shared" si="1"/>
        <v>89491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51633</v>
      </c>
      <c r="D30" s="219">
        <v>304000</v>
      </c>
      <c r="E30" s="221"/>
      <c r="F30" s="219"/>
      <c r="G30" s="220"/>
      <c r="H30" s="219">
        <v>22306</v>
      </c>
      <c r="I30" s="221"/>
      <c r="J30" s="219"/>
      <c r="K30" s="222">
        <v>42</v>
      </c>
      <c r="L30" s="223">
        <f t="shared" si="1"/>
        <v>377981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/>
      <c r="E31" s="221"/>
      <c r="F31" s="219"/>
      <c r="G31" s="220"/>
      <c r="H31" s="219"/>
      <c r="I31" s="221"/>
      <c r="J31" s="219"/>
      <c r="K31" s="222"/>
      <c r="L31" s="223">
        <f t="shared" si="1"/>
        <v>0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>
        <v>18535</v>
      </c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18535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>
        <v>8546</v>
      </c>
      <c r="D33" s="219">
        <v>347860</v>
      </c>
      <c r="E33" s="221"/>
      <c r="F33" s="219"/>
      <c r="G33" s="220"/>
      <c r="H33" s="219"/>
      <c r="I33" s="221"/>
      <c r="J33" s="219"/>
      <c r="K33" s="222">
        <v>11</v>
      </c>
      <c r="L33" s="223">
        <f t="shared" si="1"/>
        <v>356417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>
        <v>4204</v>
      </c>
      <c r="D35" s="219">
        <v>26156</v>
      </c>
      <c r="E35" s="221"/>
      <c r="F35" s="219"/>
      <c r="G35" s="220"/>
      <c r="H35" s="219"/>
      <c r="I35" s="221"/>
      <c r="J35" s="219"/>
      <c r="K35" s="222"/>
      <c r="L35" s="223">
        <f t="shared" si="1"/>
        <v>30360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>
        <v>681</v>
      </c>
      <c r="E36" s="221"/>
      <c r="F36" s="219"/>
      <c r="G36" s="220"/>
      <c r="H36" s="219"/>
      <c r="I36" s="221"/>
      <c r="J36" s="219"/>
      <c r="K36" s="222"/>
      <c r="L36" s="223">
        <f t="shared" si="1"/>
        <v>681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50" t="s">
        <v>21</v>
      </c>
      <c r="C38" s="216">
        <v>10420</v>
      </c>
      <c r="D38" s="219">
        <v>50103</v>
      </c>
      <c r="E38" s="221"/>
      <c r="F38" s="219">
        <v>8576</v>
      </c>
      <c r="G38" s="220"/>
      <c r="H38" s="219"/>
      <c r="I38" s="221"/>
      <c r="J38" s="219"/>
      <c r="K38" s="222"/>
      <c r="L38" s="223">
        <f t="shared" si="1"/>
        <v>69099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>
        <v>40000</v>
      </c>
      <c r="D40" s="219"/>
      <c r="E40" s="221"/>
      <c r="F40" s="219"/>
      <c r="G40" s="220"/>
      <c r="H40" s="219"/>
      <c r="I40" s="221"/>
      <c r="J40" s="219">
        <v>100430</v>
      </c>
      <c r="K40" s="222"/>
      <c r="L40" s="223">
        <f t="shared" si="1"/>
        <v>140430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>
        <v>35625</v>
      </c>
      <c r="G43" s="220"/>
      <c r="H43" s="219"/>
      <c r="I43" s="221"/>
      <c r="J43" s="219"/>
      <c r="K43" s="222"/>
      <c r="L43" s="223">
        <f t="shared" si="1"/>
        <v>35625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>
        <v>8092</v>
      </c>
      <c r="G44" s="220"/>
      <c r="H44" s="219"/>
      <c r="I44" s="221"/>
      <c r="J44" s="219"/>
      <c r="K44" s="222">
        <v>7668</v>
      </c>
      <c r="L44" s="223">
        <f t="shared" si="1"/>
        <v>15760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/>
      <c r="H45" s="219"/>
      <c r="I45" s="221">
        <v>55801</v>
      </c>
      <c r="J45" s="219"/>
      <c r="K45" s="222"/>
      <c r="L45" s="223">
        <f t="shared" si="1"/>
        <v>55801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271010</v>
      </c>
      <c r="D48" s="364">
        <f t="shared" si="2"/>
        <v>818314</v>
      </c>
      <c r="E48" s="366">
        <f t="shared" si="2"/>
        <v>276230</v>
      </c>
      <c r="F48" s="364">
        <f>SUM(F5:F47)</f>
        <v>52293</v>
      </c>
      <c r="G48" s="365">
        <f>SUM(G5:G47)</f>
        <v>297761</v>
      </c>
      <c r="H48" s="364">
        <f t="shared" si="2"/>
        <v>22306</v>
      </c>
      <c r="I48" s="366">
        <f t="shared" si="2"/>
        <v>552270</v>
      </c>
      <c r="J48" s="364">
        <f t="shared" si="2"/>
        <v>100430</v>
      </c>
      <c r="K48" s="456">
        <f t="shared" si="2"/>
        <v>10953</v>
      </c>
      <c r="L48" s="405">
        <f>SUM(C48:K48)</f>
        <v>2401567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271010</v>
      </c>
      <c r="D60" s="364">
        <f>SUM(D48:D59)</f>
        <v>818314</v>
      </c>
      <c r="E60" s="366">
        <f t="shared" ref="E60:K60" si="4">SUM(E48:E59)</f>
        <v>276230</v>
      </c>
      <c r="F60" s="364">
        <f t="shared" si="4"/>
        <v>52293</v>
      </c>
      <c r="G60" s="365">
        <f t="shared" si="4"/>
        <v>297761</v>
      </c>
      <c r="H60" s="362">
        <f t="shared" si="4"/>
        <v>22306</v>
      </c>
      <c r="I60" s="363">
        <f t="shared" si="4"/>
        <v>552270</v>
      </c>
      <c r="J60" s="364">
        <f t="shared" si="4"/>
        <v>100430</v>
      </c>
      <c r="K60" s="456">
        <f t="shared" si="4"/>
        <v>10953</v>
      </c>
      <c r="L60" s="409">
        <f>SUM(C60:K60)</f>
        <v>2401567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271010</v>
      </c>
      <c r="D66" s="422">
        <f>C60/L60</f>
        <v>0.11284715354599725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818314</v>
      </c>
      <c r="D67" s="425">
        <f>D60/L60</f>
        <v>0.34074169073775579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1089324</v>
      </c>
      <c r="D68" s="428">
        <f>SUM(D66:D67)</f>
        <v>0.45358884428375301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276230</v>
      </c>
      <c r="D70" s="434">
        <f>E60/$L60</f>
        <v>0.11502073437884515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60">
        <f>F60</f>
        <v>52293</v>
      </c>
      <c r="D71" s="469">
        <f>F60/L60</f>
        <v>2.1774533044466384E-2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60">
        <f>G60</f>
        <v>297761</v>
      </c>
      <c r="D72" s="469">
        <f>G60/L60</f>
        <v>0.12398613072214933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22306</v>
      </c>
      <c r="D73" s="437">
        <f>H60/$L60</f>
        <v>9.2881023098668487E-3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648590</v>
      </c>
      <c r="D74" s="428">
        <f>SUM(D70:D73)</f>
        <v>0.27006950045532774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552270</v>
      </c>
      <c r="D76" s="422">
        <f>I60/L60</f>
        <v>0.22996235374653298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66">
        <f>J60</f>
        <v>100430</v>
      </c>
      <c r="D77" s="422">
        <f>J60/L60</f>
        <v>4.181852931856575E-2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652700</v>
      </c>
      <c r="D78" s="428">
        <f>SUM(D76:D77)</f>
        <v>0.27178088306509873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>
        <v>0</v>
      </c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10953</v>
      </c>
      <c r="D80" s="428">
        <f>K60/L60</f>
        <v>4.560772195820479E-3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2401567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K11:K59 A11:B59 L11:L48 C48:J59">
    <cfRule type="expression" dxfId="99" priority="5">
      <formula>ROW()=EVEN(ROW())</formula>
    </cfRule>
  </conditionalFormatting>
  <conditionalFormatting sqref="L49:L59">
    <cfRule type="expression" dxfId="98" priority="3">
      <formula>ROW()=EVEN(ROW())</formula>
    </cfRule>
  </conditionalFormatting>
  <conditionalFormatting sqref="L5:L10">
    <cfRule type="expression" dxfId="97" priority="4">
      <formula>ROW()=EVEN(ROW())</formula>
    </cfRule>
  </conditionalFormatting>
  <conditionalFormatting sqref="A6:K10">
    <cfRule type="expression" dxfId="96" priority="2">
      <formula>ROW()=EVEN(ROW())</formula>
    </cfRule>
  </conditionalFormatting>
  <printOptions horizontalCentered="1"/>
  <pageMargins left="0" right="0" top="0.98" bottom="0.6" header="0.3" footer="0.3"/>
  <pageSetup scale="65" firstPageNumber="26" fitToHeight="2" orientation="landscape" useFirstPageNumber="1" r:id="rId1"/>
  <headerFooter>
    <oddHeader>&amp;C&amp;"Arial,Bold"&amp;16Expenditures by Expenditure Code and Revenue Source
2017
GRANT</oddHeader>
    <oddFooter>&amp;C&amp;"Times New Roman,Regular"&amp;12Page &amp;P</oddFooter>
  </headerFooter>
  <rowBreaks count="1" manualBreakCount="1">
    <brk id="48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I11" sqref="I11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72970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30.53</v>
      </c>
      <c r="D2" s="471"/>
      <c r="G2" s="382"/>
      <c r="H2" s="380"/>
      <c r="I2" s="380"/>
      <c r="J2" s="531" t="s">
        <v>143</v>
      </c>
      <c r="K2" s="531"/>
      <c r="L2" s="468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/>
      <c r="D5" s="219"/>
      <c r="E5" s="221"/>
      <c r="F5" s="219"/>
      <c r="G5" s="220"/>
      <c r="H5" s="219"/>
      <c r="I5" s="221"/>
      <c r="J5" s="219"/>
      <c r="K5" s="222">
        <f>101222+2568</f>
        <v>103790</v>
      </c>
      <c r="L5" s="223">
        <f>SUM(C5:K5)</f>
        <v>103790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>
        <v>1771</v>
      </c>
      <c r="D11" s="219"/>
      <c r="E11" s="221"/>
      <c r="F11" s="219"/>
      <c r="G11" s="220">
        <v>20571</v>
      </c>
      <c r="H11" s="219"/>
      <c r="I11" s="221"/>
      <c r="J11" s="219"/>
      <c r="K11" s="222"/>
      <c r="L11" s="223">
        <f t="shared" ref="L11:L47" si="1">SUM(C11:K11)</f>
        <v>22342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>
        <v>12310</v>
      </c>
      <c r="I12" s="231"/>
      <c r="J12" s="219">
        <v>12310</v>
      </c>
      <c r="K12" s="222">
        <f>6631+9651</f>
        <v>16282</v>
      </c>
      <c r="L12" s="223">
        <f t="shared" si="1"/>
        <v>40902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>
        <v>52176</v>
      </c>
      <c r="J13" s="219"/>
      <c r="K13" s="222">
        <v>7251</v>
      </c>
      <c r="L13" s="223">
        <f t="shared" si="1"/>
        <v>59427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>
        <f>198182+66711</f>
        <v>264893</v>
      </c>
      <c r="E14" s="221"/>
      <c r="F14" s="219"/>
      <c r="G14" s="220"/>
      <c r="H14" s="219"/>
      <c r="I14" s="221"/>
      <c r="J14" s="219"/>
      <c r="K14" s="222">
        <v>197678</v>
      </c>
      <c r="L14" s="223">
        <f t="shared" si="1"/>
        <v>462571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>
        <v>99925</v>
      </c>
      <c r="F15" s="219"/>
      <c r="G15" s="220"/>
      <c r="H15" s="219"/>
      <c r="I15" s="221">
        <v>40312</v>
      </c>
      <c r="J15" s="219"/>
      <c r="K15" s="222">
        <v>14024</v>
      </c>
      <c r="L15" s="223">
        <f t="shared" si="1"/>
        <v>154261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>
        <f>313345+328</f>
        <v>313673</v>
      </c>
      <c r="J16" s="219"/>
      <c r="K16" s="222">
        <v>137134</v>
      </c>
      <c r="L16" s="223">
        <f t="shared" si="1"/>
        <v>450807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>
        <v>135511</v>
      </c>
      <c r="I17" s="221"/>
      <c r="J17" s="219">
        <f>213884+112254</f>
        <v>326138</v>
      </c>
      <c r="K17" s="222">
        <f>118350+5860</f>
        <v>124210</v>
      </c>
      <c r="L17" s="223">
        <f t="shared" si="1"/>
        <v>585859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>
        <v>570</v>
      </c>
      <c r="E18" s="221"/>
      <c r="F18" s="219"/>
      <c r="G18" s="220"/>
      <c r="H18" s="219"/>
      <c r="I18" s="221"/>
      <c r="J18" s="219"/>
      <c r="K18" s="222">
        <v>15082</v>
      </c>
      <c r="L18" s="223">
        <f t="shared" si="1"/>
        <v>15652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0</v>
      </c>
      <c r="M19" s="11"/>
    </row>
    <row r="20" spans="1:13" ht="15" customHeight="1" x14ac:dyDescent="0.25">
      <c r="A20" s="214">
        <v>562.34</v>
      </c>
      <c r="B20" s="350" t="s">
        <v>12</v>
      </c>
      <c r="C20" s="216"/>
      <c r="D20" s="219"/>
      <c r="E20" s="221"/>
      <c r="F20" s="219"/>
      <c r="G20" s="220">
        <v>7852</v>
      </c>
      <c r="H20" s="219"/>
      <c r="I20" s="221"/>
      <c r="J20" s="219"/>
      <c r="K20" s="222"/>
      <c r="L20" s="223">
        <f t="shared" si="1"/>
        <v>7852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>
        <f>52855+75</f>
        <v>52930</v>
      </c>
      <c r="L21" s="223">
        <f t="shared" si="1"/>
        <v>52930</v>
      </c>
      <c r="M21" s="11"/>
    </row>
    <row r="22" spans="1:13" ht="15" customHeight="1" x14ac:dyDescent="0.25">
      <c r="A22" s="214">
        <v>562.39</v>
      </c>
      <c r="B22" s="350" t="s">
        <v>14</v>
      </c>
      <c r="C22" s="216"/>
      <c r="D22" s="219"/>
      <c r="E22" s="221"/>
      <c r="F22" s="219">
        <v>42000</v>
      </c>
      <c r="G22" s="220">
        <v>95470</v>
      </c>
      <c r="H22" s="219"/>
      <c r="I22" s="221"/>
      <c r="J22" s="219"/>
      <c r="K22" s="222"/>
      <c r="L22" s="223">
        <f t="shared" si="1"/>
        <v>137470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>
        <v>12715</v>
      </c>
      <c r="D27" s="219"/>
      <c r="E27" s="221"/>
      <c r="F27" s="219"/>
      <c r="G27" s="220"/>
      <c r="H27" s="219"/>
      <c r="I27" s="221">
        <v>198748</v>
      </c>
      <c r="J27" s="219"/>
      <c r="K27" s="222"/>
      <c r="L27" s="223">
        <f t="shared" si="1"/>
        <v>211463</v>
      </c>
      <c r="M27" s="11"/>
    </row>
    <row r="28" spans="1:13" ht="15" customHeight="1" x14ac:dyDescent="0.25">
      <c r="A28" s="214">
        <v>562.49</v>
      </c>
      <c r="B28" s="350" t="s">
        <v>46</v>
      </c>
      <c r="C28" s="216">
        <v>21777</v>
      </c>
      <c r="D28" s="219"/>
      <c r="E28" s="221"/>
      <c r="F28" s="219"/>
      <c r="G28" s="220"/>
      <c r="H28" s="219">
        <f>3545+27913</f>
        <v>31458</v>
      </c>
      <c r="I28" s="221"/>
      <c r="J28" s="219">
        <f>40752+40152+55591</f>
        <v>136495</v>
      </c>
      <c r="K28" s="222">
        <v>13853</v>
      </c>
      <c r="L28" s="223">
        <f t="shared" si="1"/>
        <v>203583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/>
      <c r="E29" s="221"/>
      <c r="F29" s="219"/>
      <c r="G29" s="220"/>
      <c r="H29" s="219"/>
      <c r="I29" s="221"/>
      <c r="J29" s="219"/>
      <c r="K29" s="222"/>
      <c r="L29" s="223">
        <f t="shared" si="1"/>
        <v>0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/>
      <c r="E30" s="221"/>
      <c r="F30" s="219"/>
      <c r="G30" s="220"/>
      <c r="H30" s="219"/>
      <c r="I30" s="221"/>
      <c r="J30" s="219"/>
      <c r="K30" s="222"/>
      <c r="L30" s="223">
        <f t="shared" si="1"/>
        <v>0</v>
      </c>
      <c r="M30" s="11"/>
    </row>
    <row r="31" spans="1:13" ht="15" customHeight="1" x14ac:dyDescent="0.25">
      <c r="A31" s="214">
        <v>562.54</v>
      </c>
      <c r="B31" s="350" t="s">
        <v>59</v>
      </c>
      <c r="C31" s="216">
        <v>0</v>
      </c>
      <c r="D31" s="219"/>
      <c r="E31" s="221"/>
      <c r="F31" s="219"/>
      <c r="G31" s="220"/>
      <c r="H31" s="219"/>
      <c r="I31" s="221"/>
      <c r="J31" s="219"/>
      <c r="K31" s="222"/>
      <c r="L31" s="223">
        <f t="shared" si="1"/>
        <v>0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/>
      <c r="E33" s="221"/>
      <c r="F33" s="219"/>
      <c r="G33" s="220"/>
      <c r="H33" s="219"/>
      <c r="I33" s="221"/>
      <c r="J33" s="219"/>
      <c r="K33" s="222"/>
      <c r="L33" s="223">
        <f t="shared" si="1"/>
        <v>0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0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50" t="s">
        <v>21</v>
      </c>
      <c r="C38" s="216">
        <v>58512</v>
      </c>
      <c r="D38" s="219">
        <v>31199</v>
      </c>
      <c r="E38" s="221"/>
      <c r="F38" s="219"/>
      <c r="G38" s="220"/>
      <c r="H38" s="219"/>
      <c r="I38" s="221"/>
      <c r="J38" s="219"/>
      <c r="K38" s="222"/>
      <c r="L38" s="223">
        <f t="shared" si="1"/>
        <v>89711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v>134705</v>
      </c>
      <c r="H44" s="219"/>
      <c r="I44" s="221">
        <v>18849</v>
      </c>
      <c r="J44" s="219"/>
      <c r="K44" s="222"/>
      <c r="L44" s="223">
        <f t="shared" si="1"/>
        <v>153554</v>
      </c>
      <c r="M44" s="11"/>
    </row>
    <row r="45" spans="1:13" ht="15" customHeight="1" x14ac:dyDescent="0.25">
      <c r="A45" s="214">
        <v>562.88</v>
      </c>
      <c r="B45" s="350" t="s">
        <v>50</v>
      </c>
      <c r="C45" s="216">
        <v>7237</v>
      </c>
      <c r="D45" s="219"/>
      <c r="E45" s="221"/>
      <c r="F45" s="219"/>
      <c r="G45" s="220"/>
      <c r="H45" s="219"/>
      <c r="I45" s="221">
        <v>58187</v>
      </c>
      <c r="J45" s="219"/>
      <c r="K45" s="222"/>
      <c r="L45" s="223">
        <f t="shared" si="1"/>
        <v>65424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102012</v>
      </c>
      <c r="D48" s="364">
        <f t="shared" si="2"/>
        <v>296662</v>
      </c>
      <c r="E48" s="366">
        <f t="shared" si="2"/>
        <v>99925</v>
      </c>
      <c r="F48" s="364">
        <f t="shared" si="2"/>
        <v>42000</v>
      </c>
      <c r="G48" s="365">
        <f t="shared" si="2"/>
        <v>258598</v>
      </c>
      <c r="H48" s="364">
        <f t="shared" si="2"/>
        <v>179279</v>
      </c>
      <c r="I48" s="366">
        <f t="shared" si="2"/>
        <v>681945</v>
      </c>
      <c r="J48" s="364">
        <f t="shared" si="2"/>
        <v>474943</v>
      </c>
      <c r="K48" s="456">
        <f t="shared" si="2"/>
        <v>682234</v>
      </c>
      <c r="L48" s="405">
        <f>SUM(C48:K48)</f>
        <v>2817598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102012</v>
      </c>
      <c r="D60" s="364">
        <f>SUM(D48:D59)</f>
        <v>296662</v>
      </c>
      <c r="E60" s="366">
        <f t="shared" ref="E60:K60" si="4">SUM(E48:E59)</f>
        <v>99925</v>
      </c>
      <c r="F60" s="364">
        <f>SUM(F48:F59)</f>
        <v>42000</v>
      </c>
      <c r="G60" s="365">
        <f t="shared" si="4"/>
        <v>258598</v>
      </c>
      <c r="H60" s="362">
        <f t="shared" si="4"/>
        <v>179279</v>
      </c>
      <c r="I60" s="363">
        <f t="shared" si="4"/>
        <v>681945</v>
      </c>
      <c r="J60" s="364">
        <f t="shared" si="4"/>
        <v>474943</v>
      </c>
      <c r="K60" s="456">
        <f t="shared" si="4"/>
        <v>682234</v>
      </c>
      <c r="L60" s="409">
        <f>SUM(C60:K60)</f>
        <v>2817598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102012</v>
      </c>
      <c r="D66" s="422">
        <f>C60/L60</f>
        <v>3.6205306789683978E-2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296662</v>
      </c>
      <c r="D67" s="425">
        <f>D60/L60</f>
        <v>0.10528897308984461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398674</v>
      </c>
      <c r="D68" s="428">
        <f>SUM(D66:D67)</f>
        <v>0.14149427987952859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99925</v>
      </c>
      <c r="D70" s="434">
        <f>E60/$L60</f>
        <v>3.5464604957839978E-2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1.4906313817656032E-2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258598</v>
      </c>
      <c r="D72" s="434">
        <f>G60/$L60</f>
        <v>9.1779593824243208E-2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179279</v>
      </c>
      <c r="D73" s="437">
        <f>H60/$L60</f>
        <v>6.3628310355132278E-2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579802</v>
      </c>
      <c r="D74" s="428">
        <f>SUM(D70:D73)</f>
        <v>0.20577882295487149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681945</v>
      </c>
      <c r="D76" s="422">
        <f>I60/L60</f>
        <v>0.2420306232471772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474943</v>
      </c>
      <c r="D77" s="425">
        <f>J60/L60</f>
        <v>0.16856308103569068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1156888</v>
      </c>
      <c r="D78" s="428">
        <f>SUM(D76:D77)</f>
        <v>0.4105937042828679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682234</v>
      </c>
      <c r="D80" s="428">
        <f>K60/L60</f>
        <v>0.24213319288273202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2817598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95" priority="5">
      <formula>ROW()=EVEN(ROW())</formula>
    </cfRule>
  </conditionalFormatting>
  <conditionalFormatting sqref="L49:L59">
    <cfRule type="expression" dxfId="94" priority="3">
      <formula>ROW()=EVEN(ROW())</formula>
    </cfRule>
  </conditionalFormatting>
  <conditionalFormatting sqref="L5:L10">
    <cfRule type="expression" dxfId="93" priority="4">
      <formula>ROW()=EVEN(ROW())</formula>
    </cfRule>
  </conditionalFormatting>
  <conditionalFormatting sqref="A6:K10">
    <cfRule type="expression" dxfId="92" priority="2">
      <formula>ROW()=EVEN(ROW())</formula>
    </cfRule>
  </conditionalFormatting>
  <printOptions horizontalCentered="1"/>
  <pageMargins left="0" right="0" top="0.98" bottom="0.6" header="0.3" footer="0.3"/>
  <pageSetup scale="65" firstPageNumber="28" fitToHeight="2" orientation="landscape" useFirstPageNumber="1" r:id="rId1"/>
  <headerFooter>
    <oddHeader>&amp;C&amp;"Arial,Bold"&amp;16Expenditures by Expenditure Code and Revenue Source
2017
GRAYS HARBOR</oddHeader>
  </headerFooter>
  <rowBreaks count="1" manualBreakCount="1">
    <brk id="48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C4" sqref="C4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82790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38.5</v>
      </c>
      <c r="D2" s="386"/>
      <c r="G2" s="382"/>
      <c r="H2" s="380"/>
      <c r="I2" s="380"/>
      <c r="J2" s="531" t="s">
        <v>143</v>
      </c>
      <c r="K2" s="531"/>
      <c r="L2" s="470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3.9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f>254310+100000</f>
        <v>354310</v>
      </c>
      <c r="D5" s="219">
        <f>40+674+24450</f>
        <v>25164</v>
      </c>
      <c r="E5" s="221"/>
      <c r="F5" s="219"/>
      <c r="G5" s="220"/>
      <c r="H5" s="219"/>
      <c r="I5" s="221"/>
      <c r="J5" s="219">
        <v>36723</v>
      </c>
      <c r="K5" s="222"/>
      <c r="L5" s="223">
        <f>SUM(C5:K5)</f>
        <v>416197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>
        <f>20000+38742</f>
        <v>58742</v>
      </c>
      <c r="D11" s="219">
        <v>19015</v>
      </c>
      <c r="E11" s="221"/>
      <c r="F11" s="219"/>
      <c r="G11" s="220"/>
      <c r="H11" s="219"/>
      <c r="I11" s="221">
        <v>62576</v>
      </c>
      <c r="J11" s="219"/>
      <c r="K11" s="222"/>
      <c r="L11" s="223">
        <f t="shared" ref="L11:L48" si="1">SUM(C11:K11)</f>
        <v>140333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>
        <v>9630</v>
      </c>
      <c r="I12" s="231"/>
      <c r="J12" s="219">
        <v>9630</v>
      </c>
      <c r="K12" s="222"/>
      <c r="L12" s="223">
        <f t="shared" si="1"/>
        <v>19260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>
        <v>70145</v>
      </c>
      <c r="D16" s="219"/>
      <c r="E16" s="221"/>
      <c r="F16" s="219"/>
      <c r="G16" s="220"/>
      <c r="H16" s="219"/>
      <c r="I16" s="221">
        <f>282093+12641+598</f>
        <v>295332</v>
      </c>
      <c r="J16" s="219"/>
      <c r="K16" s="222"/>
      <c r="L16" s="223">
        <f t="shared" si="1"/>
        <v>365477</v>
      </c>
      <c r="M16" s="11"/>
    </row>
    <row r="17" spans="1:13" ht="15" customHeight="1" x14ac:dyDescent="0.25">
      <c r="A17" s="214">
        <v>562.29</v>
      </c>
      <c r="B17" s="350" t="s">
        <v>45</v>
      </c>
      <c r="C17" s="216">
        <v>3775</v>
      </c>
      <c r="D17" s="219">
        <v>455</v>
      </c>
      <c r="E17" s="221"/>
      <c r="F17" s="219"/>
      <c r="G17" s="220"/>
      <c r="H17" s="219"/>
      <c r="I17" s="221"/>
      <c r="J17" s="219"/>
      <c r="K17" s="222"/>
      <c r="L17" s="223">
        <f t="shared" si="1"/>
        <v>4230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>
        <v>30000</v>
      </c>
      <c r="D18" s="219">
        <f>110+3109+22658</f>
        <v>25877</v>
      </c>
      <c r="E18" s="221"/>
      <c r="F18" s="219"/>
      <c r="G18" s="220">
        <v>46665</v>
      </c>
      <c r="H18" s="219"/>
      <c r="I18" s="221">
        <f>5418+1576+2800+3103</f>
        <v>12897</v>
      </c>
      <c r="J18" s="219"/>
      <c r="K18" s="222"/>
      <c r="L18" s="223">
        <f t="shared" si="1"/>
        <v>115439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>
        <v>9657</v>
      </c>
      <c r="H19" s="219"/>
      <c r="I19" s="221"/>
      <c r="J19" s="219"/>
      <c r="K19" s="222"/>
      <c r="L19" s="223">
        <f t="shared" si="1"/>
        <v>9657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30000</v>
      </c>
      <c r="D20" s="219">
        <f>689+3204</f>
        <v>3893</v>
      </c>
      <c r="E20" s="221"/>
      <c r="F20" s="219"/>
      <c r="G20" s="220"/>
      <c r="H20" s="219"/>
      <c r="I20" s="221"/>
      <c r="J20" s="219"/>
      <c r="K20" s="222"/>
      <c r="L20" s="223">
        <f t="shared" si="1"/>
        <v>33893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30000</v>
      </c>
      <c r="D22" s="219"/>
      <c r="E22" s="221"/>
      <c r="F22" s="219">
        <v>46238</v>
      </c>
      <c r="G22" s="220">
        <f>40795+43722</f>
        <v>84517</v>
      </c>
      <c r="H22" s="219"/>
      <c r="I22" s="221"/>
      <c r="J22" s="219"/>
      <c r="K22" s="222"/>
      <c r="L22" s="223">
        <f t="shared" si="1"/>
        <v>160755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>
        <v>12311</v>
      </c>
      <c r="H26" s="219">
        <v>6639</v>
      </c>
      <c r="I26" s="221"/>
      <c r="J26" s="219"/>
      <c r="K26" s="222"/>
      <c r="L26" s="223">
        <f t="shared" si="1"/>
        <v>18950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>
        <f>22535+4432</f>
        <v>26967</v>
      </c>
      <c r="H28" s="219"/>
      <c r="I28" s="221"/>
      <c r="J28" s="219"/>
      <c r="K28" s="222"/>
      <c r="L28" s="223">
        <f t="shared" si="1"/>
        <v>26967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f>104138+10500+500</f>
        <v>115138</v>
      </c>
      <c r="E29" s="221">
        <v>20000</v>
      </c>
      <c r="F29" s="219"/>
      <c r="G29" s="220"/>
      <c r="H29" s="219"/>
      <c r="I29" s="221"/>
      <c r="J29" s="219"/>
      <c r="K29" s="222"/>
      <c r="L29" s="223">
        <f t="shared" si="1"/>
        <v>135138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>
        <f>109470+2622</f>
        <v>112092</v>
      </c>
      <c r="E30" s="221"/>
      <c r="F30" s="219"/>
      <c r="G30" s="220"/>
      <c r="H30" s="219">
        <f>5045+11822</f>
        <v>16867</v>
      </c>
      <c r="I30" s="221"/>
      <c r="J30" s="219"/>
      <c r="K30" s="222"/>
      <c r="L30" s="223">
        <f t="shared" si="1"/>
        <v>128959</v>
      </c>
      <c r="M30" s="11"/>
    </row>
    <row r="31" spans="1:13" ht="15" customHeight="1" x14ac:dyDescent="0.25">
      <c r="A31" s="214">
        <v>562.54</v>
      </c>
      <c r="B31" s="350" t="s">
        <v>59</v>
      </c>
      <c r="C31" s="216">
        <v>0</v>
      </c>
      <c r="D31" s="219">
        <v>719699</v>
      </c>
      <c r="E31" s="221">
        <v>71859</v>
      </c>
      <c r="F31" s="219"/>
      <c r="G31" s="220"/>
      <c r="H31" s="219"/>
      <c r="I31" s="221">
        <v>72824</v>
      </c>
      <c r="J31" s="219"/>
      <c r="K31" s="222"/>
      <c r="L31" s="223">
        <f t="shared" si="1"/>
        <v>864382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>
        <v>255290</v>
      </c>
      <c r="E33" s="221"/>
      <c r="F33" s="219"/>
      <c r="G33" s="220"/>
      <c r="H33" s="219"/>
      <c r="I33" s="221"/>
      <c r="J33" s="219"/>
      <c r="K33" s="222"/>
      <c r="L33" s="223">
        <f t="shared" si="1"/>
        <v>255290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>
        <v>28481</v>
      </c>
      <c r="E35" s="221"/>
      <c r="F35" s="219"/>
      <c r="G35" s="220"/>
      <c r="H35" s="219"/>
      <c r="I35" s="221"/>
      <c r="J35" s="219"/>
      <c r="K35" s="222">
        <v>600</v>
      </c>
      <c r="L35" s="223">
        <f t="shared" si="1"/>
        <v>29081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>
        <v>138215</v>
      </c>
      <c r="E37" s="221">
        <v>3376</v>
      </c>
      <c r="F37" s="219"/>
      <c r="G37" s="220"/>
      <c r="H37" s="219"/>
      <c r="I37" s="221">
        <v>11147</v>
      </c>
      <c r="J37" s="219"/>
      <c r="K37" s="222"/>
      <c r="L37" s="223">
        <f t="shared" si="1"/>
        <v>152738</v>
      </c>
      <c r="M37" s="11"/>
    </row>
    <row r="38" spans="1:13" ht="15" customHeight="1" x14ac:dyDescent="0.25">
      <c r="A38" s="214">
        <v>562.71</v>
      </c>
      <c r="B38" s="350" t="s">
        <v>21</v>
      </c>
      <c r="C38" s="216">
        <v>60000</v>
      </c>
      <c r="D38" s="219">
        <v>27090</v>
      </c>
      <c r="E38" s="221"/>
      <c r="F38" s="219"/>
      <c r="G38" s="220"/>
      <c r="H38" s="219"/>
      <c r="I38" s="221"/>
      <c r="J38" s="219"/>
      <c r="K38" s="222"/>
      <c r="L38" s="223">
        <f t="shared" si="1"/>
        <v>87090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>
        <v>25136</v>
      </c>
      <c r="K40" s="222"/>
      <c r="L40" s="223">
        <f t="shared" si="1"/>
        <v>25136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>
        <v>8000</v>
      </c>
      <c r="E44" s="221"/>
      <c r="F44" s="219"/>
      <c r="G44" s="220">
        <v>87418</v>
      </c>
      <c r="H44" s="219"/>
      <c r="I44" s="221"/>
      <c r="J44" s="219"/>
      <c r="K44" s="222"/>
      <c r="L44" s="223">
        <f t="shared" si="1"/>
        <v>95418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/>
      <c r="H45" s="219"/>
      <c r="I45" s="221">
        <v>32202</v>
      </c>
      <c r="J45" s="219"/>
      <c r="K45" s="222"/>
      <c r="L45" s="223">
        <f t="shared" si="1"/>
        <v>32202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>
        <v>43657</v>
      </c>
      <c r="E46" s="221"/>
      <c r="F46" s="219"/>
      <c r="G46" s="220"/>
      <c r="H46" s="219"/>
      <c r="I46" s="221"/>
      <c r="J46" s="219"/>
      <c r="K46" s="222">
        <f>200+197</f>
        <v>397</v>
      </c>
      <c r="L46" s="223">
        <f t="shared" si="1"/>
        <v>44054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636972</v>
      </c>
      <c r="D48" s="364">
        <f t="shared" si="2"/>
        <v>1522066</v>
      </c>
      <c r="E48" s="366">
        <f t="shared" si="2"/>
        <v>95235</v>
      </c>
      <c r="F48" s="364">
        <f t="shared" si="2"/>
        <v>46238</v>
      </c>
      <c r="G48" s="365">
        <f t="shared" si="2"/>
        <v>267535</v>
      </c>
      <c r="H48" s="364">
        <f t="shared" si="2"/>
        <v>33136</v>
      </c>
      <c r="I48" s="366">
        <f t="shared" si="2"/>
        <v>486978</v>
      </c>
      <c r="J48" s="364">
        <f t="shared" si="2"/>
        <v>71489</v>
      </c>
      <c r="K48" s="456">
        <f t="shared" si="2"/>
        <v>997</v>
      </c>
      <c r="L48" s="405">
        <f t="shared" si="1"/>
        <v>3160646</v>
      </c>
      <c r="M48" s="11"/>
    </row>
    <row r="49" spans="1:13" ht="15" customHeight="1" x14ac:dyDescent="0.25">
      <c r="A49" s="214">
        <v>522.9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/>
      <c r="D53" s="219">
        <v>212638</v>
      </c>
      <c r="E53" s="221"/>
      <c r="F53" s="219"/>
      <c r="G53" s="220"/>
      <c r="H53" s="217">
        <f>42014+55582</f>
        <v>97596</v>
      </c>
      <c r="I53" s="218"/>
      <c r="J53" s="219">
        <v>240124</v>
      </c>
      <c r="K53" s="222"/>
      <c r="L53" s="223">
        <f t="shared" si="3"/>
        <v>550358</v>
      </c>
      <c r="M53" s="11"/>
    </row>
    <row r="54" spans="1:13" ht="1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/>
      <c r="D57" s="219"/>
      <c r="E57" s="221"/>
      <c r="F57" s="219"/>
      <c r="G57" s="220"/>
      <c r="H57" s="217"/>
      <c r="I57" s="218"/>
      <c r="J57" s="219"/>
      <c r="K57" s="222">
        <v>15681</v>
      </c>
      <c r="L57" s="223">
        <f t="shared" si="3"/>
        <v>15681</v>
      </c>
      <c r="M57" s="11"/>
    </row>
    <row r="58" spans="1:13" ht="1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636972</v>
      </c>
      <c r="D60" s="364">
        <f>SUM(D48:D59)</f>
        <v>1734704</v>
      </c>
      <c r="E60" s="366">
        <f t="shared" ref="E60:K60" si="4">SUM(E48:E59)</f>
        <v>95235</v>
      </c>
      <c r="F60" s="364">
        <f>SUM(F48:F59)</f>
        <v>46238</v>
      </c>
      <c r="G60" s="365">
        <f t="shared" si="4"/>
        <v>267535</v>
      </c>
      <c r="H60" s="362">
        <f t="shared" si="4"/>
        <v>130732</v>
      </c>
      <c r="I60" s="363">
        <f t="shared" si="4"/>
        <v>486978</v>
      </c>
      <c r="J60" s="364">
        <f t="shared" si="4"/>
        <v>311613</v>
      </c>
      <c r="K60" s="456">
        <f t="shared" si="4"/>
        <v>16678</v>
      </c>
      <c r="L60" s="409">
        <f>SUM(C60:K60)</f>
        <v>3726685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636972</v>
      </c>
      <c r="D66" s="422">
        <f>C60/L60</f>
        <v>0.17092187829129643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1734704</v>
      </c>
      <c r="D67" s="425">
        <f>D60/L60</f>
        <v>0.46548178877474217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2371676</v>
      </c>
      <c r="D68" s="428">
        <f>SUM(D66:D67)</f>
        <v>0.63640366706603857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95235</v>
      </c>
      <c r="D70" s="434">
        <f>E60/$L60</f>
        <v>2.555488322731865E-2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46238</v>
      </c>
      <c r="D71" s="434">
        <f>F60/L60</f>
        <v>1.2407273488368349E-2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267535</v>
      </c>
      <c r="D72" s="434">
        <f>G60/$L60</f>
        <v>7.1789002826909171E-2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130732</v>
      </c>
      <c r="D73" s="437">
        <f>H60/$L60</f>
        <v>3.5079970536817572E-2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539740</v>
      </c>
      <c r="D74" s="428">
        <f>SUM(D70:D73)</f>
        <v>0.14483113007941376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486978</v>
      </c>
      <c r="D76" s="422">
        <f>I60/L60</f>
        <v>0.13067323908513867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311613</v>
      </c>
      <c r="D77" s="425">
        <f>J60/L60</f>
        <v>8.3616672726565297E-2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798591</v>
      </c>
      <c r="D78" s="428">
        <f>SUM(D76:D77)</f>
        <v>0.21428991181170398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16678</v>
      </c>
      <c r="D80" s="428">
        <f>K60/L60</f>
        <v>4.475291042843707E-3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3726685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C48:J59 A5:L5 K11:K59 A11:B59 L6:L48">
    <cfRule type="expression" dxfId="91" priority="5">
      <formula>ROW()=EVEN(ROW())</formula>
    </cfRule>
  </conditionalFormatting>
  <conditionalFormatting sqref="L49:L59">
    <cfRule type="expression" dxfId="90" priority="3">
      <formula>ROW()=EVEN(ROW())</formula>
    </cfRule>
  </conditionalFormatting>
  <conditionalFormatting sqref="A6:K10">
    <cfRule type="expression" dxfId="89" priority="2">
      <formula>ROW()=EVEN(ROW())</formula>
    </cfRule>
  </conditionalFormatting>
  <printOptions horizontalCentered="1"/>
  <pageMargins left="0" right="0" top="0.98" bottom="0.6" header="0.3" footer="0.3"/>
  <pageSetup scale="65" firstPageNumber="30" fitToHeight="2" orientation="landscape" useFirstPageNumber="1" r:id="rId1"/>
  <headerFooter>
    <oddHeader>&amp;C&amp;"Arial,Bold"&amp;16Expenditures by Expenditure Code and Revenue Source
2017
ISLAND</oddHeader>
  </headerFooter>
  <rowBreaks count="1" manualBreakCount="1">
    <brk id="48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B26" sqref="B26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31360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31.09</v>
      </c>
      <c r="D2" s="386"/>
      <c r="G2" s="382"/>
      <c r="H2" s="380"/>
      <c r="I2" s="380"/>
      <c r="J2" s="531" t="s">
        <v>143</v>
      </c>
      <c r="K2" s="531"/>
      <c r="L2" s="472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f>337679+3760</f>
        <v>341439</v>
      </c>
      <c r="D5" s="219">
        <v>619264</v>
      </c>
      <c r="E5" s="221"/>
      <c r="F5" s="219"/>
      <c r="G5" s="220">
        <v>116311</v>
      </c>
      <c r="H5" s="219">
        <f>11579+6083</f>
        <v>17662</v>
      </c>
      <c r="I5" s="221"/>
      <c r="J5" s="219">
        <v>183460</v>
      </c>
      <c r="K5" s="222">
        <v>138</v>
      </c>
      <c r="L5" s="223">
        <f>SUM(C5:K5)</f>
        <v>1278274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>
        <v>48605</v>
      </c>
      <c r="D11" s="219">
        <v>120889</v>
      </c>
      <c r="E11" s="221"/>
      <c r="F11" s="219"/>
      <c r="G11" s="220"/>
      <c r="H11" s="219">
        <v>200104</v>
      </c>
      <c r="I11" s="221"/>
      <c r="J11" s="219">
        <v>7847</v>
      </c>
      <c r="K11" s="222">
        <f>500+127044</f>
        <v>127544</v>
      </c>
      <c r="L11" s="223">
        <f t="shared" ref="L11:L47" si="1">SUM(C11:K11)</f>
        <v>504989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/>
      <c r="K12" s="222"/>
      <c r="L12" s="223">
        <f t="shared" si="1"/>
        <v>0</v>
      </c>
      <c r="M12" s="11"/>
    </row>
    <row r="13" spans="1:13" ht="15" customHeight="1" x14ac:dyDescent="0.25">
      <c r="A13" s="214">
        <v>562.25</v>
      </c>
      <c r="B13" s="350" t="s">
        <v>52</v>
      </c>
      <c r="C13" s="216">
        <v>1491</v>
      </c>
      <c r="D13" s="219"/>
      <c r="E13" s="221"/>
      <c r="F13" s="219"/>
      <c r="G13" s="220"/>
      <c r="H13" s="219"/>
      <c r="I13" s="221">
        <v>31868</v>
      </c>
      <c r="J13" s="219"/>
      <c r="K13" s="222">
        <v>1828</v>
      </c>
      <c r="L13" s="223">
        <f t="shared" si="1"/>
        <v>35187</v>
      </c>
      <c r="M13" s="11"/>
    </row>
    <row r="14" spans="1:13" ht="15" customHeight="1" x14ac:dyDescent="0.25">
      <c r="A14" s="214">
        <v>562.26</v>
      </c>
      <c r="B14" s="350" t="s">
        <v>43</v>
      </c>
      <c r="C14" s="216">
        <v>80935</v>
      </c>
      <c r="D14" s="219">
        <f>6192+29366+98350</f>
        <v>133908</v>
      </c>
      <c r="E14" s="221">
        <v>67758</v>
      </c>
      <c r="F14" s="219"/>
      <c r="G14" s="220"/>
      <c r="H14" s="219"/>
      <c r="I14" s="221"/>
      <c r="J14" s="219">
        <f>33665+18247</f>
        <v>51912</v>
      </c>
      <c r="K14" s="222">
        <f>263+2295-612+107045</f>
        <v>108991</v>
      </c>
      <c r="L14" s="223">
        <f t="shared" si="1"/>
        <v>443504</v>
      </c>
      <c r="M14" s="11"/>
    </row>
    <row r="15" spans="1:13" ht="15" customHeight="1" x14ac:dyDescent="0.25">
      <c r="A15" s="214">
        <v>562.27</v>
      </c>
      <c r="B15" s="350" t="s">
        <v>44</v>
      </c>
      <c r="C15" s="216">
        <v>1300</v>
      </c>
      <c r="D15" s="219"/>
      <c r="E15" s="221"/>
      <c r="F15" s="219"/>
      <c r="G15" s="220"/>
      <c r="H15" s="219"/>
      <c r="I15" s="221">
        <v>25324</v>
      </c>
      <c r="J15" s="219"/>
      <c r="K15" s="222">
        <v>16314</v>
      </c>
      <c r="L15" s="223">
        <f t="shared" si="1"/>
        <v>42938</v>
      </c>
      <c r="M15" s="11"/>
    </row>
    <row r="16" spans="1:13" ht="15" customHeight="1" x14ac:dyDescent="0.25">
      <c r="A16" s="214">
        <v>562.28</v>
      </c>
      <c r="B16" s="350" t="s">
        <v>53</v>
      </c>
      <c r="C16" s="216">
        <v>3542</v>
      </c>
      <c r="D16" s="219"/>
      <c r="E16" s="221"/>
      <c r="F16" s="219"/>
      <c r="G16" s="220"/>
      <c r="H16" s="219"/>
      <c r="I16" s="221">
        <f>82555+498</f>
        <v>83053</v>
      </c>
      <c r="J16" s="219"/>
      <c r="K16" s="222">
        <v>71043</v>
      </c>
      <c r="L16" s="223">
        <f t="shared" si="1"/>
        <v>157638</v>
      </c>
      <c r="M16" s="11"/>
    </row>
    <row r="17" spans="1:13" ht="15" customHeight="1" x14ac:dyDescent="0.25">
      <c r="A17" s="214">
        <v>562.29</v>
      </c>
      <c r="B17" s="350" t="s">
        <v>45</v>
      </c>
      <c r="C17" s="216">
        <v>17641</v>
      </c>
      <c r="D17" s="219">
        <v>142028</v>
      </c>
      <c r="E17" s="221"/>
      <c r="F17" s="219"/>
      <c r="G17" s="220"/>
      <c r="H17" s="219"/>
      <c r="I17" s="221"/>
      <c r="J17" s="219">
        <f>5335+4000</f>
        <v>9335</v>
      </c>
      <c r="K17" s="222">
        <f>63+51042</f>
        <v>51105</v>
      </c>
      <c r="L17" s="223">
        <f t="shared" si="1"/>
        <v>220109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>
        <f>96246+4550</f>
        <v>100796</v>
      </c>
      <c r="D18" s="219">
        <v>65027</v>
      </c>
      <c r="E18" s="221"/>
      <c r="F18" s="219"/>
      <c r="G18" s="220">
        <v>37769</v>
      </c>
      <c r="H18" s="219"/>
      <c r="I18" s="221">
        <f>2800+915+700</f>
        <v>4415</v>
      </c>
      <c r="J18" s="219">
        <v>1000</v>
      </c>
      <c r="K18" s="222">
        <v>51209</v>
      </c>
      <c r="L18" s="223">
        <f t="shared" si="1"/>
        <v>260216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>
        <v>5056</v>
      </c>
      <c r="D19" s="219">
        <v>16369</v>
      </c>
      <c r="E19" s="221"/>
      <c r="F19" s="219"/>
      <c r="G19" s="220"/>
      <c r="H19" s="219"/>
      <c r="I19" s="221"/>
      <c r="J19" s="219"/>
      <c r="K19" s="222">
        <v>15252</v>
      </c>
      <c r="L19" s="223">
        <f t="shared" si="1"/>
        <v>36677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3960</v>
      </c>
      <c r="D20" s="219">
        <v>3910</v>
      </c>
      <c r="E20" s="221"/>
      <c r="F20" s="219"/>
      <c r="G20" s="220"/>
      <c r="H20" s="219"/>
      <c r="I20" s="221"/>
      <c r="J20" s="219"/>
      <c r="K20" s="222">
        <v>8360</v>
      </c>
      <c r="L20" s="223">
        <f t="shared" si="1"/>
        <v>16230</v>
      </c>
      <c r="M20" s="11"/>
    </row>
    <row r="21" spans="1:13" ht="15" customHeight="1" x14ac:dyDescent="0.25">
      <c r="A21" s="214">
        <v>562.35</v>
      </c>
      <c r="B21" s="350" t="s">
        <v>13</v>
      </c>
      <c r="C21" s="216">
        <v>3266</v>
      </c>
      <c r="D21" s="219"/>
      <c r="E21" s="221"/>
      <c r="F21" s="219"/>
      <c r="G21" s="220"/>
      <c r="H21" s="219"/>
      <c r="I21" s="221"/>
      <c r="J21" s="219"/>
      <c r="K21" s="222">
        <f>75+16000</f>
        <v>16075</v>
      </c>
      <c r="L21" s="223">
        <f t="shared" si="1"/>
        <v>19341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55170</v>
      </c>
      <c r="D22" s="219"/>
      <c r="E22" s="221"/>
      <c r="F22" s="219">
        <v>42000</v>
      </c>
      <c r="G22" s="220">
        <v>30000</v>
      </c>
      <c r="H22" s="219"/>
      <c r="I22" s="221"/>
      <c r="J22" s="219">
        <v>1000</v>
      </c>
      <c r="K22" s="222"/>
      <c r="L22" s="223">
        <f t="shared" si="1"/>
        <v>128170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>
        <v>1727</v>
      </c>
      <c r="K25" s="222">
        <v>2783</v>
      </c>
      <c r="L25" s="223">
        <f t="shared" si="1"/>
        <v>4510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>
        <v>7000</v>
      </c>
      <c r="E26" s="221"/>
      <c r="F26" s="219"/>
      <c r="G26" s="220"/>
      <c r="H26" s="219">
        <v>2028</v>
      </c>
      <c r="I26" s="221"/>
      <c r="J26" s="219">
        <f>1354+2460</f>
        <v>3814</v>
      </c>
      <c r="K26" s="222">
        <v>8896</v>
      </c>
      <c r="L26" s="223">
        <f t="shared" si="1"/>
        <v>21738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>
        <v>1107</v>
      </c>
      <c r="I28" s="221"/>
      <c r="J28" s="219"/>
      <c r="K28" s="222">
        <v>2789</v>
      </c>
      <c r="L28" s="223">
        <f t="shared" si="1"/>
        <v>3896</v>
      </c>
      <c r="M28" s="11"/>
    </row>
    <row r="29" spans="1:13" ht="15" customHeight="1" x14ac:dyDescent="0.25">
      <c r="A29" s="214">
        <v>562.52</v>
      </c>
      <c r="B29" s="350" t="s">
        <v>17</v>
      </c>
      <c r="C29" s="216">
        <v>27547</v>
      </c>
      <c r="D29" s="219">
        <v>29345</v>
      </c>
      <c r="E29" s="221"/>
      <c r="F29" s="219"/>
      <c r="G29" s="220"/>
      <c r="H29" s="219"/>
      <c r="I29" s="221"/>
      <c r="J29" s="219"/>
      <c r="K29" s="222">
        <v>10259</v>
      </c>
      <c r="L29" s="223">
        <f t="shared" si="1"/>
        <v>67151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40349</v>
      </c>
      <c r="D30" s="219">
        <v>11748</v>
      </c>
      <c r="E30" s="221"/>
      <c r="F30" s="219"/>
      <c r="G30" s="220"/>
      <c r="H30" s="219">
        <v>149329</v>
      </c>
      <c r="I30" s="221"/>
      <c r="J30" s="219"/>
      <c r="K30" s="222"/>
      <c r="L30" s="223">
        <f t="shared" si="1"/>
        <v>201426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>
        <v>427475</v>
      </c>
      <c r="E31" s="221">
        <v>32175</v>
      </c>
      <c r="F31" s="219"/>
      <c r="G31" s="220"/>
      <c r="H31" s="219"/>
      <c r="I31" s="221">
        <v>28971</v>
      </c>
      <c r="J31" s="219"/>
      <c r="K31" s="222">
        <f>5+7522</f>
        <v>7527</v>
      </c>
      <c r="L31" s="223">
        <f t="shared" si="1"/>
        <v>496148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>
        <v>111504</v>
      </c>
      <c r="E33" s="221"/>
      <c r="F33" s="219"/>
      <c r="G33" s="220"/>
      <c r="H33" s="219"/>
      <c r="I33" s="221"/>
      <c r="J33" s="219"/>
      <c r="K33" s="222">
        <v>37432</v>
      </c>
      <c r="L33" s="223">
        <f t="shared" si="1"/>
        <v>148936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>
        <v>1275</v>
      </c>
      <c r="D35" s="219">
        <f>4249+1436+612</f>
        <v>6297</v>
      </c>
      <c r="E35" s="221"/>
      <c r="F35" s="219"/>
      <c r="G35" s="220"/>
      <c r="H35" s="219"/>
      <c r="I35" s="221"/>
      <c r="J35" s="219"/>
      <c r="K35" s="222">
        <v>3221</v>
      </c>
      <c r="L35" s="223">
        <f t="shared" si="1"/>
        <v>10793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>
        <v>8689</v>
      </c>
      <c r="F37" s="219"/>
      <c r="G37" s="220"/>
      <c r="H37" s="219"/>
      <c r="I37" s="221">
        <v>8000</v>
      </c>
      <c r="J37" s="219"/>
      <c r="K37" s="222">
        <v>2314</v>
      </c>
      <c r="L37" s="223">
        <f t="shared" si="1"/>
        <v>19003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12390</v>
      </c>
      <c r="E38" s="221"/>
      <c r="F38" s="219"/>
      <c r="G38" s="220"/>
      <c r="H38" s="219"/>
      <c r="I38" s="221"/>
      <c r="J38" s="219"/>
      <c r="K38" s="222">
        <v>3286</v>
      </c>
      <c r="L38" s="223">
        <f t="shared" si="1"/>
        <v>15676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>
        <v>12942</v>
      </c>
      <c r="E44" s="221"/>
      <c r="F44" s="219"/>
      <c r="G44" s="220"/>
      <c r="H44" s="219"/>
      <c r="I44" s="221"/>
      <c r="J44" s="219"/>
      <c r="K44" s="222">
        <v>1387</v>
      </c>
      <c r="L44" s="223">
        <f t="shared" si="1"/>
        <v>14329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/>
      <c r="H45" s="219"/>
      <c r="I45" s="221">
        <v>26287</v>
      </c>
      <c r="J45" s="219"/>
      <c r="K45" s="222">
        <v>14632</v>
      </c>
      <c r="L45" s="223">
        <f t="shared" si="1"/>
        <v>40919</v>
      </c>
      <c r="M45" s="11"/>
    </row>
    <row r="46" spans="1:13" ht="15" customHeight="1" x14ac:dyDescent="0.25">
      <c r="A46" s="214">
        <v>562.9</v>
      </c>
      <c r="B46" s="350" t="s">
        <v>27</v>
      </c>
      <c r="C46" s="216">
        <v>900</v>
      </c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900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733272</v>
      </c>
      <c r="D48" s="364">
        <f t="shared" si="2"/>
        <v>1720096</v>
      </c>
      <c r="E48" s="366">
        <f t="shared" si="2"/>
        <v>108622</v>
      </c>
      <c r="F48" s="364">
        <f t="shared" si="2"/>
        <v>42000</v>
      </c>
      <c r="G48" s="365">
        <f t="shared" si="2"/>
        <v>184080</v>
      </c>
      <c r="H48" s="364">
        <f t="shared" si="2"/>
        <v>370230</v>
      </c>
      <c r="I48" s="366">
        <f t="shared" si="2"/>
        <v>207918</v>
      </c>
      <c r="J48" s="364">
        <f t="shared" si="2"/>
        <v>260095</v>
      </c>
      <c r="K48" s="456">
        <f t="shared" si="2"/>
        <v>562385</v>
      </c>
      <c r="L48" s="405">
        <f>SUM(C48:K48)</f>
        <v>4188698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>
        <v>1523</v>
      </c>
      <c r="I53" s="218"/>
      <c r="J53" s="219"/>
      <c r="K53" s="222">
        <v>591</v>
      </c>
      <c r="L53" s="223">
        <f t="shared" si="3"/>
        <v>2114</v>
      </c>
      <c r="M53" s="11"/>
    </row>
    <row r="54" spans="1:13" ht="1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794</v>
      </c>
      <c r="D57" s="219"/>
      <c r="E57" s="221"/>
      <c r="F57" s="219"/>
      <c r="G57" s="220"/>
      <c r="H57" s="217">
        <v>5464</v>
      </c>
      <c r="I57" s="218"/>
      <c r="J57" s="219">
        <v>113614</v>
      </c>
      <c r="K57" s="222">
        <v>37805</v>
      </c>
      <c r="L57" s="223">
        <f t="shared" si="3"/>
        <v>157677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56442</v>
      </c>
      <c r="D58" s="219">
        <v>265653</v>
      </c>
      <c r="E58" s="221"/>
      <c r="F58" s="219"/>
      <c r="G58" s="220"/>
      <c r="H58" s="217">
        <v>6879</v>
      </c>
      <c r="I58" s="218"/>
      <c r="J58" s="219"/>
      <c r="K58" s="222">
        <v>21827</v>
      </c>
      <c r="L58" s="223">
        <f t="shared" si="3"/>
        <v>350801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790508</v>
      </c>
      <c r="D60" s="364">
        <f>SUM(D48:D59)</f>
        <v>1985749</v>
      </c>
      <c r="E60" s="366">
        <f t="shared" ref="E60:K60" si="4">SUM(E48:E59)</f>
        <v>108622</v>
      </c>
      <c r="F60" s="364">
        <f>SUM(F48:F59)</f>
        <v>42000</v>
      </c>
      <c r="G60" s="365">
        <f t="shared" si="4"/>
        <v>184080</v>
      </c>
      <c r="H60" s="362">
        <f t="shared" si="4"/>
        <v>384096</v>
      </c>
      <c r="I60" s="363">
        <f t="shared" si="4"/>
        <v>207918</v>
      </c>
      <c r="J60" s="364">
        <f t="shared" si="4"/>
        <v>373709</v>
      </c>
      <c r="K60" s="456">
        <f t="shared" si="4"/>
        <v>622608</v>
      </c>
      <c r="L60" s="409">
        <f>SUM(C60:K60)</f>
        <v>4699290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790508</v>
      </c>
      <c r="D66" s="422">
        <f>C60/L60</f>
        <v>0.16821860323580795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1985749</v>
      </c>
      <c r="D67" s="425">
        <f>D60/L60</f>
        <v>0.42256362131300684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2776257</v>
      </c>
      <c r="D68" s="428">
        <f>SUM(D66:D67)</f>
        <v>0.59078222454881479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108622</v>
      </c>
      <c r="D70" s="434">
        <f>E60/$L60</f>
        <v>2.3114555603080466E-2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8.9375203488186519E-3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184080</v>
      </c>
      <c r="D72" s="434">
        <f>G60/$L60</f>
        <v>3.917187490025089E-2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384096</v>
      </c>
      <c r="D73" s="437">
        <f>H60/$L60</f>
        <v>8.1734900378567829E-2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718798</v>
      </c>
      <c r="D74" s="428">
        <f>SUM(D70:D73)</f>
        <v>0.15295885123071784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207918</v>
      </c>
      <c r="D76" s="422">
        <f>I60/L60</f>
        <v>4.4244556092516103E-2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373709</v>
      </c>
      <c r="D77" s="425">
        <f>J60/L60</f>
        <v>7.952456647706356E-2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581627</v>
      </c>
      <c r="D78" s="428">
        <f>SUM(D76:D77)</f>
        <v>0.12376912256957967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622608</v>
      </c>
      <c r="D80" s="428">
        <f>K60/L60</f>
        <v>0.1324898016508877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4699290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88" priority="5">
      <formula>ROW()=EVEN(ROW())</formula>
    </cfRule>
  </conditionalFormatting>
  <conditionalFormatting sqref="L49:L59">
    <cfRule type="expression" dxfId="87" priority="3">
      <formula>ROW()=EVEN(ROW())</formula>
    </cfRule>
  </conditionalFormatting>
  <conditionalFormatting sqref="L5:L10">
    <cfRule type="expression" dxfId="86" priority="4">
      <formula>ROW()=EVEN(ROW())</formula>
    </cfRule>
  </conditionalFormatting>
  <conditionalFormatting sqref="A6:K10">
    <cfRule type="expression" dxfId="85" priority="2">
      <formula>ROW()=EVEN(ROW())</formula>
    </cfRule>
  </conditionalFormatting>
  <printOptions horizontalCentered="1"/>
  <pageMargins left="0" right="0" top="0.98" bottom="0.6" header="0.3" footer="0.3"/>
  <pageSetup scale="65" firstPageNumber="32" fitToHeight="2" orientation="landscape" useFirstPageNumber="1" r:id="rId1"/>
  <headerFooter>
    <oddHeader>&amp;C&amp;"Arial,Bold"&amp;16Expenditures by Expenditure Code and Revenue Source
2017
JEFFERSON</oddHeader>
  </headerFooter>
  <rowBreaks count="1" manualBreakCount="1">
    <brk id="48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F9" sqref="F9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264300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95.6</v>
      </c>
      <c r="D2" s="386"/>
      <c r="G2" s="382"/>
      <c r="H2" s="380"/>
      <c r="I2" s="380"/>
      <c r="J2" s="531" t="s">
        <v>143</v>
      </c>
      <c r="K2" s="531"/>
      <c r="L2" s="473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435351</v>
      </c>
      <c r="D5" s="219">
        <v>110148</v>
      </c>
      <c r="E5" s="221"/>
      <c r="F5" s="219"/>
      <c r="G5" s="220">
        <v>20293</v>
      </c>
      <c r="H5" s="219"/>
      <c r="I5" s="221"/>
      <c r="J5" s="219">
        <v>9543</v>
      </c>
      <c r="K5" s="222">
        <v>59363</v>
      </c>
      <c r="L5" s="223">
        <f>SUM(C5:K5)</f>
        <v>634698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>
        <v>546498</v>
      </c>
      <c r="D11" s="219">
        <v>314038</v>
      </c>
      <c r="E11" s="221"/>
      <c r="F11" s="219"/>
      <c r="G11" s="220">
        <v>282787</v>
      </c>
      <c r="H11" s="219">
        <v>87791</v>
      </c>
      <c r="I11" s="221">
        <v>146571</v>
      </c>
      <c r="J11" s="219"/>
      <c r="K11" s="222">
        <v>103868</v>
      </c>
      <c r="L11" s="223">
        <f t="shared" ref="L11:L47" si="1">SUM(C11:K11)</f>
        <v>1481553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/>
      <c r="K12" s="222"/>
      <c r="L12" s="223">
        <f t="shared" si="1"/>
        <v>0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>
        <v>47529</v>
      </c>
      <c r="E14" s="221">
        <v>57416</v>
      </c>
      <c r="F14" s="219"/>
      <c r="G14" s="220"/>
      <c r="H14" s="219"/>
      <c r="I14" s="221"/>
      <c r="J14" s="219">
        <v>26217</v>
      </c>
      <c r="K14" s="222">
        <v>-25898</v>
      </c>
      <c r="L14" s="223">
        <f t="shared" si="1"/>
        <v>105264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>
        <v>30072</v>
      </c>
      <c r="J15" s="219"/>
      <c r="K15" s="222"/>
      <c r="L15" s="223">
        <f t="shared" si="1"/>
        <v>30072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" customHeight="1" x14ac:dyDescent="0.25">
      <c r="A17" s="214">
        <v>562.29</v>
      </c>
      <c r="B17" s="350" t="s">
        <v>45</v>
      </c>
      <c r="C17" s="216">
        <v>47278</v>
      </c>
      <c r="D17" s="219">
        <v>99472</v>
      </c>
      <c r="E17" s="221"/>
      <c r="F17" s="219"/>
      <c r="G17" s="220">
        <v>33582</v>
      </c>
      <c r="H17" s="219"/>
      <c r="I17" s="221"/>
      <c r="J17" s="219"/>
      <c r="K17" s="222">
        <v>9691</v>
      </c>
      <c r="L17" s="223">
        <f t="shared" si="1"/>
        <v>190023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>
        <v>146444</v>
      </c>
      <c r="D18" s="219">
        <v>247897</v>
      </c>
      <c r="E18" s="221"/>
      <c r="F18" s="219">
        <v>73673</v>
      </c>
      <c r="G18" s="220">
        <v>104021</v>
      </c>
      <c r="H18" s="219"/>
      <c r="I18" s="221">
        <v>42456</v>
      </c>
      <c r="J18" s="219"/>
      <c r="K18" s="222">
        <v>-43656</v>
      </c>
      <c r="L18" s="223">
        <f t="shared" si="1"/>
        <v>570835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>
        <v>115016</v>
      </c>
      <c r="D19" s="219">
        <v>82878</v>
      </c>
      <c r="E19" s="221">
        <v>30295</v>
      </c>
      <c r="F19" s="219">
        <v>73673</v>
      </c>
      <c r="G19" s="220">
        <v>81697</v>
      </c>
      <c r="H19" s="219"/>
      <c r="I19" s="221"/>
      <c r="J19" s="219"/>
      <c r="K19" s="222">
        <v>-50097</v>
      </c>
      <c r="L19" s="223">
        <f t="shared" si="1"/>
        <v>333462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99868</v>
      </c>
      <c r="D20" s="219">
        <v>22696</v>
      </c>
      <c r="E20" s="221"/>
      <c r="F20" s="219"/>
      <c r="G20" s="220"/>
      <c r="H20" s="219"/>
      <c r="I20" s="221"/>
      <c r="J20" s="219"/>
      <c r="K20" s="222">
        <v>-241</v>
      </c>
      <c r="L20" s="223">
        <f t="shared" si="1"/>
        <v>122323</v>
      </c>
      <c r="M20" s="11"/>
    </row>
    <row r="21" spans="1:13" ht="15" customHeight="1" x14ac:dyDescent="0.25">
      <c r="A21" s="214">
        <v>562.35</v>
      </c>
      <c r="B21" s="350" t="s">
        <v>13</v>
      </c>
      <c r="C21" s="216">
        <v>99277</v>
      </c>
      <c r="D21" s="219">
        <v>83577</v>
      </c>
      <c r="E21" s="221">
        <v>412756</v>
      </c>
      <c r="F21" s="219"/>
      <c r="G21" s="220">
        <v>70518</v>
      </c>
      <c r="H21" s="219">
        <v>5848</v>
      </c>
      <c r="I21" s="221"/>
      <c r="J21" s="219">
        <v>3476</v>
      </c>
      <c r="K21" s="222">
        <f>3+20349</f>
        <v>20352</v>
      </c>
      <c r="L21" s="223">
        <f t="shared" si="1"/>
        <v>695804</v>
      </c>
      <c r="M21" s="11"/>
    </row>
    <row r="22" spans="1:13" ht="15" customHeight="1" x14ac:dyDescent="0.25">
      <c r="A22" s="214">
        <v>562.39</v>
      </c>
      <c r="B22" s="350" t="s">
        <v>14</v>
      </c>
      <c r="C22" s="216"/>
      <c r="D22" s="219"/>
      <c r="E22" s="221"/>
      <c r="F22" s="219"/>
      <c r="G22" s="220"/>
      <c r="H22" s="219"/>
      <c r="I22" s="221"/>
      <c r="J22" s="219"/>
      <c r="K22" s="222"/>
      <c r="L22" s="223">
        <f t="shared" si="1"/>
        <v>0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>
        <v>153098</v>
      </c>
      <c r="D28" s="219"/>
      <c r="E28" s="221">
        <v>17608</v>
      </c>
      <c r="F28" s="219"/>
      <c r="G28" s="220">
        <v>108747</v>
      </c>
      <c r="H28" s="219"/>
      <c r="I28" s="221">
        <f>91172+337596</f>
        <v>428768</v>
      </c>
      <c r="J28" s="219"/>
      <c r="K28" s="222">
        <v>31381</v>
      </c>
      <c r="L28" s="223">
        <f t="shared" si="1"/>
        <v>739602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f>21505+308386</f>
        <v>329891</v>
      </c>
      <c r="E29" s="221">
        <v>10000</v>
      </c>
      <c r="F29" s="219"/>
      <c r="G29" s="220"/>
      <c r="H29" s="219">
        <v>22850</v>
      </c>
      <c r="I29" s="221"/>
      <c r="J29" s="219"/>
      <c r="K29" s="222">
        <v>42822</v>
      </c>
      <c r="L29" s="223">
        <f t="shared" si="1"/>
        <v>405563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>
        <v>556469</v>
      </c>
      <c r="E30" s="221"/>
      <c r="F30" s="219"/>
      <c r="G30" s="220"/>
      <c r="H30" s="219">
        <v>292090</v>
      </c>
      <c r="I30" s="221"/>
      <c r="J30" s="219"/>
      <c r="K30" s="222">
        <v>-7779</v>
      </c>
      <c r="L30" s="223">
        <f t="shared" si="1"/>
        <v>840780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>
        <v>1738828</v>
      </c>
      <c r="E31" s="221">
        <v>84414</v>
      </c>
      <c r="F31" s="219"/>
      <c r="G31" s="220"/>
      <c r="H31" s="219"/>
      <c r="I31" s="221">
        <v>51389</v>
      </c>
      <c r="J31" s="219"/>
      <c r="K31" s="222">
        <f>50+3992</f>
        <v>4042</v>
      </c>
      <c r="L31" s="223">
        <f t="shared" si="1"/>
        <v>1878673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>
        <v>67707</v>
      </c>
      <c r="D33" s="219">
        <v>837433</v>
      </c>
      <c r="E33" s="221">
        <v>20107</v>
      </c>
      <c r="F33" s="219"/>
      <c r="G33" s="220">
        <v>48093</v>
      </c>
      <c r="H33" s="219"/>
      <c r="I33" s="221">
        <v>4509</v>
      </c>
      <c r="J33" s="219">
        <f>11288+7200</f>
        <v>18488</v>
      </c>
      <c r="K33" s="222">
        <v>13878</v>
      </c>
      <c r="L33" s="223">
        <f t="shared" si="1"/>
        <v>1010215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0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50" t="s">
        <v>20</v>
      </c>
      <c r="C37" s="216">
        <f>1021035+126183</f>
        <v>1147218</v>
      </c>
      <c r="D37" s="219">
        <v>100</v>
      </c>
      <c r="E37" s="221"/>
      <c r="F37" s="219"/>
      <c r="G37" s="220">
        <v>89629</v>
      </c>
      <c r="H37" s="219">
        <v>37005</v>
      </c>
      <c r="I37" s="221">
        <v>13595</v>
      </c>
      <c r="J37" s="219">
        <v>43344</v>
      </c>
      <c r="K37" s="222">
        <f>36543+25864</f>
        <v>62407</v>
      </c>
      <c r="L37" s="223">
        <f t="shared" si="1"/>
        <v>1393298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137183</v>
      </c>
      <c r="E38" s="221"/>
      <c r="F38" s="219"/>
      <c r="G38" s="220"/>
      <c r="H38" s="219"/>
      <c r="I38" s="221"/>
      <c r="J38" s="219"/>
      <c r="K38" s="222"/>
      <c r="L38" s="223">
        <f t="shared" si="1"/>
        <v>137183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>
        <f>120523+128594</f>
        <v>249117</v>
      </c>
      <c r="D44" s="219"/>
      <c r="E44" s="221"/>
      <c r="F44" s="219"/>
      <c r="G44" s="220">
        <v>91342</v>
      </c>
      <c r="H44" s="219"/>
      <c r="I44" s="221"/>
      <c r="J44" s="219"/>
      <c r="K44" s="222">
        <v>26358</v>
      </c>
      <c r="L44" s="223">
        <f t="shared" si="1"/>
        <v>366817</v>
      </c>
      <c r="M44" s="11"/>
    </row>
    <row r="45" spans="1:13" ht="15" customHeight="1" x14ac:dyDescent="0.25">
      <c r="A45" s="214">
        <v>562.88</v>
      </c>
      <c r="B45" s="350" t="s">
        <v>50</v>
      </c>
      <c r="C45" s="216">
        <v>93998</v>
      </c>
      <c r="D45" s="219"/>
      <c r="E45" s="221"/>
      <c r="F45" s="219"/>
      <c r="G45" s="220">
        <v>66768</v>
      </c>
      <c r="H45" s="219"/>
      <c r="I45" s="221">
        <v>261337</v>
      </c>
      <c r="J45" s="219"/>
      <c r="K45" s="222">
        <v>19267</v>
      </c>
      <c r="L45" s="223">
        <f t="shared" si="1"/>
        <v>441370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3200870</v>
      </c>
      <c r="D48" s="364">
        <f t="shared" si="2"/>
        <v>4608139</v>
      </c>
      <c r="E48" s="366">
        <f t="shared" si="2"/>
        <v>632596</v>
      </c>
      <c r="F48" s="364">
        <f t="shared" si="2"/>
        <v>147346</v>
      </c>
      <c r="G48" s="365">
        <f t="shared" si="2"/>
        <v>997477</v>
      </c>
      <c r="H48" s="364">
        <f t="shared" si="2"/>
        <v>445584</v>
      </c>
      <c r="I48" s="366">
        <f t="shared" si="2"/>
        <v>978697</v>
      </c>
      <c r="J48" s="364">
        <f t="shared" si="2"/>
        <v>101068</v>
      </c>
      <c r="K48" s="456">
        <f t="shared" si="2"/>
        <v>265758</v>
      </c>
      <c r="L48" s="405">
        <f>SUM(C48:K48)</f>
        <v>11377535</v>
      </c>
      <c r="M48" s="11"/>
    </row>
    <row r="49" spans="1:13" ht="1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/>
      <c r="D51" s="219">
        <v>1809</v>
      </c>
      <c r="E51" s="221"/>
      <c r="F51" s="219"/>
      <c r="G51" s="220"/>
      <c r="H51" s="217"/>
      <c r="I51" s="218"/>
      <c r="J51" s="219"/>
      <c r="K51" s="222"/>
      <c r="L51" s="223">
        <f t="shared" si="3"/>
        <v>1809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/>
      <c r="D57" s="219"/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3200870</v>
      </c>
      <c r="D60" s="364">
        <f>SUM(D48:D59)</f>
        <v>4609948</v>
      </c>
      <c r="E60" s="366">
        <f t="shared" ref="E60:K60" si="4">SUM(E48:E59)</f>
        <v>632596</v>
      </c>
      <c r="F60" s="364">
        <f>SUM(F48:F59)</f>
        <v>147346</v>
      </c>
      <c r="G60" s="365">
        <f t="shared" si="4"/>
        <v>997477</v>
      </c>
      <c r="H60" s="362">
        <f t="shared" si="4"/>
        <v>445584</v>
      </c>
      <c r="I60" s="363">
        <f t="shared" si="4"/>
        <v>978697</v>
      </c>
      <c r="J60" s="364">
        <f t="shared" si="4"/>
        <v>101068</v>
      </c>
      <c r="K60" s="456">
        <f t="shared" si="4"/>
        <v>265758</v>
      </c>
      <c r="L60" s="409">
        <f>SUM(C60:K60)</f>
        <v>11379344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3200870</v>
      </c>
      <c r="D66" s="422">
        <f>C60/L60</f>
        <v>0.28128774382776373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4609948</v>
      </c>
      <c r="D67" s="425">
        <f>D60/L60</f>
        <v>0.40511544426462542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7810818</v>
      </c>
      <c r="D68" s="428">
        <f>SUM(D66:D67)</f>
        <v>0.68640318809238909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632596</v>
      </c>
      <c r="D70" s="434">
        <f>E60/$L60</f>
        <v>5.5591605280585592E-2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147346</v>
      </c>
      <c r="D71" s="434">
        <f>F60/L60</f>
        <v>1.2948549582471538E-2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997477</v>
      </c>
      <c r="D72" s="434">
        <f>G60/$L60</f>
        <v>8.7656810445312136E-2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445584</v>
      </c>
      <c r="D73" s="437">
        <f>H60/$L60</f>
        <v>3.9157266007601138E-2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2223003</v>
      </c>
      <c r="D74" s="428">
        <f>SUM(D70:D73)</f>
        <v>0.19535423131597041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978697</v>
      </c>
      <c r="D76" s="422">
        <f>I60/L60</f>
        <v>8.6006451690009547E-2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101068</v>
      </c>
      <c r="D77" s="425">
        <f>J60/L60</f>
        <v>8.8817070650118318E-3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1079765</v>
      </c>
      <c r="D78" s="428">
        <f>SUM(D76:D77)</f>
        <v>9.4888158755021379E-2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265758</v>
      </c>
      <c r="D80" s="428">
        <f>K60/L60</f>
        <v>2.3354421836619052E-2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11379344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84" priority="5">
      <formula>ROW()=EVEN(ROW())</formula>
    </cfRule>
  </conditionalFormatting>
  <conditionalFormatting sqref="L49:L59">
    <cfRule type="expression" dxfId="83" priority="3">
      <formula>ROW()=EVEN(ROW())</formula>
    </cfRule>
  </conditionalFormatting>
  <conditionalFormatting sqref="L5:L10">
    <cfRule type="expression" dxfId="82" priority="4">
      <formula>ROW()=EVEN(ROW())</formula>
    </cfRule>
  </conditionalFormatting>
  <conditionalFormatting sqref="A6:K10">
    <cfRule type="expression" dxfId="81" priority="2">
      <formula>ROW()=EVEN(ROW())</formula>
    </cfRule>
  </conditionalFormatting>
  <printOptions horizontalCentered="1"/>
  <pageMargins left="0" right="0" top="0.98" bottom="0.6" header="0.3" footer="0.3"/>
  <pageSetup scale="65" firstPageNumber="34" fitToHeight="2" orientation="landscape" useFirstPageNumber="1" r:id="rId1"/>
  <headerFooter>
    <oddHeader>&amp;C&amp;"Arial,Bold"&amp;16Expenditures by Expenditure Code and Revenue Source
2017
KITSAP</oddHead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7"/>
  <sheetViews>
    <sheetView workbookViewId="0">
      <selection activeCell="B31" sqref="B31"/>
    </sheetView>
  </sheetViews>
  <sheetFormatPr defaultRowHeight="15" x14ac:dyDescent="0.25"/>
  <cols>
    <col min="2" max="2" width="16.28515625" customWidth="1"/>
  </cols>
  <sheetData>
    <row r="1" spans="1:2" x14ac:dyDescent="0.25">
      <c r="A1" t="s">
        <v>1</v>
      </c>
      <c r="B1">
        <f>'Exp Code Ag Pgs 4&amp;5 Do Not Inpt'!E22</f>
        <v>52852</v>
      </c>
    </row>
    <row r="2" spans="1:2" x14ac:dyDescent="0.25">
      <c r="A2" t="s">
        <v>2</v>
      </c>
      <c r="B2">
        <f>'Exp Code Ag Pgs 4&amp;5 Do Not Inpt'!G22</f>
        <v>2433023</v>
      </c>
    </row>
    <row r="3" spans="1:2" x14ac:dyDescent="0.25">
      <c r="A3" t="s">
        <v>40</v>
      </c>
      <c r="B3" t="str">
        <f>'Exp Code Ag Pgs 4&amp;5 Do Not Inpt'!H22</f>
        <v>0</v>
      </c>
    </row>
    <row r="4" spans="1:2" x14ac:dyDescent="0.25">
      <c r="A4" t="s">
        <v>108</v>
      </c>
      <c r="B4">
        <v>10813352.030000001</v>
      </c>
    </row>
    <row r="5" spans="1:2" x14ac:dyDescent="0.25">
      <c r="A5" t="s">
        <v>4</v>
      </c>
      <c r="B5">
        <v>46674073</v>
      </c>
    </row>
    <row r="6" spans="1:2" x14ac:dyDescent="0.25">
      <c r="A6" t="s">
        <v>5</v>
      </c>
      <c r="B6">
        <v>24605017</v>
      </c>
    </row>
    <row r="7" spans="1:2" x14ac:dyDescent="0.25">
      <c r="A7" t="s">
        <v>62</v>
      </c>
      <c r="B7">
        <v>85813434.980000004</v>
      </c>
    </row>
    <row r="8" spans="1:2" x14ac:dyDescent="0.25">
      <c r="A8" t="s">
        <v>6</v>
      </c>
      <c r="B8">
        <v>10813352.030000001</v>
      </c>
    </row>
    <row r="10" spans="1:2" x14ac:dyDescent="0.25">
      <c r="A10" s="2" t="s">
        <v>1</v>
      </c>
      <c r="B10" s="4">
        <f>'Exp Code Ag Pgs 4&amp;5 Do Not Inpt'!I60</f>
        <v>41747834</v>
      </c>
    </row>
    <row r="11" spans="1:2" x14ac:dyDescent="0.25">
      <c r="A11" s="2" t="s">
        <v>2</v>
      </c>
      <c r="B11" s="4">
        <f>'Exp Code Ag Pgs 4&amp;5 Do Not Inpt'!J60</f>
        <v>32552055</v>
      </c>
    </row>
    <row r="12" spans="1:2" x14ac:dyDescent="0.25">
      <c r="A12" s="2" t="s">
        <v>40</v>
      </c>
      <c r="B12" s="4">
        <f>'Exp Code Ag Pgs 4&amp;5 Do Not Inpt'!C60</f>
        <v>118271982</v>
      </c>
    </row>
    <row r="13" spans="1:2" x14ac:dyDescent="0.25">
      <c r="A13" s="2" t="s">
        <v>108</v>
      </c>
      <c r="B13" s="4">
        <v>10813352.030000001</v>
      </c>
    </row>
    <row r="14" spans="1:2" x14ac:dyDescent="0.25">
      <c r="A14" s="1" t="s">
        <v>4</v>
      </c>
      <c r="B14" s="3">
        <v>46674073</v>
      </c>
    </row>
    <row r="15" spans="1:2" x14ac:dyDescent="0.25">
      <c r="A15" s="1" t="s">
        <v>5</v>
      </c>
      <c r="B15" s="3">
        <v>24605017</v>
      </c>
    </row>
    <row r="16" spans="1:2" x14ac:dyDescent="0.25">
      <c r="A16" s="1" t="s">
        <v>62</v>
      </c>
      <c r="B16" s="3">
        <v>85813434.980000004</v>
      </c>
    </row>
    <row r="17" spans="1:2" x14ac:dyDescent="0.25">
      <c r="A17" s="1" t="s">
        <v>6</v>
      </c>
      <c r="B17" s="3">
        <v>10813352.030000001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J6" sqref="J6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44730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18.45</v>
      </c>
      <c r="D2" s="386"/>
      <c r="G2" s="382"/>
      <c r="H2" s="380"/>
      <c r="I2" s="380"/>
      <c r="J2" s="531" t="s">
        <v>143</v>
      </c>
      <c r="K2" s="531"/>
      <c r="L2" s="474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277519</v>
      </c>
      <c r="D5" s="219"/>
      <c r="E5" s="221"/>
      <c r="F5" s="219"/>
      <c r="G5" s="220">
        <v>10354</v>
      </c>
      <c r="H5" s="219"/>
      <c r="I5" s="221"/>
      <c r="J5" s="219"/>
      <c r="K5" s="222">
        <f>1029-108207</f>
        <v>-107178</v>
      </c>
      <c r="L5" s="223">
        <f>SUM(C5:K5)</f>
        <v>180695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/>
      <c r="H11" s="219"/>
      <c r="I11" s="221">
        <v>46376</v>
      </c>
      <c r="J11" s="219"/>
      <c r="K11" s="222"/>
      <c r="L11" s="223">
        <f t="shared" ref="L11:L47" si="1">SUM(C11:K11)</f>
        <v>46376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>
        <v>5013</v>
      </c>
      <c r="I12" s="231"/>
      <c r="J12" s="219">
        <v>5013</v>
      </c>
      <c r="K12" s="222"/>
      <c r="L12" s="223">
        <f t="shared" si="1"/>
        <v>10026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" customHeight="1" x14ac:dyDescent="0.25">
      <c r="A17" s="214">
        <v>562.29</v>
      </c>
      <c r="B17" s="350" t="s">
        <v>45</v>
      </c>
      <c r="C17" s="216">
        <v>7715</v>
      </c>
      <c r="D17" s="219">
        <f>18460+599</f>
        <v>19059</v>
      </c>
      <c r="E17" s="221"/>
      <c r="F17" s="219"/>
      <c r="G17" s="220"/>
      <c r="H17" s="219"/>
      <c r="I17" s="221"/>
      <c r="J17" s="219">
        <v>392</v>
      </c>
      <c r="K17" s="222">
        <v>1000</v>
      </c>
      <c r="L17" s="223">
        <f t="shared" si="1"/>
        <v>28166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/>
      <c r="E18" s="221"/>
      <c r="F18" s="219"/>
      <c r="G18" s="220">
        <v>535</v>
      </c>
      <c r="H18" s="219"/>
      <c r="I18" s="221">
        <f>7477+1000</f>
        <v>8477</v>
      </c>
      <c r="J18" s="219"/>
      <c r="K18" s="222"/>
      <c r="L18" s="223">
        <f t="shared" si="1"/>
        <v>9012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0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17679</v>
      </c>
      <c r="D20" s="219">
        <v>3401</v>
      </c>
      <c r="E20" s="221"/>
      <c r="F20" s="219"/>
      <c r="G20" s="220"/>
      <c r="H20" s="219"/>
      <c r="I20" s="221"/>
      <c r="J20" s="219"/>
      <c r="K20" s="222">
        <v>-14967</v>
      </c>
      <c r="L20" s="223">
        <f t="shared" si="1"/>
        <v>6113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>
        <v>140</v>
      </c>
      <c r="E21" s="221"/>
      <c r="F21" s="219"/>
      <c r="G21" s="220">
        <v>20663</v>
      </c>
      <c r="H21" s="219"/>
      <c r="I21" s="221"/>
      <c r="J21" s="219"/>
      <c r="K21" s="222"/>
      <c r="L21" s="223">
        <f t="shared" si="1"/>
        <v>20803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61379</v>
      </c>
      <c r="D22" s="219"/>
      <c r="E22" s="221"/>
      <c r="F22" s="219">
        <v>4243</v>
      </c>
      <c r="G22" s="220">
        <v>36341</v>
      </c>
      <c r="H22" s="219"/>
      <c r="I22" s="221"/>
      <c r="J22" s="219"/>
      <c r="K22" s="222"/>
      <c r="L22" s="223">
        <f t="shared" si="1"/>
        <v>101963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>
        <v>4396</v>
      </c>
      <c r="I26" s="221"/>
      <c r="J26" s="219">
        <v>9996</v>
      </c>
      <c r="K26" s="222"/>
      <c r="L26" s="223">
        <f t="shared" si="1"/>
        <v>14392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>
        <v>16498</v>
      </c>
      <c r="H28" s="219"/>
      <c r="I28" s="221"/>
      <c r="J28" s="219">
        <v>12991</v>
      </c>
      <c r="K28" s="222"/>
      <c r="L28" s="223">
        <f t="shared" si="1"/>
        <v>29489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v>179553</v>
      </c>
      <c r="E29" s="221">
        <v>10000</v>
      </c>
      <c r="F29" s="219"/>
      <c r="G29" s="220"/>
      <c r="H29" s="219">
        <v>36948</v>
      </c>
      <c r="I29" s="221"/>
      <c r="J29" s="219"/>
      <c r="K29" s="222"/>
      <c r="L29" s="223">
        <f t="shared" si="1"/>
        <v>226501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>
        <v>17160</v>
      </c>
      <c r="E30" s="221"/>
      <c r="F30" s="219"/>
      <c r="G30" s="220"/>
      <c r="H30" s="219">
        <v>16469</v>
      </c>
      <c r="I30" s="221"/>
      <c r="J30" s="219"/>
      <c r="K30" s="222"/>
      <c r="L30" s="223">
        <f t="shared" si="1"/>
        <v>33629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>
        <v>295456</v>
      </c>
      <c r="E31" s="221"/>
      <c r="F31" s="219"/>
      <c r="G31" s="220"/>
      <c r="H31" s="219"/>
      <c r="I31" s="221"/>
      <c r="J31" s="219"/>
      <c r="K31" s="222"/>
      <c r="L31" s="223">
        <f t="shared" si="1"/>
        <v>295456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>
        <v>3367</v>
      </c>
      <c r="H32" s="219"/>
      <c r="I32" s="221"/>
      <c r="J32" s="219"/>
      <c r="K32" s="222"/>
      <c r="L32" s="223">
        <f t="shared" si="1"/>
        <v>3367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>
        <f>189227+24178</f>
        <v>213405</v>
      </c>
      <c r="E33" s="221"/>
      <c r="F33" s="219"/>
      <c r="G33" s="220"/>
      <c r="H33" s="219"/>
      <c r="I33" s="221"/>
      <c r="J33" s="219"/>
      <c r="K33" s="222">
        <v>1</v>
      </c>
      <c r="L33" s="223">
        <f t="shared" si="1"/>
        <v>213406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>
        <f>37425+16593</f>
        <v>54018</v>
      </c>
      <c r="E35" s="221"/>
      <c r="F35" s="219"/>
      <c r="G35" s="220">
        <v>85</v>
      </c>
      <c r="H35" s="219">
        <v>32845</v>
      </c>
      <c r="I35" s="221"/>
      <c r="J35" s="219"/>
      <c r="K35" s="222"/>
      <c r="L35" s="223">
        <f t="shared" si="1"/>
        <v>86948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>
        <v>16478</v>
      </c>
      <c r="E36" s="221"/>
      <c r="F36" s="219"/>
      <c r="G36" s="220"/>
      <c r="H36" s="219"/>
      <c r="I36" s="221"/>
      <c r="J36" s="219"/>
      <c r="K36" s="222"/>
      <c r="L36" s="223">
        <f t="shared" si="1"/>
        <v>16478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21688</v>
      </c>
      <c r="E38" s="221"/>
      <c r="F38" s="219"/>
      <c r="G38" s="220"/>
      <c r="H38" s="219"/>
      <c r="I38" s="221"/>
      <c r="J38" s="219"/>
      <c r="K38" s="222"/>
      <c r="L38" s="223">
        <f t="shared" si="1"/>
        <v>21688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v>80802</v>
      </c>
      <c r="H44" s="219"/>
      <c r="I44" s="221"/>
      <c r="J44" s="219"/>
      <c r="K44" s="222">
        <v>1695</v>
      </c>
      <c r="L44" s="223">
        <f t="shared" si="1"/>
        <v>82497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>
        <v>1652</v>
      </c>
      <c r="H45" s="219"/>
      <c r="I45" s="221">
        <v>59469</v>
      </c>
      <c r="J45" s="219">
        <v>6513</v>
      </c>
      <c r="K45" s="222"/>
      <c r="L45" s="223">
        <f t="shared" si="1"/>
        <v>67634</v>
      </c>
      <c r="M45" s="11"/>
    </row>
    <row r="46" spans="1:13" ht="15" customHeight="1" x14ac:dyDescent="0.25">
      <c r="A46" s="214">
        <v>562.9</v>
      </c>
      <c r="B46" s="350" t="s">
        <v>27</v>
      </c>
      <c r="C46" s="216">
        <f>999+8925</f>
        <v>9924</v>
      </c>
      <c r="D46" s="219"/>
      <c r="E46" s="221"/>
      <c r="F46" s="219"/>
      <c r="G46" s="220">
        <v>8054</v>
      </c>
      <c r="H46" s="219">
        <v>4674</v>
      </c>
      <c r="I46" s="221">
        <v>14349</v>
      </c>
      <c r="J46" s="219">
        <f>20919+32871</f>
        <v>53790</v>
      </c>
      <c r="K46" s="222">
        <v>2495</v>
      </c>
      <c r="L46" s="223">
        <f t="shared" si="1"/>
        <v>93286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>
        <v>0</v>
      </c>
      <c r="D47" s="219">
        <v>0</v>
      </c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374216</v>
      </c>
      <c r="D48" s="364">
        <f t="shared" si="2"/>
        <v>820358</v>
      </c>
      <c r="E48" s="366">
        <f t="shared" si="2"/>
        <v>10000</v>
      </c>
      <c r="F48" s="364">
        <f t="shared" si="2"/>
        <v>4243</v>
      </c>
      <c r="G48" s="365">
        <f t="shared" si="2"/>
        <v>178351</v>
      </c>
      <c r="H48" s="364">
        <f t="shared" si="2"/>
        <v>100345</v>
      </c>
      <c r="I48" s="366">
        <f t="shared" si="2"/>
        <v>128671</v>
      </c>
      <c r="J48" s="364">
        <f t="shared" si="2"/>
        <v>88695</v>
      </c>
      <c r="K48" s="456">
        <f t="shared" si="2"/>
        <v>-116954</v>
      </c>
      <c r="L48" s="405">
        <f>SUM(C48:K48)</f>
        <v>1587925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374216</v>
      </c>
      <c r="D60" s="364">
        <f>SUM(D48:D59)</f>
        <v>820358</v>
      </c>
      <c r="E60" s="366">
        <f t="shared" ref="E60:K60" si="4">SUM(E48:E59)</f>
        <v>10000</v>
      </c>
      <c r="F60" s="364">
        <f>SUM(F48:F59)</f>
        <v>4243</v>
      </c>
      <c r="G60" s="365">
        <f t="shared" si="4"/>
        <v>178351</v>
      </c>
      <c r="H60" s="362">
        <f t="shared" si="4"/>
        <v>100345</v>
      </c>
      <c r="I60" s="363">
        <f t="shared" si="4"/>
        <v>128671</v>
      </c>
      <c r="J60" s="364">
        <f t="shared" si="4"/>
        <v>88695</v>
      </c>
      <c r="K60" s="456">
        <f t="shared" si="4"/>
        <v>-116954</v>
      </c>
      <c r="L60" s="409">
        <f>SUM(C60:K60)</f>
        <v>1587925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374216</v>
      </c>
      <c r="D66" s="422">
        <f>C60/L60</f>
        <v>0.23566352315128233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820358</v>
      </c>
      <c r="D67" s="425">
        <f>D60/L60</f>
        <v>0.51662263645953055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1194574</v>
      </c>
      <c r="D68" s="428">
        <f>SUM(D66:D67)</f>
        <v>0.75228615961081291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10000</v>
      </c>
      <c r="D70" s="434">
        <f>E60/$L60</f>
        <v>6.2975266464096223E-3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4243</v>
      </c>
      <c r="D71" s="434">
        <f>F60/L60</f>
        <v>2.6720405560716029E-3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178351</v>
      </c>
      <c r="D72" s="434">
        <f>G60/$L60</f>
        <v>0.11231701749138026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100345</v>
      </c>
      <c r="D73" s="437">
        <f>H60/$L60</f>
        <v>6.3192531133397359E-2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292939</v>
      </c>
      <c r="D74" s="428">
        <f>SUM(D70:D73)</f>
        <v>0.18447911582725884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128671</v>
      </c>
      <c r="D76" s="422">
        <f>I60/L60</f>
        <v>8.1030905112017257E-2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88695</v>
      </c>
      <c r="D77" s="425">
        <f>J60/L60</f>
        <v>5.5855912590330146E-2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217366</v>
      </c>
      <c r="D78" s="428">
        <f>SUM(D76:D77)</f>
        <v>0.1368868177023474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>
        <v>0</v>
      </c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-116954</v>
      </c>
      <c r="D80" s="428">
        <f>K60/L60</f>
        <v>-7.3652093140419095E-2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1587925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80" priority="5">
      <formula>ROW()=EVEN(ROW())</formula>
    </cfRule>
  </conditionalFormatting>
  <conditionalFormatting sqref="L49:L59">
    <cfRule type="expression" dxfId="79" priority="3">
      <formula>ROW()=EVEN(ROW())</formula>
    </cfRule>
  </conditionalFormatting>
  <conditionalFormatting sqref="L5:L10">
    <cfRule type="expression" dxfId="78" priority="4">
      <formula>ROW()=EVEN(ROW())</formula>
    </cfRule>
  </conditionalFormatting>
  <conditionalFormatting sqref="A6:K10">
    <cfRule type="expression" dxfId="77" priority="2">
      <formula>ROW()=EVEN(ROW())</formula>
    </cfRule>
  </conditionalFormatting>
  <printOptions horizontalCentered="1"/>
  <pageMargins left="0" right="0" top="0.98" bottom="0.6" header="0.3" footer="0.3"/>
  <pageSetup scale="65" firstPageNumber="36" fitToHeight="2" orientation="landscape" useFirstPageNumber="1" r:id="rId1"/>
  <headerFooter>
    <oddHeader>&amp;C&amp;"Arial,Bold"&amp;16Expenditures by Expenditure Code and Revenue Source
2017
KITTITAS</oddHeader>
  </headerFooter>
  <rowBreaks count="1" manualBreakCount="1">
    <brk id="48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77" zoomScaleNormal="100" workbookViewId="0">
      <selection activeCell="H92" sqref="H92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21660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14</v>
      </c>
      <c r="D2" s="386"/>
      <c r="G2" s="382"/>
      <c r="H2" s="380"/>
      <c r="I2" s="380"/>
      <c r="J2" s="531" t="s">
        <v>143</v>
      </c>
      <c r="K2" s="531"/>
      <c r="L2" s="475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200000</v>
      </c>
      <c r="D5" s="219">
        <v>375748</v>
      </c>
      <c r="E5" s="221"/>
      <c r="F5" s="219"/>
      <c r="G5" s="220">
        <v>153784</v>
      </c>
      <c r="H5" s="219"/>
      <c r="I5" s="221"/>
      <c r="J5" s="219">
        <v>140106</v>
      </c>
      <c r="K5" s="222"/>
      <c r="L5" s="223">
        <f>SUM(C5:K5)</f>
        <v>869638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>
        <v>14000</v>
      </c>
      <c r="G8" s="311"/>
      <c r="H8" s="299"/>
      <c r="I8" s="310"/>
      <c r="J8" s="299"/>
      <c r="K8" s="313"/>
      <c r="L8" s="223">
        <f t="shared" si="0"/>
        <v>14000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>
        <v>14000</v>
      </c>
      <c r="G9" s="311"/>
      <c r="H9" s="299"/>
      <c r="I9" s="310"/>
      <c r="J9" s="299"/>
      <c r="K9" s="313"/>
      <c r="L9" s="223">
        <f t="shared" si="0"/>
        <v>14000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>
        <v>14000</v>
      </c>
      <c r="G10" s="311"/>
      <c r="H10" s="299"/>
      <c r="I10" s="310"/>
      <c r="J10" s="299"/>
      <c r="K10" s="313"/>
      <c r="L10" s="223">
        <f t="shared" si="0"/>
        <v>14000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>
        <v>10565</v>
      </c>
      <c r="E11" s="221"/>
      <c r="F11" s="219"/>
      <c r="G11" s="220"/>
      <c r="H11" s="219"/>
      <c r="I11" s="221">
        <v>32631</v>
      </c>
      <c r="J11" s="219"/>
      <c r="K11" s="222"/>
      <c r="L11" s="223">
        <f t="shared" ref="L11:L47" si="1">SUM(C11:K11)</f>
        <v>43196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>
        <v>9000</v>
      </c>
      <c r="K12" s="222"/>
      <c r="L12" s="223">
        <f t="shared" si="1"/>
        <v>9000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>
        <v>36762</v>
      </c>
      <c r="E14" s="221">
        <v>9981</v>
      </c>
      <c r="F14" s="219"/>
      <c r="G14" s="220"/>
      <c r="H14" s="219"/>
      <c r="I14" s="221"/>
      <c r="J14" s="219"/>
      <c r="K14" s="222"/>
      <c r="L14" s="223">
        <f t="shared" si="1"/>
        <v>46743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>
        <v>4811</v>
      </c>
      <c r="J15" s="219"/>
      <c r="K15" s="222"/>
      <c r="L15" s="223">
        <f t="shared" si="1"/>
        <v>4811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>
        <v>142928</v>
      </c>
      <c r="J16" s="219"/>
      <c r="K16" s="222"/>
      <c r="L16" s="223">
        <f t="shared" si="1"/>
        <v>142928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>
        <v>7658</v>
      </c>
      <c r="E18" s="221"/>
      <c r="F18" s="219"/>
      <c r="G18" s="220"/>
      <c r="H18" s="219"/>
      <c r="I18" s="221">
        <v>3886</v>
      </c>
      <c r="J18" s="219"/>
      <c r="K18" s="222">
        <v>98</v>
      </c>
      <c r="L18" s="223">
        <f t="shared" si="1"/>
        <v>11642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>
        <v>25</v>
      </c>
      <c r="E19" s="221"/>
      <c r="F19" s="219"/>
      <c r="G19" s="220"/>
      <c r="H19" s="219"/>
      <c r="I19" s="221"/>
      <c r="J19" s="219"/>
      <c r="K19" s="222"/>
      <c r="L19" s="223">
        <f t="shared" si="1"/>
        <v>25</v>
      </c>
      <c r="M19" s="11"/>
    </row>
    <row r="20" spans="1:13" ht="15" customHeight="1" x14ac:dyDescent="0.25">
      <c r="A20" s="214">
        <v>562.34</v>
      </c>
      <c r="B20" s="350" t="s">
        <v>12</v>
      </c>
      <c r="C20" s="216"/>
      <c r="D20" s="219">
        <v>2173</v>
      </c>
      <c r="E20" s="221"/>
      <c r="F20" s="219"/>
      <c r="G20" s="220"/>
      <c r="H20" s="219"/>
      <c r="I20" s="221"/>
      <c r="J20" s="219"/>
      <c r="K20" s="222"/>
      <c r="L20" s="223">
        <f t="shared" si="1"/>
        <v>2173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>
        <v>15</v>
      </c>
      <c r="E21" s="221"/>
      <c r="F21" s="219"/>
      <c r="G21" s="220"/>
      <c r="H21" s="219"/>
      <c r="I21" s="221"/>
      <c r="J21" s="219"/>
      <c r="K21" s="222"/>
      <c r="L21" s="223">
        <f t="shared" si="1"/>
        <v>15</v>
      </c>
      <c r="M21" s="11"/>
    </row>
    <row r="22" spans="1:13" ht="15" customHeight="1" x14ac:dyDescent="0.25">
      <c r="A22" s="214">
        <v>562.39</v>
      </c>
      <c r="B22" s="350" t="s">
        <v>14</v>
      </c>
      <c r="C22" s="216"/>
      <c r="D22" s="219"/>
      <c r="E22" s="221"/>
      <c r="F22" s="219"/>
      <c r="G22" s="220"/>
      <c r="H22" s="219"/>
      <c r="I22" s="221"/>
      <c r="J22" s="219"/>
      <c r="K22" s="222"/>
      <c r="L22" s="223">
        <f t="shared" si="1"/>
        <v>0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>
        <v>6500</v>
      </c>
      <c r="E24" s="221"/>
      <c r="F24" s="219"/>
      <c r="G24" s="220"/>
      <c r="H24" s="219"/>
      <c r="I24" s="221"/>
      <c r="J24" s="219"/>
      <c r="K24" s="222">
        <v>700</v>
      </c>
      <c r="L24" s="223">
        <f t="shared" si="1"/>
        <v>7200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v>49865</v>
      </c>
      <c r="E29" s="221">
        <v>20000</v>
      </c>
      <c r="F29" s="219"/>
      <c r="G29" s="220"/>
      <c r="H29" s="219"/>
      <c r="I29" s="221"/>
      <c r="J29" s="219"/>
      <c r="K29" s="222"/>
      <c r="L29" s="223">
        <f t="shared" si="1"/>
        <v>69865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>
        <v>58500</v>
      </c>
      <c r="E30" s="221"/>
      <c r="F30" s="219"/>
      <c r="G30" s="220"/>
      <c r="H30" s="219"/>
      <c r="I30" s="221"/>
      <c r="J30" s="219"/>
      <c r="K30" s="222"/>
      <c r="L30" s="223">
        <f t="shared" si="1"/>
        <v>58500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>
        <v>82880</v>
      </c>
      <c r="E31" s="221"/>
      <c r="F31" s="219"/>
      <c r="G31" s="220"/>
      <c r="H31" s="219"/>
      <c r="I31" s="221"/>
      <c r="J31" s="219"/>
      <c r="K31" s="222"/>
      <c r="L31" s="223">
        <f t="shared" si="1"/>
        <v>82880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>
        <v>51091</v>
      </c>
      <c r="E33" s="221"/>
      <c r="F33" s="219"/>
      <c r="G33" s="220"/>
      <c r="H33" s="219"/>
      <c r="I33" s="221"/>
      <c r="J33" s="219"/>
      <c r="K33" s="222"/>
      <c r="L33" s="223">
        <f t="shared" si="1"/>
        <v>51091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>
        <v>350</v>
      </c>
      <c r="E34" s="221"/>
      <c r="F34" s="219"/>
      <c r="G34" s="220"/>
      <c r="H34" s="219"/>
      <c r="I34" s="221"/>
      <c r="J34" s="219"/>
      <c r="K34" s="222"/>
      <c r="L34" s="223">
        <f t="shared" si="1"/>
        <v>350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0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7026</v>
      </c>
      <c r="E38" s="221"/>
      <c r="F38" s="219"/>
      <c r="G38" s="220"/>
      <c r="H38" s="219"/>
      <c r="I38" s="221"/>
      <c r="J38" s="219"/>
      <c r="K38" s="222"/>
      <c r="L38" s="223">
        <f t="shared" si="1"/>
        <v>7026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/>
      <c r="H44" s="219"/>
      <c r="I44" s="221"/>
      <c r="J44" s="219"/>
      <c r="K44" s="222"/>
      <c r="L44" s="223">
        <f t="shared" si="1"/>
        <v>0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/>
      <c r="H45" s="219"/>
      <c r="I45" s="221">
        <v>17873</v>
      </c>
      <c r="J45" s="219"/>
      <c r="K45" s="222"/>
      <c r="L45" s="223">
        <f t="shared" si="1"/>
        <v>17873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200000</v>
      </c>
      <c r="D48" s="364">
        <f t="shared" si="2"/>
        <v>689158</v>
      </c>
      <c r="E48" s="366">
        <f t="shared" si="2"/>
        <v>29981</v>
      </c>
      <c r="F48" s="364">
        <f t="shared" si="2"/>
        <v>42000</v>
      </c>
      <c r="G48" s="365">
        <f t="shared" si="2"/>
        <v>153784</v>
      </c>
      <c r="H48" s="465" t="s">
        <v>154</v>
      </c>
      <c r="I48" s="366">
        <f t="shared" si="2"/>
        <v>202129</v>
      </c>
      <c r="J48" s="364">
        <f t="shared" si="2"/>
        <v>149106</v>
      </c>
      <c r="K48" s="456">
        <f t="shared" si="2"/>
        <v>798</v>
      </c>
      <c r="L48" s="405">
        <f>SUM(C48:K48)</f>
        <v>1466956</v>
      </c>
      <c r="M48" s="11"/>
    </row>
    <row r="49" spans="1:13" ht="1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/>
      <c r="D57" s="219"/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200000</v>
      </c>
      <c r="D60" s="364">
        <f>SUM(D48:D59)</f>
        <v>689158</v>
      </c>
      <c r="E60" s="366">
        <f t="shared" ref="E60:K60" si="4">SUM(E48:E59)</f>
        <v>29981</v>
      </c>
      <c r="F60" s="364">
        <f>SUM(F48:F59)</f>
        <v>42000</v>
      </c>
      <c r="G60" s="365">
        <f t="shared" si="4"/>
        <v>153784</v>
      </c>
      <c r="H60" s="477" t="s">
        <v>154</v>
      </c>
      <c r="I60" s="363">
        <f t="shared" si="4"/>
        <v>202129</v>
      </c>
      <c r="J60" s="364">
        <f t="shared" si="4"/>
        <v>149106</v>
      </c>
      <c r="K60" s="456">
        <f t="shared" si="4"/>
        <v>798</v>
      </c>
      <c r="L60" s="409">
        <f>SUM(C60:K60)</f>
        <v>1466956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200000</v>
      </c>
      <c r="D66" s="422">
        <f>C60/L60</f>
        <v>0.13633674084294281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689158</v>
      </c>
      <c r="D67" s="425">
        <f>D60/L60</f>
        <v>0.46978777822920387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889158</v>
      </c>
      <c r="D68" s="428">
        <f>SUM(D66:D67)</f>
        <v>0.60612451907214671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29981</v>
      </c>
      <c r="D70" s="434">
        <f>E60/$L60</f>
        <v>2.043755913606134E-2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2.863071557701799E-2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153784</v>
      </c>
      <c r="D72" s="434">
        <f>G60/$L60</f>
        <v>0.10483204676895558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78" t="str">
        <f>H60</f>
        <v>0</v>
      </c>
      <c r="D73" s="479" t="s">
        <v>155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225765</v>
      </c>
      <c r="D74" s="428">
        <f>SUM(D70:D73)</f>
        <v>0.15390032148203492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202129</v>
      </c>
      <c r="D76" s="422">
        <f>I60/L60</f>
        <v>0.13778804544921594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149106</v>
      </c>
      <c r="D77" s="425">
        <f>J60/L60</f>
        <v>0.10164313040063915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351235</v>
      </c>
      <c r="D78" s="428">
        <f>SUM(D76:D77)</f>
        <v>0.23943117584985507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798</v>
      </c>
      <c r="D80" s="428">
        <f>K60/L60</f>
        <v>5.4398359596334177E-4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1466956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76" priority="5">
      <formula>ROW()=EVEN(ROW())</formula>
    </cfRule>
  </conditionalFormatting>
  <conditionalFormatting sqref="L49:L59">
    <cfRule type="expression" dxfId="75" priority="3">
      <formula>ROW()=EVEN(ROW())</formula>
    </cfRule>
  </conditionalFormatting>
  <conditionalFormatting sqref="L5:L10">
    <cfRule type="expression" dxfId="74" priority="4">
      <formula>ROW()=EVEN(ROW())</formula>
    </cfRule>
  </conditionalFormatting>
  <conditionalFormatting sqref="A6:K10">
    <cfRule type="expression" dxfId="73" priority="2">
      <formula>ROW()=EVEN(ROW())</formula>
    </cfRule>
  </conditionalFormatting>
  <printOptions horizontalCentered="1"/>
  <pageMargins left="0" right="0" top="0.98" bottom="0.6" header="0.3" footer="0.3"/>
  <pageSetup scale="65" firstPageNumber="38" fitToHeight="2" orientation="landscape" useFirstPageNumber="1" r:id="rId1"/>
  <headerFooter>
    <oddHeader>&amp;C&amp;"Arial,Bold"&amp;16Expenditures by Expenditure Code and Revenue Source
2017
KLICKITAT</oddHeader>
  </headerFooter>
  <rowBreaks count="1" manualBreakCount="1">
    <brk id="48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29" zoomScaleNormal="100" workbookViewId="0">
      <selection activeCell="G44" sqref="G44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77440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27.31</v>
      </c>
      <c r="D2" s="134"/>
      <c r="G2" s="130"/>
      <c r="H2" s="128"/>
      <c r="I2" s="128"/>
      <c r="J2" s="526" t="s">
        <v>143</v>
      </c>
      <c r="K2" s="526"/>
      <c r="L2" s="476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" customHeight="1" x14ac:dyDescent="0.25">
      <c r="A5" s="90">
        <v>562.1</v>
      </c>
      <c r="B5" s="171" t="s">
        <v>9</v>
      </c>
      <c r="C5" s="144">
        <v>212185</v>
      </c>
      <c r="D5" s="95">
        <f>85844+9</f>
        <v>85853</v>
      </c>
      <c r="E5" s="147"/>
      <c r="F5" s="95">
        <v>43147</v>
      </c>
      <c r="G5" s="146">
        <v>263134</v>
      </c>
      <c r="H5" s="95">
        <f>433+4</f>
        <v>437</v>
      </c>
      <c r="I5" s="147"/>
      <c r="J5" s="95">
        <v>45976</v>
      </c>
      <c r="K5" s="96">
        <v>19766</v>
      </c>
      <c r="L5" s="97">
        <f>SUM(C5:K5)</f>
        <v>670498</v>
      </c>
      <c r="M5" s="11"/>
    </row>
    <row r="6" spans="1:13" ht="15" customHeight="1" x14ac:dyDescent="0.25">
      <c r="A6" s="90">
        <v>562.11</v>
      </c>
      <c r="B6" s="171" t="s">
        <v>145</v>
      </c>
      <c r="C6" s="481"/>
      <c r="D6" s="482"/>
      <c r="E6" s="483"/>
      <c r="F6" s="482"/>
      <c r="G6" s="484"/>
      <c r="H6" s="482"/>
      <c r="I6" s="483"/>
      <c r="J6" s="482"/>
      <c r="K6" s="485"/>
      <c r="L6" s="97">
        <f t="shared" ref="L6:L10" si="0">SUM(C6:K6)</f>
        <v>0</v>
      </c>
      <c r="M6" s="11"/>
    </row>
    <row r="7" spans="1:13" ht="15" customHeight="1" x14ac:dyDescent="0.25">
      <c r="A7" s="90">
        <v>562.12</v>
      </c>
      <c r="B7" s="171" t="s">
        <v>146</v>
      </c>
      <c r="C7" s="481"/>
      <c r="D7" s="482"/>
      <c r="E7" s="483"/>
      <c r="F7" s="482"/>
      <c r="G7" s="484"/>
      <c r="H7" s="482"/>
      <c r="I7" s="483"/>
      <c r="J7" s="482"/>
      <c r="K7" s="485"/>
      <c r="L7" s="97">
        <f t="shared" si="0"/>
        <v>0</v>
      </c>
      <c r="M7" s="11"/>
    </row>
    <row r="8" spans="1:13" ht="1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" customHeight="1" x14ac:dyDescent="0.25">
      <c r="A11" s="90">
        <v>562.22</v>
      </c>
      <c r="B11" s="171" t="s">
        <v>51</v>
      </c>
      <c r="C11" s="144">
        <v>132248</v>
      </c>
      <c r="D11" s="95"/>
      <c r="E11" s="147"/>
      <c r="F11" s="95"/>
      <c r="G11" s="146"/>
      <c r="H11" s="95"/>
      <c r="I11" s="147">
        <v>54541</v>
      </c>
      <c r="J11" s="95"/>
      <c r="K11" s="96"/>
      <c r="L11" s="97">
        <f t="shared" ref="L11:L47" si="1">SUM(C11:K11)</f>
        <v>186789</v>
      </c>
      <c r="M11" s="11"/>
    </row>
    <row r="12" spans="1:13" ht="1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/>
      <c r="I12" s="486"/>
      <c r="J12" s="95"/>
      <c r="K12" s="96"/>
      <c r="L12" s="97">
        <f t="shared" si="1"/>
        <v>0</v>
      </c>
      <c r="M12" s="11"/>
    </row>
    <row r="13" spans="1:13" ht="15" customHeight="1" x14ac:dyDescent="0.25">
      <c r="A13" s="90">
        <v>562.25</v>
      </c>
      <c r="B13" s="171" t="s">
        <v>52</v>
      </c>
      <c r="C13" s="144"/>
      <c r="D13" s="95">
        <v>5150</v>
      </c>
      <c r="E13" s="147"/>
      <c r="F13" s="95"/>
      <c r="G13" s="146"/>
      <c r="H13" s="95"/>
      <c r="I13" s="147">
        <v>32429</v>
      </c>
      <c r="J13" s="95"/>
      <c r="K13" s="96"/>
      <c r="L13" s="97">
        <f t="shared" si="1"/>
        <v>37579</v>
      </c>
      <c r="M13" s="11"/>
    </row>
    <row r="14" spans="1:13" ht="1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95"/>
      <c r="K15" s="96"/>
      <c r="L15" s="97">
        <f t="shared" si="1"/>
        <v>0</v>
      </c>
      <c r="M15" s="11"/>
    </row>
    <row r="16" spans="1:13" ht="15" customHeight="1" x14ac:dyDescent="0.25">
      <c r="A16" s="90">
        <v>562.28</v>
      </c>
      <c r="B16" s="171" t="s">
        <v>53</v>
      </c>
      <c r="C16" s="144"/>
      <c r="D16" s="95"/>
      <c r="E16" s="147"/>
      <c r="F16" s="95"/>
      <c r="G16" s="146"/>
      <c r="H16" s="95"/>
      <c r="I16" s="147">
        <v>581900</v>
      </c>
      <c r="J16" s="95"/>
      <c r="K16" s="96"/>
      <c r="L16" s="97">
        <f t="shared" si="1"/>
        <v>581900</v>
      </c>
      <c r="M16" s="11"/>
    </row>
    <row r="17" spans="1:13" ht="15" customHeight="1" x14ac:dyDescent="0.25">
      <c r="A17" s="90">
        <v>562.29</v>
      </c>
      <c r="B17" s="171" t="s">
        <v>45</v>
      </c>
      <c r="C17" s="144"/>
      <c r="D17" s="95"/>
      <c r="E17" s="147"/>
      <c r="F17" s="95"/>
      <c r="G17" s="146"/>
      <c r="H17" s="95"/>
      <c r="I17" s="147"/>
      <c r="J17" s="95"/>
      <c r="K17" s="96"/>
      <c r="L17" s="97">
        <f t="shared" si="1"/>
        <v>0</v>
      </c>
      <c r="M17" s="11"/>
    </row>
    <row r="18" spans="1:13" ht="15" customHeight="1" x14ac:dyDescent="0.25">
      <c r="A18" s="90">
        <v>562.32000000000005</v>
      </c>
      <c r="B18" s="171" t="s">
        <v>11</v>
      </c>
      <c r="C18" s="144">
        <v>73</v>
      </c>
      <c r="D18" s="95">
        <f>577+30749</f>
        <v>31326</v>
      </c>
      <c r="E18" s="147"/>
      <c r="F18" s="95"/>
      <c r="G18" s="146"/>
      <c r="H18" s="95">
        <v>84</v>
      </c>
      <c r="I18" s="147">
        <v>25560</v>
      </c>
      <c r="J18" s="95"/>
      <c r="K18" s="96"/>
      <c r="L18" s="97">
        <f t="shared" si="1"/>
        <v>57043</v>
      </c>
      <c r="M18" s="11"/>
    </row>
    <row r="19" spans="1:13" ht="15" customHeight="1" x14ac:dyDescent="0.25">
      <c r="A19" s="90">
        <v>562.33000000000004</v>
      </c>
      <c r="B19" s="171" t="s">
        <v>54</v>
      </c>
      <c r="C19" s="144"/>
      <c r="D19" s="95"/>
      <c r="E19" s="147"/>
      <c r="F19" s="95"/>
      <c r="G19" s="146"/>
      <c r="H19" s="95"/>
      <c r="I19" s="147"/>
      <c r="J19" s="95"/>
      <c r="K19" s="96"/>
      <c r="L19" s="97">
        <f t="shared" si="1"/>
        <v>0</v>
      </c>
      <c r="M19" s="11"/>
    </row>
    <row r="20" spans="1:13" ht="15" customHeight="1" x14ac:dyDescent="0.25">
      <c r="A20" s="90">
        <v>562.34</v>
      </c>
      <c r="B20" s="171" t="s">
        <v>12</v>
      </c>
      <c r="C20" s="144"/>
      <c r="D20" s="95">
        <v>1907</v>
      </c>
      <c r="E20" s="147"/>
      <c r="F20" s="95"/>
      <c r="G20" s="146"/>
      <c r="H20" s="95"/>
      <c r="I20" s="147"/>
      <c r="J20" s="95"/>
      <c r="K20" s="96"/>
      <c r="L20" s="97">
        <f t="shared" si="1"/>
        <v>1907</v>
      </c>
      <c r="M20" s="11"/>
    </row>
    <row r="21" spans="1:13" ht="15" customHeight="1" x14ac:dyDescent="0.25">
      <c r="A21" s="90">
        <v>562.35</v>
      </c>
      <c r="B21" s="171" t="s">
        <v>13</v>
      </c>
      <c r="C21" s="144"/>
      <c r="D21" s="95"/>
      <c r="E21" s="147"/>
      <c r="F21" s="95"/>
      <c r="G21" s="146"/>
      <c r="H21" s="95"/>
      <c r="I21" s="147"/>
      <c r="J21" s="95"/>
      <c r="K21" s="96"/>
      <c r="L21" s="97">
        <f t="shared" si="1"/>
        <v>0</v>
      </c>
      <c r="M21" s="11"/>
    </row>
    <row r="22" spans="1:13" ht="15" customHeight="1" x14ac:dyDescent="0.25">
      <c r="A22" s="90">
        <v>562.39</v>
      </c>
      <c r="B22" s="171" t="s">
        <v>14</v>
      </c>
      <c r="C22" s="144"/>
      <c r="D22" s="95"/>
      <c r="E22" s="147">
        <v>52852</v>
      </c>
      <c r="F22" s="95"/>
      <c r="G22" s="146"/>
      <c r="H22" s="95"/>
      <c r="I22" s="147"/>
      <c r="J22" s="95"/>
      <c r="K22" s="96"/>
      <c r="L22" s="97">
        <f t="shared" si="1"/>
        <v>52852</v>
      </c>
      <c r="M22" s="11"/>
    </row>
    <row r="23" spans="1:13" ht="1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/>
      <c r="H24" s="95"/>
      <c r="I24" s="147"/>
      <c r="J24" s="95"/>
      <c r="K24" s="96"/>
      <c r="L24" s="97">
        <f t="shared" si="1"/>
        <v>0</v>
      </c>
      <c r="M24" s="11"/>
    </row>
    <row r="25" spans="1:13" ht="1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" customHeight="1" x14ac:dyDescent="0.25">
      <c r="A26" s="90">
        <v>562.44000000000005</v>
      </c>
      <c r="B26" s="171" t="s">
        <v>56</v>
      </c>
      <c r="C26" s="144"/>
      <c r="D26" s="95"/>
      <c r="E26" s="147"/>
      <c r="F26" s="95"/>
      <c r="G26" s="146"/>
      <c r="H26" s="95"/>
      <c r="I26" s="147"/>
      <c r="J26" s="95"/>
      <c r="K26" s="96"/>
      <c r="L26" s="97">
        <f t="shared" si="1"/>
        <v>0</v>
      </c>
      <c r="M26" s="11"/>
    </row>
    <row r="27" spans="1:13" ht="1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" customHeight="1" x14ac:dyDescent="0.25">
      <c r="A28" s="90">
        <v>562.49</v>
      </c>
      <c r="B28" s="171" t="s">
        <v>46</v>
      </c>
      <c r="C28" s="144"/>
      <c r="D28" s="95"/>
      <c r="E28" s="147"/>
      <c r="F28" s="95"/>
      <c r="G28" s="146"/>
      <c r="H28" s="95"/>
      <c r="I28" s="147"/>
      <c r="J28" s="95"/>
      <c r="K28" s="96"/>
      <c r="L28" s="97">
        <f t="shared" si="1"/>
        <v>0</v>
      </c>
      <c r="M28" s="11"/>
    </row>
    <row r="29" spans="1:13" ht="15" customHeight="1" x14ac:dyDescent="0.25">
      <c r="A29" s="90">
        <v>562.52</v>
      </c>
      <c r="B29" s="171" t="s">
        <v>17</v>
      </c>
      <c r="C29" s="144"/>
      <c r="D29" s="95">
        <v>82430</v>
      </c>
      <c r="E29" s="147">
        <v>10000</v>
      </c>
      <c r="F29" s="95"/>
      <c r="G29" s="146"/>
      <c r="H29" s="95"/>
      <c r="I29" s="147"/>
      <c r="J29" s="95"/>
      <c r="K29" s="96"/>
      <c r="L29" s="97">
        <f t="shared" si="1"/>
        <v>92430</v>
      </c>
      <c r="M29" s="11"/>
    </row>
    <row r="30" spans="1:13" ht="15" customHeight="1" x14ac:dyDescent="0.25">
      <c r="A30" s="90">
        <v>562.53</v>
      </c>
      <c r="B30" s="171" t="s">
        <v>58</v>
      </c>
      <c r="C30" s="144">
        <v>0</v>
      </c>
      <c r="D30" s="95">
        <v>830</v>
      </c>
      <c r="E30" s="147"/>
      <c r="F30" s="95"/>
      <c r="G30" s="146"/>
      <c r="H30" s="95">
        <v>52992</v>
      </c>
      <c r="I30" s="147"/>
      <c r="J30" s="95"/>
      <c r="K30" s="96">
        <v>13759</v>
      </c>
      <c r="L30" s="97">
        <f t="shared" si="1"/>
        <v>67581</v>
      </c>
      <c r="M30" s="11"/>
    </row>
    <row r="31" spans="1:13" ht="15" customHeight="1" x14ac:dyDescent="0.25">
      <c r="A31" s="90">
        <v>562.54</v>
      </c>
      <c r="B31" s="171" t="s">
        <v>59</v>
      </c>
      <c r="C31" s="144"/>
      <c r="D31" s="95">
        <f>10080+182280</f>
        <v>192360</v>
      </c>
      <c r="E31" s="147"/>
      <c r="F31" s="95"/>
      <c r="G31" s="146"/>
      <c r="H31" s="95"/>
      <c r="I31" s="147"/>
      <c r="J31" s="95"/>
      <c r="K31" s="96"/>
      <c r="L31" s="97">
        <f t="shared" si="1"/>
        <v>192360</v>
      </c>
      <c r="M31" s="11"/>
    </row>
    <row r="32" spans="1:13" ht="1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/>
      <c r="H32" s="95"/>
      <c r="I32" s="147"/>
      <c r="J32" s="95"/>
      <c r="K32" s="96"/>
      <c r="L32" s="97">
        <f t="shared" si="1"/>
        <v>0</v>
      </c>
      <c r="M32" s="11"/>
    </row>
    <row r="33" spans="1:13" ht="15" customHeight="1" x14ac:dyDescent="0.25">
      <c r="A33" s="90">
        <v>562.55999999999995</v>
      </c>
      <c r="B33" s="171" t="s">
        <v>19</v>
      </c>
      <c r="C33" s="144"/>
      <c r="D33" s="95">
        <v>201412</v>
      </c>
      <c r="E33" s="147"/>
      <c r="F33" s="95"/>
      <c r="G33" s="146"/>
      <c r="H33" s="95"/>
      <c r="I33" s="147"/>
      <c r="J33" s="95"/>
      <c r="K33" s="96"/>
      <c r="L33" s="97">
        <f t="shared" si="1"/>
        <v>201412</v>
      </c>
      <c r="M33" s="11"/>
    </row>
    <row r="34" spans="1:13" ht="1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" customHeight="1" x14ac:dyDescent="0.25">
      <c r="A35" s="90">
        <v>562.58000000000004</v>
      </c>
      <c r="B35" s="171" t="s">
        <v>47</v>
      </c>
      <c r="C35" s="144"/>
      <c r="D35" s="95"/>
      <c r="E35" s="147"/>
      <c r="F35" s="95"/>
      <c r="G35" s="146"/>
      <c r="H35" s="95"/>
      <c r="I35" s="147"/>
      <c r="J35" s="95"/>
      <c r="K35" s="96"/>
      <c r="L35" s="97">
        <f t="shared" si="1"/>
        <v>0</v>
      </c>
      <c r="M35" s="11"/>
    </row>
    <row r="36" spans="1:13" ht="15" customHeight="1" x14ac:dyDescent="0.25">
      <c r="A36" s="90">
        <v>562.59</v>
      </c>
      <c r="B36" s="171" t="s">
        <v>48</v>
      </c>
      <c r="C36" s="144">
        <v>200000</v>
      </c>
      <c r="D36" s="95">
        <v>17743</v>
      </c>
      <c r="E36" s="147"/>
      <c r="F36" s="95"/>
      <c r="G36" s="146"/>
      <c r="H36" s="95"/>
      <c r="I36" s="147"/>
      <c r="J36" s="95"/>
      <c r="K36" s="96">
        <v>100000</v>
      </c>
      <c r="L36" s="97">
        <f t="shared" si="1"/>
        <v>317743</v>
      </c>
      <c r="M36" s="11"/>
    </row>
    <row r="37" spans="1:13" ht="15" customHeight="1" x14ac:dyDescent="0.25">
      <c r="A37" s="90">
        <v>562.6</v>
      </c>
      <c r="B37" s="171" t="s">
        <v>20</v>
      </c>
      <c r="C37" s="144"/>
      <c r="D37" s="95"/>
      <c r="E37" s="147"/>
      <c r="F37" s="95"/>
      <c r="G37" s="146"/>
      <c r="H37" s="95"/>
      <c r="I37" s="147"/>
      <c r="J37" s="95"/>
      <c r="K37" s="96"/>
      <c r="L37" s="97">
        <f t="shared" si="1"/>
        <v>0</v>
      </c>
      <c r="M37" s="11"/>
    </row>
    <row r="38" spans="1:13" ht="15" customHeight="1" x14ac:dyDescent="0.25">
      <c r="A38" s="90">
        <v>562.71</v>
      </c>
      <c r="B38" s="171" t="s">
        <v>21</v>
      </c>
      <c r="C38" s="144"/>
      <c r="D38" s="95">
        <v>48432</v>
      </c>
      <c r="E38" s="147"/>
      <c r="F38" s="95"/>
      <c r="G38" s="146"/>
      <c r="H38" s="95"/>
      <c r="I38" s="147"/>
      <c r="J38" s="95"/>
      <c r="K38" s="96"/>
      <c r="L38" s="97">
        <f t="shared" si="1"/>
        <v>48432</v>
      </c>
      <c r="M38" s="11"/>
    </row>
    <row r="39" spans="1:13" ht="15" customHeight="1" x14ac:dyDescent="0.25">
      <c r="A39" s="90">
        <v>562.72</v>
      </c>
      <c r="B39" s="171" t="s">
        <v>22</v>
      </c>
      <c r="C39" s="144"/>
      <c r="D39" s="95">
        <v>91901</v>
      </c>
      <c r="E39" s="147"/>
      <c r="F39" s="95"/>
      <c r="G39" s="146"/>
      <c r="H39" s="95"/>
      <c r="I39" s="147"/>
      <c r="J39" s="95"/>
      <c r="K39" s="96"/>
      <c r="L39" s="97">
        <f t="shared" si="1"/>
        <v>91901</v>
      </c>
      <c r="M39" s="11"/>
    </row>
    <row r="40" spans="1:13" ht="1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/>
      <c r="H40" s="95"/>
      <c r="I40" s="147"/>
      <c r="J40" s="95"/>
      <c r="K40" s="96"/>
      <c r="L40" s="97">
        <f t="shared" si="1"/>
        <v>0</v>
      </c>
      <c r="M40" s="11"/>
    </row>
    <row r="41" spans="1:13" ht="1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/>
      <c r="H43" s="95"/>
      <c r="I43" s="147"/>
      <c r="J43" s="95"/>
      <c r="K43" s="96"/>
      <c r="L43" s="97">
        <f t="shared" si="1"/>
        <v>0</v>
      </c>
      <c r="M43" s="11"/>
    </row>
    <row r="44" spans="1:13" ht="15" customHeight="1" x14ac:dyDescent="0.25">
      <c r="A44" s="90">
        <v>562.79999999999995</v>
      </c>
      <c r="B44" s="171" t="s">
        <v>26</v>
      </c>
      <c r="C44" s="144"/>
      <c r="D44" s="95"/>
      <c r="E44" s="147"/>
      <c r="F44" s="95"/>
      <c r="G44" s="146"/>
      <c r="H44" s="95"/>
      <c r="I44" s="147"/>
      <c r="J44" s="95"/>
      <c r="K44" s="96"/>
      <c r="L44" s="97">
        <f t="shared" si="1"/>
        <v>0</v>
      </c>
      <c r="M44" s="11"/>
    </row>
    <row r="45" spans="1:13" ht="1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/>
      <c r="H45" s="95"/>
      <c r="I45" s="147">
        <v>42206</v>
      </c>
      <c r="J45" s="95">
        <f>853+2956</f>
        <v>3809</v>
      </c>
      <c r="K45" s="96"/>
      <c r="L45" s="97">
        <f t="shared" si="1"/>
        <v>46015</v>
      </c>
      <c r="M45" s="11"/>
    </row>
    <row r="46" spans="1:13" ht="15" customHeight="1" x14ac:dyDescent="0.25">
      <c r="A46" s="90">
        <v>562.9</v>
      </c>
      <c r="B46" s="171" t="s">
        <v>27</v>
      </c>
      <c r="C46" s="144"/>
      <c r="D46" s="95"/>
      <c r="E46" s="147"/>
      <c r="F46" s="95"/>
      <c r="G46" s="146"/>
      <c r="H46" s="95"/>
      <c r="I46" s="147"/>
      <c r="J46" s="95"/>
      <c r="K46" s="96"/>
      <c r="L46" s="97">
        <f t="shared" si="1"/>
        <v>0</v>
      </c>
      <c r="M46" s="11"/>
    </row>
    <row r="47" spans="1:13" ht="1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" customHeight="1" thickBot="1" x14ac:dyDescent="0.3">
      <c r="A48" s="153" t="s">
        <v>63</v>
      </c>
      <c r="B48" s="487" t="s">
        <v>29</v>
      </c>
      <c r="C48" s="155">
        <f t="shared" ref="C48:K48" si="2">SUM(C5:C47)</f>
        <v>544506</v>
      </c>
      <c r="D48" s="112">
        <f t="shared" si="2"/>
        <v>759344</v>
      </c>
      <c r="E48" s="158">
        <f t="shared" si="2"/>
        <v>62852</v>
      </c>
      <c r="F48" s="112">
        <f t="shared" si="2"/>
        <v>43147</v>
      </c>
      <c r="G48" s="157">
        <f t="shared" si="2"/>
        <v>263134</v>
      </c>
      <c r="H48" s="112">
        <f t="shared" si="2"/>
        <v>53513</v>
      </c>
      <c r="I48" s="158">
        <f t="shared" si="2"/>
        <v>736636</v>
      </c>
      <c r="J48" s="112">
        <f t="shared" si="2"/>
        <v>49785</v>
      </c>
      <c r="K48" s="113">
        <f t="shared" si="2"/>
        <v>133525</v>
      </c>
      <c r="L48" s="160">
        <f>SUM(C48:K48)</f>
        <v>2646442</v>
      </c>
      <c r="M48" s="11"/>
    </row>
    <row r="49" spans="1:13" ht="15" customHeight="1" x14ac:dyDescent="0.25">
      <c r="A49" s="90">
        <v>523</v>
      </c>
      <c r="B49" s="488" t="s">
        <v>30</v>
      </c>
      <c r="C49" s="489"/>
      <c r="D49" s="95"/>
      <c r="E49" s="147"/>
      <c r="F49" s="95"/>
      <c r="G49" s="146"/>
      <c r="H49" s="94"/>
      <c r="I49" s="145"/>
      <c r="J49" s="95">
        <v>4215</v>
      </c>
      <c r="K49" s="96"/>
      <c r="L49" s="97">
        <f t="shared" ref="L49:L59" si="3">SUM(C49:K49)</f>
        <v>4215</v>
      </c>
      <c r="M49" s="11"/>
    </row>
    <row r="50" spans="1:13" ht="1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" customHeight="1" x14ac:dyDescent="0.25">
      <c r="A51" s="90">
        <v>527.70000000000005</v>
      </c>
      <c r="B51" s="488" t="s">
        <v>32</v>
      </c>
      <c r="C51" s="489"/>
      <c r="D51" s="95"/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" customHeight="1" x14ac:dyDescent="0.25">
      <c r="A52" s="90">
        <v>551.20000000000005</v>
      </c>
      <c r="B52" s="488" t="s">
        <v>33</v>
      </c>
      <c r="C52" s="489"/>
      <c r="D52" s="95"/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" customHeight="1" x14ac:dyDescent="0.25">
      <c r="A53" s="90">
        <v>554</v>
      </c>
      <c r="B53" s="488" t="s">
        <v>61</v>
      </c>
      <c r="C53" s="489"/>
      <c r="D53" s="95"/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" customHeight="1" x14ac:dyDescent="0.25">
      <c r="A54" s="90">
        <v>555</v>
      </c>
      <c r="B54" s="488" t="s">
        <v>34</v>
      </c>
      <c r="C54" s="489"/>
      <c r="D54" s="95"/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" customHeight="1" x14ac:dyDescent="0.25">
      <c r="A55" s="90">
        <v>563</v>
      </c>
      <c r="B55" s="488" t="s">
        <v>35</v>
      </c>
      <c r="C55" s="489"/>
      <c r="D55" s="95"/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" customHeight="1" x14ac:dyDescent="0.25">
      <c r="A56" s="90">
        <v>564</v>
      </c>
      <c r="B56" s="488" t="s">
        <v>36</v>
      </c>
      <c r="C56" s="489"/>
      <c r="D56" s="95"/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" customHeight="1" x14ac:dyDescent="0.25">
      <c r="A57" s="90">
        <v>566</v>
      </c>
      <c r="B57" s="488" t="s">
        <v>37</v>
      </c>
      <c r="C57" s="489"/>
      <c r="D57" s="95">
        <v>7051</v>
      </c>
      <c r="E57" s="147"/>
      <c r="F57" s="95"/>
      <c r="G57" s="146"/>
      <c r="H57" s="94">
        <v>34568</v>
      </c>
      <c r="I57" s="145"/>
      <c r="J57" s="95"/>
      <c r="K57" s="96"/>
      <c r="L57" s="97">
        <f t="shared" si="3"/>
        <v>41619</v>
      </c>
      <c r="M57" s="11"/>
    </row>
    <row r="58" spans="1:13" ht="15" customHeight="1" x14ac:dyDescent="0.25">
      <c r="A58" s="90">
        <v>568</v>
      </c>
      <c r="B58" s="488" t="s">
        <v>38</v>
      </c>
      <c r="C58" s="489"/>
      <c r="D58" s="95">
        <v>761927</v>
      </c>
      <c r="E58" s="147"/>
      <c r="F58" s="95"/>
      <c r="G58" s="146"/>
      <c r="H58" s="94"/>
      <c r="I58" s="145"/>
      <c r="J58" s="95"/>
      <c r="K58" s="96"/>
      <c r="L58" s="97">
        <f t="shared" si="3"/>
        <v>761927</v>
      </c>
      <c r="M58" s="11"/>
    </row>
    <row r="59" spans="1:13" ht="15" customHeight="1" thickBot="1" x14ac:dyDescent="0.3">
      <c r="A59" s="90">
        <v>500</v>
      </c>
      <c r="B59" s="488" t="s">
        <v>66</v>
      </c>
      <c r="C59" s="489"/>
      <c r="D59" s="95">
        <v>480712</v>
      </c>
      <c r="E59" s="147"/>
      <c r="F59" s="95"/>
      <c r="G59" s="146"/>
      <c r="H59" s="94">
        <v>734753</v>
      </c>
      <c r="I59" s="145"/>
      <c r="J59" s="95">
        <v>167700</v>
      </c>
      <c r="K59" s="96"/>
      <c r="L59" s="97">
        <f t="shared" si="3"/>
        <v>1383165</v>
      </c>
      <c r="M59" s="11"/>
    </row>
    <row r="60" spans="1:13" ht="15" customHeight="1" thickBot="1" x14ac:dyDescent="0.3">
      <c r="A60" s="173"/>
      <c r="B60" s="490" t="s">
        <v>41</v>
      </c>
      <c r="C60" s="491">
        <f>SUM(C48:C59)</f>
        <v>544506</v>
      </c>
      <c r="D60" s="112">
        <f>SUM(D48:D59)</f>
        <v>2009034</v>
      </c>
      <c r="E60" s="158">
        <f t="shared" ref="E60:K60" si="4">SUM(E48:E59)</f>
        <v>62852</v>
      </c>
      <c r="F60" s="112">
        <f>SUM(F48:F59)</f>
        <v>43147</v>
      </c>
      <c r="G60" s="157">
        <f t="shared" si="4"/>
        <v>263134</v>
      </c>
      <c r="H60" s="111">
        <f t="shared" si="4"/>
        <v>822834</v>
      </c>
      <c r="I60" s="156">
        <f t="shared" si="4"/>
        <v>736636</v>
      </c>
      <c r="J60" s="112">
        <f t="shared" si="4"/>
        <v>221700</v>
      </c>
      <c r="K60" s="113">
        <f t="shared" si="4"/>
        <v>133525</v>
      </c>
      <c r="L60" s="492">
        <f>SUM(C60:K60)</f>
        <v>4837368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544506</v>
      </c>
      <c r="D66" s="188">
        <f>C60/L60</f>
        <v>0.11256245131650104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2009034</v>
      </c>
      <c r="D67" s="191">
        <f>D60/L60</f>
        <v>0.41531551868702155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2553540</v>
      </c>
      <c r="D68" s="194">
        <f>SUM(D66:D67)</f>
        <v>0.52787797000352255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62852</v>
      </c>
      <c r="D70" s="200">
        <f>E60/$L60</f>
        <v>1.2993016036820022E-2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43147</v>
      </c>
      <c r="D71" s="200">
        <f>F60/L60</f>
        <v>8.9195198711365352E-3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263134</v>
      </c>
      <c r="D72" s="200">
        <f>G60/$L60</f>
        <v>5.4396109619942082E-2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822834</v>
      </c>
      <c r="D73" s="203">
        <f>H60/$L60</f>
        <v>0.17009952519634644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1191967</v>
      </c>
      <c r="D74" s="194">
        <f>SUM(D70:D73)</f>
        <v>0.24640817072424509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736636</v>
      </c>
      <c r="D76" s="188">
        <f>I60/L60</f>
        <v>0.15228033095683438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221700</v>
      </c>
      <c r="D77" s="191">
        <f>J60/L60</f>
        <v>4.5830707938697243E-2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958336</v>
      </c>
      <c r="D78" s="194">
        <f>SUM(D76:D77)</f>
        <v>0.19811103889553161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133525</v>
      </c>
      <c r="D80" s="194">
        <f>K60/L60</f>
        <v>2.7602820376700719E-2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4837368</v>
      </c>
      <c r="D81" s="212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72" priority="5">
      <formula>ROW()=EVEN(ROW())</formula>
    </cfRule>
  </conditionalFormatting>
  <conditionalFormatting sqref="L49:L59">
    <cfRule type="expression" dxfId="71" priority="3">
      <formula>ROW()=EVEN(ROW())</formula>
    </cfRule>
  </conditionalFormatting>
  <conditionalFormatting sqref="L5:L10">
    <cfRule type="expression" dxfId="70" priority="4">
      <formula>ROW()=EVEN(ROW())</formula>
    </cfRule>
  </conditionalFormatting>
  <conditionalFormatting sqref="A6:K10">
    <cfRule type="expression" dxfId="69" priority="2">
      <formula>ROW()=EVEN(ROW())</formula>
    </cfRule>
  </conditionalFormatting>
  <printOptions horizontalCentered="1"/>
  <pageMargins left="0" right="0" top="0.98" bottom="0.6" header="0.3" footer="0.3"/>
  <pageSetup scale="65" firstPageNumber="40" fitToHeight="2" orientation="landscape" useFirstPageNumber="1" r:id="rId1"/>
  <headerFooter>
    <oddHeader>&amp;C&amp;"Arial,Bold"&amp;16Expenditures by Expenditure Code and Revenue Source
2017
LEWIS</oddHeader>
  </headerFooter>
  <rowBreaks count="1" manualBreakCount="1">
    <brk id="48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18" zoomScaleNormal="100" workbookViewId="0">
      <selection activeCell="B44" sqref="B44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10700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5.0999999999999996</v>
      </c>
      <c r="D2" s="386"/>
      <c r="G2" s="382"/>
      <c r="H2" s="380"/>
      <c r="I2" s="380"/>
      <c r="J2" s="531" t="s">
        <v>143</v>
      </c>
      <c r="K2" s="531"/>
      <c r="L2" s="480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18569</v>
      </c>
      <c r="D5" s="219"/>
      <c r="E5" s="221"/>
      <c r="F5" s="219"/>
      <c r="G5" s="220"/>
      <c r="H5" s="219">
        <f>3+117</f>
        <v>120</v>
      </c>
      <c r="I5" s="221"/>
      <c r="J5" s="219"/>
      <c r="K5" s="222">
        <v>752</v>
      </c>
      <c r="L5" s="223">
        <f>SUM(C5:K5)</f>
        <v>19441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>
        <v>8374</v>
      </c>
      <c r="G10" s="311"/>
      <c r="H10" s="299"/>
      <c r="I10" s="310"/>
      <c r="J10" s="299"/>
      <c r="K10" s="313"/>
      <c r="L10" s="223">
        <f t="shared" si="0"/>
        <v>8374</v>
      </c>
      <c r="M10" s="11"/>
    </row>
    <row r="11" spans="1:13" ht="15" customHeight="1" x14ac:dyDescent="0.25">
      <c r="A11" s="214">
        <v>562.22</v>
      </c>
      <c r="B11" s="350" t="s">
        <v>51</v>
      </c>
      <c r="C11" s="216">
        <v>8027</v>
      </c>
      <c r="D11" s="219"/>
      <c r="E11" s="221"/>
      <c r="F11" s="219"/>
      <c r="G11" s="220">
        <v>19358</v>
      </c>
      <c r="H11" s="219"/>
      <c r="I11" s="221">
        <v>27477</v>
      </c>
      <c r="J11" s="219"/>
      <c r="K11" s="222"/>
      <c r="L11" s="223">
        <f t="shared" ref="L11:L47" si="1">SUM(C11:K11)</f>
        <v>54862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/>
      <c r="K12" s="222"/>
      <c r="L12" s="223">
        <f t="shared" si="1"/>
        <v>0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>
        <v>3664</v>
      </c>
      <c r="D16" s="219"/>
      <c r="E16" s="221"/>
      <c r="F16" s="219"/>
      <c r="G16" s="220"/>
      <c r="H16" s="219"/>
      <c r="I16" s="221">
        <f>180+59729+1047+9983</f>
        <v>70939</v>
      </c>
      <c r="J16" s="219"/>
      <c r="K16" s="222"/>
      <c r="L16" s="223">
        <f t="shared" si="1"/>
        <v>74603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>
        <v>12194</v>
      </c>
      <c r="E17" s="221"/>
      <c r="F17" s="219"/>
      <c r="G17" s="220">
        <v>8394</v>
      </c>
      <c r="H17" s="219">
        <v>3204</v>
      </c>
      <c r="I17" s="221"/>
      <c r="J17" s="219"/>
      <c r="K17" s="222"/>
      <c r="L17" s="223">
        <f t="shared" si="1"/>
        <v>23792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/>
      <c r="E18" s="221"/>
      <c r="F18" s="219">
        <v>759</v>
      </c>
      <c r="G18" s="220">
        <v>26278</v>
      </c>
      <c r="H18" s="219"/>
      <c r="I18" s="221">
        <v>6212</v>
      </c>
      <c r="J18" s="219"/>
      <c r="K18" s="222"/>
      <c r="L18" s="223">
        <f t="shared" si="1"/>
        <v>33249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0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1221</v>
      </c>
      <c r="D20" s="219">
        <v>770</v>
      </c>
      <c r="E20" s="221"/>
      <c r="F20" s="219"/>
      <c r="G20" s="220">
        <v>7570</v>
      </c>
      <c r="H20" s="219"/>
      <c r="I20" s="221"/>
      <c r="J20" s="219"/>
      <c r="K20" s="222"/>
      <c r="L20" s="223">
        <f t="shared" si="1"/>
        <v>9561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50" t="s">
        <v>14</v>
      </c>
      <c r="C22" s="216"/>
      <c r="D22" s="219"/>
      <c r="E22" s="221"/>
      <c r="F22" s="219">
        <v>3481</v>
      </c>
      <c r="G22" s="220">
        <v>23040</v>
      </c>
      <c r="H22" s="219"/>
      <c r="I22" s="221"/>
      <c r="J22" s="219"/>
      <c r="K22" s="222"/>
      <c r="L22" s="223">
        <f t="shared" si="1"/>
        <v>26521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>
        <f>2500+16319+2597</f>
        <v>21416</v>
      </c>
      <c r="I26" s="221"/>
      <c r="J26" s="219">
        <v>4356</v>
      </c>
      <c r="K26" s="222"/>
      <c r="L26" s="223">
        <f t="shared" si="1"/>
        <v>25772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>
        <v>2818</v>
      </c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2818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v>3486</v>
      </c>
      <c r="E29" s="221">
        <v>20000</v>
      </c>
      <c r="F29" s="219"/>
      <c r="G29" s="220"/>
      <c r="H29" s="219"/>
      <c r="I29" s="221"/>
      <c r="J29" s="219"/>
      <c r="K29" s="222"/>
      <c r="L29" s="223">
        <f t="shared" si="1"/>
        <v>23486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8646</v>
      </c>
      <c r="D30" s="219">
        <v>1800</v>
      </c>
      <c r="E30" s="221"/>
      <c r="F30" s="219"/>
      <c r="G30" s="220"/>
      <c r="H30" s="219">
        <v>6420</v>
      </c>
      <c r="I30" s="221"/>
      <c r="J30" s="219"/>
      <c r="K30" s="222"/>
      <c r="L30" s="223">
        <f t="shared" si="1"/>
        <v>16866</v>
      </c>
      <c r="M30" s="11"/>
    </row>
    <row r="31" spans="1:13" ht="15" customHeight="1" x14ac:dyDescent="0.25">
      <c r="A31" s="214">
        <v>562.54</v>
      </c>
      <c r="B31" s="350" t="s">
        <v>59</v>
      </c>
      <c r="C31" s="216">
        <v>25388</v>
      </c>
      <c r="D31" s="219">
        <v>36650</v>
      </c>
      <c r="E31" s="221"/>
      <c r="F31" s="219"/>
      <c r="G31" s="220"/>
      <c r="H31" s="219"/>
      <c r="I31" s="221"/>
      <c r="J31" s="219"/>
      <c r="K31" s="222"/>
      <c r="L31" s="223">
        <f t="shared" si="1"/>
        <v>62038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>
        <v>1275</v>
      </c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1275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>
        <v>1978</v>
      </c>
      <c r="D33" s="219">
        <v>22765</v>
      </c>
      <c r="E33" s="221"/>
      <c r="F33" s="219"/>
      <c r="G33" s="220">
        <v>17566</v>
      </c>
      <c r="H33" s="219"/>
      <c r="I33" s="221"/>
      <c r="J33" s="219">
        <v>140</v>
      </c>
      <c r="K33" s="222"/>
      <c r="L33" s="223">
        <f t="shared" si="1"/>
        <v>42449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>
        <v>1327</v>
      </c>
      <c r="D35" s="219">
        <v>1500</v>
      </c>
      <c r="E35" s="221"/>
      <c r="F35" s="219"/>
      <c r="G35" s="220"/>
      <c r="H35" s="219"/>
      <c r="I35" s="221"/>
      <c r="J35" s="219"/>
      <c r="K35" s="222"/>
      <c r="L35" s="223">
        <f t="shared" si="1"/>
        <v>2827</v>
      </c>
      <c r="M35" s="11"/>
    </row>
    <row r="36" spans="1:13" ht="15" customHeight="1" x14ac:dyDescent="0.25">
      <c r="A36" s="214">
        <v>562.59</v>
      </c>
      <c r="B36" s="350" t="s">
        <v>48</v>
      </c>
      <c r="C36" s="216">
        <v>1972</v>
      </c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1972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50" t="s">
        <v>21</v>
      </c>
      <c r="C38" s="216">
        <v>14691</v>
      </c>
      <c r="D38" s="219">
        <f>2407+2575</f>
        <v>4982</v>
      </c>
      <c r="E38" s="221"/>
      <c r="F38" s="219"/>
      <c r="G38" s="220"/>
      <c r="H38" s="219"/>
      <c r="I38" s="221"/>
      <c r="J38" s="219"/>
      <c r="K38" s="222"/>
      <c r="L38" s="223">
        <f t="shared" si="1"/>
        <v>19673</v>
      </c>
      <c r="M38" s="11"/>
    </row>
    <row r="39" spans="1:13" ht="15" customHeight="1" x14ac:dyDescent="0.25">
      <c r="A39" s="214">
        <v>562.72</v>
      </c>
      <c r="B39" s="350" t="s">
        <v>22</v>
      </c>
      <c r="C39" s="216">
        <v>7486</v>
      </c>
      <c r="D39" s="219">
        <f>25092+110</f>
        <v>25202</v>
      </c>
      <c r="E39" s="221"/>
      <c r="F39" s="219"/>
      <c r="G39" s="220"/>
      <c r="H39" s="219"/>
      <c r="I39" s="221"/>
      <c r="J39" s="219"/>
      <c r="K39" s="222"/>
      <c r="L39" s="223">
        <f t="shared" si="1"/>
        <v>32688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>
        <v>2451</v>
      </c>
      <c r="G44" s="220">
        <v>11255</v>
      </c>
      <c r="H44" s="219"/>
      <c r="I44" s="221"/>
      <c r="J44" s="219"/>
      <c r="K44" s="222">
        <v>605</v>
      </c>
      <c r="L44" s="223">
        <f t="shared" si="1"/>
        <v>14311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>
        <v>3106</v>
      </c>
      <c r="G45" s="220">
        <v>456</v>
      </c>
      <c r="H45" s="219"/>
      <c r="I45" s="221">
        <v>19839</v>
      </c>
      <c r="J45" s="219">
        <v>10000</v>
      </c>
      <c r="K45" s="222"/>
      <c r="L45" s="223">
        <f t="shared" si="1"/>
        <v>33401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97062</v>
      </c>
      <c r="D48" s="364">
        <f t="shared" si="2"/>
        <v>109349</v>
      </c>
      <c r="E48" s="366">
        <f t="shared" si="2"/>
        <v>20000</v>
      </c>
      <c r="F48" s="364">
        <f t="shared" si="2"/>
        <v>18171</v>
      </c>
      <c r="G48" s="365">
        <f t="shared" si="2"/>
        <v>113917</v>
      </c>
      <c r="H48" s="364">
        <f t="shared" si="2"/>
        <v>31160</v>
      </c>
      <c r="I48" s="366">
        <f t="shared" si="2"/>
        <v>124467</v>
      </c>
      <c r="J48" s="364">
        <f t="shared" si="2"/>
        <v>14496</v>
      </c>
      <c r="K48" s="456">
        <f t="shared" si="2"/>
        <v>1357</v>
      </c>
      <c r="L48" s="405">
        <f>SUM(C48:K48)</f>
        <v>529979</v>
      </c>
      <c r="M48" s="11"/>
    </row>
    <row r="49" spans="1:13" ht="15" customHeight="1" x14ac:dyDescent="0.25">
      <c r="A49" s="214">
        <v>523</v>
      </c>
      <c r="B49" s="309" t="s">
        <v>30</v>
      </c>
      <c r="C49" s="400">
        <v>0</v>
      </c>
      <c r="D49" s="219">
        <v>0</v>
      </c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97062</v>
      </c>
      <c r="D60" s="364">
        <f>SUM(D48:D59)</f>
        <v>109349</v>
      </c>
      <c r="E60" s="366">
        <f t="shared" ref="E60:K60" si="4">SUM(E48:E59)</f>
        <v>20000</v>
      </c>
      <c r="F60" s="364">
        <f>SUM(F48:F59)</f>
        <v>18171</v>
      </c>
      <c r="G60" s="365">
        <f t="shared" si="4"/>
        <v>113917</v>
      </c>
      <c r="H60" s="362">
        <f t="shared" si="4"/>
        <v>31160</v>
      </c>
      <c r="I60" s="363">
        <f t="shared" si="4"/>
        <v>124467</v>
      </c>
      <c r="J60" s="364">
        <f t="shared" si="4"/>
        <v>14496</v>
      </c>
      <c r="K60" s="456">
        <f t="shared" si="4"/>
        <v>1357</v>
      </c>
      <c r="L60" s="409">
        <f>SUM(C60:K60)</f>
        <v>529979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97062</v>
      </c>
      <c r="D66" s="422">
        <f>C60/L60</f>
        <v>0.18314310567022468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109349</v>
      </c>
      <c r="D67" s="425">
        <f>D60/L60</f>
        <v>0.20632704314699263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206411</v>
      </c>
      <c r="D68" s="428">
        <f>SUM(D66:D67)</f>
        <v>0.38947014881721731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20000</v>
      </c>
      <c r="D70" s="434">
        <f>E60/$L60</f>
        <v>3.773734430986888E-2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18171</v>
      </c>
      <c r="D71" s="434">
        <f>F60/L60</f>
        <v>3.4286264172731375E-2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113917</v>
      </c>
      <c r="D72" s="434">
        <f>G60/$L60</f>
        <v>0.21494625258736666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31160</v>
      </c>
      <c r="D73" s="437">
        <f>H60/$L60</f>
        <v>5.8794782434775719E-2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183248</v>
      </c>
      <c r="D74" s="428">
        <f>SUM(D70:D73)</f>
        <v>0.34576464350474262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124467</v>
      </c>
      <c r="D76" s="422">
        <f>I60/L60</f>
        <v>0.23485270171082251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14496</v>
      </c>
      <c r="D77" s="425">
        <f>J60/L60</f>
        <v>2.7352027155792966E-2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138963</v>
      </c>
      <c r="D78" s="428">
        <f>SUM(D76:D77)</f>
        <v>0.2622047288666155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1357</v>
      </c>
      <c r="D80" s="428">
        <f>K60/L60</f>
        <v>2.5604788114246034E-3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529979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68" priority="5">
      <formula>ROW()=EVEN(ROW())</formula>
    </cfRule>
  </conditionalFormatting>
  <conditionalFormatting sqref="L49:L59">
    <cfRule type="expression" dxfId="67" priority="3">
      <formula>ROW()=EVEN(ROW())</formula>
    </cfRule>
  </conditionalFormatting>
  <conditionalFormatting sqref="L5:L10">
    <cfRule type="expression" dxfId="66" priority="4">
      <formula>ROW()=EVEN(ROW())</formula>
    </cfRule>
  </conditionalFormatting>
  <conditionalFormatting sqref="A6:K10">
    <cfRule type="expression" dxfId="65" priority="2">
      <formula>ROW()=EVEN(ROW())</formula>
    </cfRule>
  </conditionalFormatting>
  <printOptions horizontalCentered="1"/>
  <pageMargins left="0" right="0" top="0.98" bottom="0.6" header="0.3" footer="0.3"/>
  <pageSetup scale="65" firstPageNumber="42" fitToHeight="2" orientation="landscape" useFirstPageNumber="1" r:id="rId1"/>
  <headerFooter>
    <oddHeader>&amp;C&amp;"Arial,Bold"&amp;16Expenditures by Expenditure Code and Revenue Source
2017
LINCOLN</oddHeader>
  </headerFooter>
  <rowBreaks count="1" manualBreakCount="1">
    <brk id="4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zoomScaleNormal="100" workbookViewId="0">
      <selection activeCell="F1" sqref="F1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63190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19.25</v>
      </c>
      <c r="D2" s="386"/>
      <c r="G2" s="382"/>
      <c r="H2" s="380"/>
      <c r="I2" s="380"/>
      <c r="J2" s="531" t="s">
        <v>143</v>
      </c>
      <c r="K2" s="531"/>
      <c r="L2" s="493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109997</v>
      </c>
      <c r="D5" s="219">
        <v>17424</v>
      </c>
      <c r="E5" s="221"/>
      <c r="F5" s="219"/>
      <c r="G5" s="220"/>
      <c r="H5" s="219">
        <v>7899</v>
      </c>
      <c r="I5" s="221"/>
      <c r="J5" s="219">
        <v>33669</v>
      </c>
      <c r="K5" s="222"/>
      <c r="L5" s="223">
        <f>SUM(C5:K5)</f>
        <v>168989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>
        <v>6907</v>
      </c>
      <c r="G7" s="311"/>
      <c r="H7" s="299"/>
      <c r="I7" s="310"/>
      <c r="J7" s="299"/>
      <c r="K7" s="313"/>
      <c r="L7" s="223">
        <f t="shared" si="0"/>
        <v>6907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>
        <f>2240+30000</f>
        <v>32240</v>
      </c>
      <c r="D11" s="219"/>
      <c r="E11" s="221"/>
      <c r="F11" s="219"/>
      <c r="G11" s="220">
        <v>60000</v>
      </c>
      <c r="H11" s="219">
        <v>100311</v>
      </c>
      <c r="I11" s="221">
        <v>33785</v>
      </c>
      <c r="J11" s="219">
        <v>128578</v>
      </c>
      <c r="K11" s="222">
        <v>57903</v>
      </c>
      <c r="L11" s="223">
        <f t="shared" ref="L11:L47" si="1">SUM(C11:K11)</f>
        <v>412817</v>
      </c>
      <c r="M11" s="11"/>
    </row>
    <row r="12" spans="1:13" ht="15" customHeight="1" x14ac:dyDescent="0.25">
      <c r="A12" s="214">
        <v>562.24</v>
      </c>
      <c r="B12" s="350" t="s">
        <v>10</v>
      </c>
      <c r="C12" s="216">
        <v>468</v>
      </c>
      <c r="D12" s="219"/>
      <c r="E12" s="221"/>
      <c r="F12" s="219"/>
      <c r="G12" s="220"/>
      <c r="H12" s="219"/>
      <c r="I12" s="231"/>
      <c r="J12" s="219">
        <v>3331</v>
      </c>
      <c r="K12" s="222"/>
      <c r="L12" s="223">
        <f t="shared" si="1"/>
        <v>3799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>
        <v>18402</v>
      </c>
      <c r="H13" s="219"/>
      <c r="I13" s="221">
        <v>28821</v>
      </c>
      <c r="J13" s="219">
        <v>6781</v>
      </c>
      <c r="K13" s="222"/>
      <c r="L13" s="223">
        <f t="shared" si="1"/>
        <v>54004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" customHeight="1" x14ac:dyDescent="0.25">
      <c r="A17" s="214">
        <v>562.29</v>
      </c>
      <c r="B17" s="350" t="s">
        <v>45</v>
      </c>
      <c r="C17" s="216">
        <v>1345</v>
      </c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1345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/>
      <c r="E18" s="221"/>
      <c r="F18" s="219"/>
      <c r="G18" s="220">
        <v>16356</v>
      </c>
      <c r="H18" s="219"/>
      <c r="I18" s="221">
        <f>10522+6242</f>
        <v>16764</v>
      </c>
      <c r="J18" s="219"/>
      <c r="K18" s="222"/>
      <c r="L18" s="223">
        <f t="shared" si="1"/>
        <v>33120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>
        <v>13844</v>
      </c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13844</v>
      </c>
      <c r="M19" s="11"/>
    </row>
    <row r="20" spans="1:13" ht="15" customHeight="1" x14ac:dyDescent="0.25">
      <c r="A20" s="214">
        <v>562.34</v>
      </c>
      <c r="B20" s="350" t="s">
        <v>12</v>
      </c>
      <c r="C20" s="216">
        <v>21066</v>
      </c>
      <c r="D20" s="219"/>
      <c r="E20" s="221"/>
      <c r="F20" s="219"/>
      <c r="G20" s="220"/>
      <c r="H20" s="219"/>
      <c r="I20" s="221"/>
      <c r="J20" s="219"/>
      <c r="K20" s="222"/>
      <c r="L20" s="223">
        <f t="shared" si="1"/>
        <v>21066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50" t="s">
        <v>14</v>
      </c>
      <c r="C22" s="216">
        <v>67922</v>
      </c>
      <c r="D22" s="219"/>
      <c r="E22" s="221"/>
      <c r="F22" s="219"/>
      <c r="G22" s="220"/>
      <c r="H22" s="219"/>
      <c r="I22" s="221"/>
      <c r="J22" s="219"/>
      <c r="K22" s="222"/>
      <c r="L22" s="223">
        <f t="shared" si="1"/>
        <v>67922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>
        <v>2822</v>
      </c>
      <c r="I26" s="221"/>
      <c r="J26" s="219"/>
      <c r="K26" s="222"/>
      <c r="L26" s="223">
        <f t="shared" si="1"/>
        <v>2822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f>89014+14000</f>
        <v>103014</v>
      </c>
      <c r="E29" s="221">
        <v>5000</v>
      </c>
      <c r="F29" s="219"/>
      <c r="G29" s="220">
        <v>3252</v>
      </c>
      <c r="H29" s="219"/>
      <c r="I29" s="221"/>
      <c r="J29" s="219"/>
      <c r="K29" s="222"/>
      <c r="L29" s="223">
        <f t="shared" si="1"/>
        <v>111266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15912</v>
      </c>
      <c r="D30" s="219">
        <f>3150+43716+10500</f>
        <v>57366</v>
      </c>
      <c r="E30" s="221"/>
      <c r="F30" s="219"/>
      <c r="G30" s="220"/>
      <c r="H30" s="219">
        <v>12402</v>
      </c>
      <c r="I30" s="221"/>
      <c r="J30" s="219"/>
      <c r="K30" s="222"/>
      <c r="L30" s="223">
        <f t="shared" si="1"/>
        <v>85680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>
        <f>159075+160073</f>
        <v>319148</v>
      </c>
      <c r="E31" s="221">
        <f>41201+17185</f>
        <v>58386</v>
      </c>
      <c r="F31" s="219"/>
      <c r="G31" s="220"/>
      <c r="H31" s="219"/>
      <c r="I31" s="221">
        <v>50777</v>
      </c>
      <c r="J31" s="219"/>
      <c r="K31" s="222"/>
      <c r="L31" s="223">
        <f t="shared" si="1"/>
        <v>428311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>
        <v>206</v>
      </c>
      <c r="D33" s="219">
        <f>111455+433</f>
        <v>111888</v>
      </c>
      <c r="E33" s="221"/>
      <c r="F33" s="219"/>
      <c r="G33" s="220"/>
      <c r="H33" s="219"/>
      <c r="I33" s="221"/>
      <c r="J33" s="219"/>
      <c r="K33" s="222"/>
      <c r="L33" s="223">
        <f t="shared" si="1"/>
        <v>112094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>
        <v>2312</v>
      </c>
      <c r="E35" s="221"/>
      <c r="F35" s="219"/>
      <c r="G35" s="220"/>
      <c r="H35" s="219"/>
      <c r="I35" s="221"/>
      <c r="J35" s="219"/>
      <c r="K35" s="222"/>
      <c r="L35" s="223">
        <f t="shared" si="1"/>
        <v>2312</v>
      </c>
      <c r="M35" s="11"/>
    </row>
    <row r="36" spans="1:13" ht="15" customHeight="1" x14ac:dyDescent="0.25">
      <c r="A36" s="214">
        <v>562.59</v>
      </c>
      <c r="B36" s="350" t="s">
        <v>48</v>
      </c>
      <c r="C36" s="216">
        <v>6886</v>
      </c>
      <c r="D36" s="219">
        <v>12</v>
      </c>
      <c r="E36" s="221"/>
      <c r="F36" s="219"/>
      <c r="G36" s="220"/>
      <c r="H36" s="219"/>
      <c r="I36" s="221"/>
      <c r="J36" s="219"/>
      <c r="K36" s="222"/>
      <c r="L36" s="223">
        <f t="shared" si="1"/>
        <v>6898</v>
      </c>
      <c r="M36" s="11"/>
    </row>
    <row r="37" spans="1:13" ht="15" customHeight="1" x14ac:dyDescent="0.25">
      <c r="A37" s="214">
        <v>562.6</v>
      </c>
      <c r="B37" s="350" t="s">
        <v>20</v>
      </c>
      <c r="C37" s="216">
        <v>6559</v>
      </c>
      <c r="D37" s="219"/>
      <c r="E37" s="221">
        <v>4629</v>
      </c>
      <c r="F37" s="219"/>
      <c r="G37" s="220">
        <v>69829</v>
      </c>
      <c r="H37" s="219"/>
      <c r="I37" s="221">
        <f>130418+13337</f>
        <v>143755</v>
      </c>
      <c r="J37" s="219">
        <v>27266</v>
      </c>
      <c r="K37" s="222"/>
      <c r="L37" s="223">
        <f t="shared" si="1"/>
        <v>252038</v>
      </c>
      <c r="M37" s="11"/>
    </row>
    <row r="38" spans="1:13" ht="15" customHeight="1" x14ac:dyDescent="0.25">
      <c r="A38" s="214">
        <v>562.71</v>
      </c>
      <c r="B38" s="350" t="s">
        <v>21</v>
      </c>
      <c r="C38" s="216">
        <v>8226</v>
      </c>
      <c r="D38" s="219">
        <v>29348</v>
      </c>
      <c r="E38" s="221"/>
      <c r="F38" s="219"/>
      <c r="G38" s="220"/>
      <c r="H38" s="219"/>
      <c r="I38" s="221"/>
      <c r="J38" s="219"/>
      <c r="K38" s="222"/>
      <c r="L38" s="223">
        <f t="shared" si="1"/>
        <v>37574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>
        <v>22674</v>
      </c>
      <c r="H40" s="219"/>
      <c r="I40" s="221"/>
      <c r="J40" s="219"/>
      <c r="K40" s="222"/>
      <c r="L40" s="223">
        <f t="shared" si="1"/>
        <v>22674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v>36388</v>
      </c>
      <c r="H44" s="219"/>
      <c r="I44" s="221"/>
      <c r="J44" s="219"/>
      <c r="K44" s="222"/>
      <c r="L44" s="223">
        <f t="shared" si="1"/>
        <v>36388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/>
      <c r="H45" s="219"/>
      <c r="I45" s="221"/>
      <c r="J45" s="219"/>
      <c r="K45" s="222"/>
      <c r="L45" s="223">
        <f t="shared" si="1"/>
        <v>0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>
        <v>547</v>
      </c>
      <c r="H46" s="219"/>
      <c r="I46" s="221">
        <v>57542</v>
      </c>
      <c r="J46" s="219"/>
      <c r="K46" s="222"/>
      <c r="L46" s="223">
        <f t="shared" si="1"/>
        <v>58089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284671</v>
      </c>
      <c r="D48" s="364">
        <f t="shared" si="2"/>
        <v>640512</v>
      </c>
      <c r="E48" s="366">
        <f t="shared" si="2"/>
        <v>68015</v>
      </c>
      <c r="F48" s="364">
        <f t="shared" si="2"/>
        <v>6907</v>
      </c>
      <c r="G48" s="365">
        <f t="shared" si="2"/>
        <v>227448</v>
      </c>
      <c r="H48" s="364">
        <f t="shared" si="2"/>
        <v>123434</v>
      </c>
      <c r="I48" s="366">
        <f t="shared" si="2"/>
        <v>331444</v>
      </c>
      <c r="J48" s="364">
        <f t="shared" si="2"/>
        <v>199625</v>
      </c>
      <c r="K48" s="456">
        <f t="shared" si="2"/>
        <v>57903</v>
      </c>
      <c r="L48" s="405">
        <f>SUM(C48:K48)</f>
        <v>1939959</v>
      </c>
      <c r="M48" s="11"/>
    </row>
    <row r="49" spans="1:13" ht="1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2513</v>
      </c>
      <c r="D53" s="219"/>
      <c r="E53" s="221"/>
      <c r="F53" s="219"/>
      <c r="G53" s="220"/>
      <c r="H53" s="217"/>
      <c r="I53" s="218"/>
      <c r="J53" s="219">
        <v>8004</v>
      </c>
      <c r="K53" s="222">
        <v>5332</v>
      </c>
      <c r="L53" s="223">
        <f t="shared" si="3"/>
        <v>15849</v>
      </c>
      <c r="M53" s="11"/>
    </row>
    <row r="54" spans="1:13" ht="1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18690</v>
      </c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18690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61</v>
      </c>
      <c r="D57" s="219"/>
      <c r="E57" s="221"/>
      <c r="F57" s="219"/>
      <c r="G57" s="220"/>
      <c r="H57" s="217"/>
      <c r="I57" s="218">
        <v>43233</v>
      </c>
      <c r="J57" s="219"/>
      <c r="K57" s="222">
        <v>29984</v>
      </c>
      <c r="L57" s="223">
        <f t="shared" si="3"/>
        <v>73278</v>
      </c>
      <c r="M57" s="11"/>
    </row>
    <row r="58" spans="1:13" ht="1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305935</v>
      </c>
      <c r="D60" s="364">
        <f>SUM(D48:D59)</f>
        <v>640512</v>
      </c>
      <c r="E60" s="366">
        <f t="shared" ref="E60:K60" si="4">SUM(E48:E59)</f>
        <v>68015</v>
      </c>
      <c r="F60" s="364">
        <f>SUM(F48:F59)</f>
        <v>6907</v>
      </c>
      <c r="G60" s="365">
        <f t="shared" si="4"/>
        <v>227448</v>
      </c>
      <c r="H60" s="362">
        <f t="shared" si="4"/>
        <v>123434</v>
      </c>
      <c r="I60" s="363">
        <f t="shared" si="4"/>
        <v>374677</v>
      </c>
      <c r="J60" s="364">
        <f t="shared" si="4"/>
        <v>207629</v>
      </c>
      <c r="K60" s="456">
        <f t="shared" si="4"/>
        <v>93219</v>
      </c>
      <c r="L60" s="409">
        <f>SUM(C60:K60)</f>
        <v>2047776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305935</v>
      </c>
      <c r="D66" s="422">
        <f>C60/L60</f>
        <v>0.1493986646977013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640512</v>
      </c>
      <c r="D67" s="425">
        <f>D60/L60</f>
        <v>0.3127842107730533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946447</v>
      </c>
      <c r="D68" s="428">
        <f>SUM(D66:D67)</f>
        <v>0.46218287547075459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68015</v>
      </c>
      <c r="D70" s="434">
        <f>E60/$L60</f>
        <v>3.3214082008969734E-2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6907</v>
      </c>
      <c r="D71" s="434">
        <f>F60/L60</f>
        <v>3.3729275076961542E-3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227448</v>
      </c>
      <c r="D72" s="434">
        <f>G60/$L60</f>
        <v>0.11107074211241855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123434</v>
      </c>
      <c r="D73" s="437">
        <f>H60/$L60</f>
        <v>6.0277100620380351E-2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425804</v>
      </c>
      <c r="D74" s="428">
        <f>SUM(D70:D73)</f>
        <v>0.20793485224946479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374677</v>
      </c>
      <c r="D76" s="422">
        <f>I60/L60</f>
        <v>0.18296776600565687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207629</v>
      </c>
      <c r="D77" s="425">
        <f>J60/L60</f>
        <v>0.10139243745409654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582306</v>
      </c>
      <c r="D78" s="428">
        <f>SUM(D76:D77)</f>
        <v>0.28436020345975344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93219</v>
      </c>
      <c r="D80" s="428">
        <f>K60/L60</f>
        <v>4.5522068820027191E-2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2047776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64" priority="5">
      <formula>ROW()=EVEN(ROW())</formula>
    </cfRule>
  </conditionalFormatting>
  <conditionalFormatting sqref="L49:L59">
    <cfRule type="expression" dxfId="63" priority="3">
      <formula>ROW()=EVEN(ROW())</formula>
    </cfRule>
  </conditionalFormatting>
  <conditionalFormatting sqref="L5:L10">
    <cfRule type="expression" dxfId="62" priority="4">
      <formula>ROW()=EVEN(ROW())</formula>
    </cfRule>
  </conditionalFormatting>
  <conditionalFormatting sqref="A6:K10">
    <cfRule type="expression" dxfId="61" priority="2">
      <formula>ROW()=EVEN(ROW())</formula>
    </cfRule>
  </conditionalFormatting>
  <printOptions horizontalCentered="1"/>
  <pageMargins left="0" right="0" top="0.98" bottom="0.6" header="0.3" footer="0.3"/>
  <pageSetup scale="65" firstPageNumber="44" fitToHeight="2" orientation="landscape" useFirstPageNumber="1" r:id="rId1"/>
  <headerFooter>
    <oddHeader>&amp;C&amp;"Arial,Bold"&amp;16Expendiutes by Expenditure Code and Revenue Source
2017
MASON</oddHeader>
  </headerFooter>
  <rowBreaks count="1" manualBreakCount="1">
    <brk id="48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74" zoomScaleNormal="100" workbookViewId="0">
      <selection activeCell="F89" sqref="F89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f>7740+13370+44510</f>
        <v>65620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19.46</v>
      </c>
      <c r="D2" s="386"/>
      <c r="G2" s="382"/>
      <c r="H2" s="380"/>
      <c r="I2" s="380"/>
      <c r="J2" s="531" t="s">
        <v>143</v>
      </c>
      <c r="K2" s="531"/>
      <c r="L2" s="494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.75" customHeight="1" x14ac:dyDescent="0.25">
      <c r="A5" s="214">
        <v>562.1</v>
      </c>
      <c r="B5" s="350" t="s">
        <v>9</v>
      </c>
      <c r="C5" s="216">
        <v>208751</v>
      </c>
      <c r="D5" s="219"/>
      <c r="E5" s="221"/>
      <c r="F5" s="219">
        <v>14261</v>
      </c>
      <c r="G5" s="220">
        <v>84640</v>
      </c>
      <c r="H5" s="219"/>
      <c r="I5" s="221"/>
      <c r="J5" s="219">
        <v>76059</v>
      </c>
      <c r="K5" s="222">
        <f>5170+10475</f>
        <v>15645</v>
      </c>
      <c r="L5" s="223">
        <f>SUM(C5:K5)</f>
        <v>399356</v>
      </c>
      <c r="M5" s="11"/>
    </row>
    <row r="6" spans="1:13" ht="15.7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.7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.7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.7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.7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.7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/>
      <c r="H11" s="219"/>
      <c r="I11" s="221">
        <v>19643</v>
      </c>
      <c r="J11" s="219"/>
      <c r="K11" s="222"/>
      <c r="L11" s="223">
        <f t="shared" ref="L11:L47" si="1">SUM(C11:K11)</f>
        <v>19643</v>
      </c>
      <c r="M11" s="11"/>
    </row>
    <row r="12" spans="1:13" ht="15.7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/>
      <c r="K12" s="222"/>
      <c r="L12" s="223">
        <f t="shared" si="1"/>
        <v>0</v>
      </c>
      <c r="M12" s="11"/>
    </row>
    <row r="13" spans="1:13" ht="15.75" customHeight="1" x14ac:dyDescent="0.25">
      <c r="A13" s="214">
        <v>562.25</v>
      </c>
      <c r="B13" s="350" t="s">
        <v>52</v>
      </c>
      <c r="C13" s="216">
        <v>6562</v>
      </c>
      <c r="D13" s="219"/>
      <c r="E13" s="221"/>
      <c r="F13" s="219">
        <v>456</v>
      </c>
      <c r="G13" s="220">
        <v>2707</v>
      </c>
      <c r="H13" s="219"/>
      <c r="I13" s="221">
        <f>1850+31407</f>
        <v>33257</v>
      </c>
      <c r="J13" s="219"/>
      <c r="K13" s="222"/>
      <c r="L13" s="223">
        <f t="shared" si="1"/>
        <v>42982</v>
      </c>
      <c r="M13" s="11"/>
    </row>
    <row r="14" spans="1:13" ht="15.7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.7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.75" customHeight="1" x14ac:dyDescent="0.25">
      <c r="A16" s="214">
        <v>562.28</v>
      </c>
      <c r="B16" s="350" t="s">
        <v>53</v>
      </c>
      <c r="C16" s="216">
        <v>66073</v>
      </c>
      <c r="D16" s="219"/>
      <c r="E16" s="221"/>
      <c r="F16" s="219"/>
      <c r="G16" s="220"/>
      <c r="H16" s="219"/>
      <c r="I16" s="221">
        <v>241359</v>
      </c>
      <c r="J16" s="219"/>
      <c r="K16" s="222"/>
      <c r="L16" s="223">
        <f t="shared" si="1"/>
        <v>307432</v>
      </c>
      <c r="M16" s="11"/>
    </row>
    <row r="17" spans="1:13" ht="15.75" customHeight="1" x14ac:dyDescent="0.25">
      <c r="A17" s="214">
        <v>562.29</v>
      </c>
      <c r="B17" s="350" t="s">
        <v>45</v>
      </c>
      <c r="C17" s="216">
        <v>3573</v>
      </c>
      <c r="D17" s="219">
        <v>469</v>
      </c>
      <c r="E17" s="221"/>
      <c r="F17" s="219"/>
      <c r="G17" s="220"/>
      <c r="H17" s="219"/>
      <c r="I17" s="221"/>
      <c r="J17" s="219"/>
      <c r="K17" s="222"/>
      <c r="L17" s="223">
        <f t="shared" si="1"/>
        <v>4042</v>
      </c>
      <c r="M17" s="11"/>
    </row>
    <row r="18" spans="1:13" ht="15.75" customHeight="1" x14ac:dyDescent="0.25">
      <c r="A18" s="214">
        <v>562.32000000000005</v>
      </c>
      <c r="B18" s="350" t="s">
        <v>11</v>
      </c>
      <c r="C18" s="216">
        <v>106910</v>
      </c>
      <c r="D18" s="219">
        <v>24201</v>
      </c>
      <c r="E18" s="221"/>
      <c r="F18" s="219"/>
      <c r="G18" s="220"/>
      <c r="H18" s="219"/>
      <c r="I18" s="221">
        <v>27392</v>
      </c>
      <c r="J18" s="219"/>
      <c r="K18" s="222"/>
      <c r="L18" s="223">
        <f t="shared" si="1"/>
        <v>158503</v>
      </c>
      <c r="M18" s="11"/>
    </row>
    <row r="19" spans="1:13" ht="15.75" customHeight="1" x14ac:dyDescent="0.25">
      <c r="A19" s="214">
        <v>562.33000000000004</v>
      </c>
      <c r="B19" s="350" t="s">
        <v>54</v>
      </c>
      <c r="C19" s="216">
        <v>9846</v>
      </c>
      <c r="D19" s="219"/>
      <c r="E19" s="221"/>
      <c r="F19" s="219">
        <v>684</v>
      </c>
      <c r="G19" s="220">
        <v>4062</v>
      </c>
      <c r="H19" s="219"/>
      <c r="I19" s="221"/>
      <c r="J19" s="219"/>
      <c r="K19" s="222"/>
      <c r="L19" s="223">
        <f t="shared" si="1"/>
        <v>14592</v>
      </c>
      <c r="M19" s="11"/>
    </row>
    <row r="20" spans="1:13" ht="15.75" customHeight="1" x14ac:dyDescent="0.25">
      <c r="A20" s="214">
        <v>562.34</v>
      </c>
      <c r="B20" s="350" t="s">
        <v>12</v>
      </c>
      <c r="C20" s="216">
        <v>8857</v>
      </c>
      <c r="D20" s="219">
        <v>618</v>
      </c>
      <c r="E20" s="221"/>
      <c r="F20" s="219">
        <v>616</v>
      </c>
      <c r="G20" s="220">
        <v>3655</v>
      </c>
      <c r="H20" s="219"/>
      <c r="I20" s="221"/>
      <c r="J20" s="219"/>
      <c r="K20" s="222"/>
      <c r="L20" s="223">
        <f t="shared" si="1"/>
        <v>13746</v>
      </c>
      <c r="M20" s="11"/>
    </row>
    <row r="21" spans="1:13" ht="15.7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.75" customHeight="1" x14ac:dyDescent="0.25">
      <c r="A22" s="214">
        <v>562.39</v>
      </c>
      <c r="B22" s="350" t="s">
        <v>14</v>
      </c>
      <c r="C22" s="216">
        <v>101771</v>
      </c>
      <c r="D22" s="219"/>
      <c r="E22" s="221"/>
      <c r="F22" s="219">
        <v>7074</v>
      </c>
      <c r="G22" s="220">
        <v>41991</v>
      </c>
      <c r="H22" s="219"/>
      <c r="I22" s="221"/>
      <c r="J22" s="219"/>
      <c r="K22" s="222"/>
      <c r="L22" s="223">
        <f t="shared" si="1"/>
        <v>150836</v>
      </c>
      <c r="M22" s="11"/>
    </row>
    <row r="23" spans="1:13" ht="15.7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.7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.75" customHeight="1" x14ac:dyDescent="0.25">
      <c r="A25" s="214">
        <v>562.42999999999995</v>
      </c>
      <c r="B25" s="350" t="s">
        <v>55</v>
      </c>
      <c r="C25" s="216">
        <v>2283</v>
      </c>
      <c r="D25" s="219"/>
      <c r="E25" s="221"/>
      <c r="F25" s="219"/>
      <c r="G25" s="220"/>
      <c r="H25" s="219"/>
      <c r="I25" s="221"/>
      <c r="J25" s="219"/>
      <c r="K25" s="222">
        <v>3614</v>
      </c>
      <c r="L25" s="223">
        <f t="shared" si="1"/>
        <v>5897</v>
      </c>
      <c r="M25" s="11"/>
    </row>
    <row r="26" spans="1:13" ht="15.75" customHeight="1" x14ac:dyDescent="0.25">
      <c r="A26" s="214">
        <v>562.44000000000005</v>
      </c>
      <c r="B26" s="350" t="s">
        <v>56</v>
      </c>
      <c r="C26" s="216">
        <v>12544</v>
      </c>
      <c r="D26" s="219"/>
      <c r="E26" s="221"/>
      <c r="F26" s="219"/>
      <c r="G26" s="220"/>
      <c r="H26" s="219">
        <v>51500</v>
      </c>
      <c r="I26" s="221"/>
      <c r="J26" s="219">
        <v>7505</v>
      </c>
      <c r="K26" s="222"/>
      <c r="L26" s="223">
        <f t="shared" si="1"/>
        <v>71549</v>
      </c>
      <c r="M26" s="11"/>
    </row>
    <row r="27" spans="1:13" ht="15.7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.75" customHeight="1" x14ac:dyDescent="0.25">
      <c r="A28" s="214">
        <v>562.49</v>
      </c>
      <c r="B28" s="350" t="s">
        <v>46</v>
      </c>
      <c r="C28" s="216">
        <v>19141</v>
      </c>
      <c r="D28" s="219"/>
      <c r="E28" s="221"/>
      <c r="F28" s="219">
        <v>1331</v>
      </c>
      <c r="G28" s="220">
        <v>7898</v>
      </c>
      <c r="H28" s="219"/>
      <c r="I28" s="221"/>
      <c r="J28" s="219"/>
      <c r="K28" s="222"/>
      <c r="L28" s="223">
        <f t="shared" si="1"/>
        <v>28370</v>
      </c>
      <c r="M28" s="11"/>
    </row>
    <row r="29" spans="1:13" ht="15.75" customHeight="1" x14ac:dyDescent="0.25">
      <c r="A29" s="214">
        <v>562.52</v>
      </c>
      <c r="B29" s="350" t="s">
        <v>17</v>
      </c>
      <c r="C29" s="216">
        <v>2592</v>
      </c>
      <c r="D29" s="219">
        <v>17267</v>
      </c>
      <c r="E29" s="221">
        <v>20000</v>
      </c>
      <c r="F29" s="219">
        <v>180</v>
      </c>
      <c r="G29" s="220">
        <v>1070</v>
      </c>
      <c r="H29" s="219"/>
      <c r="I29" s="221"/>
      <c r="J29" s="219"/>
      <c r="K29" s="222"/>
      <c r="L29" s="223">
        <f t="shared" si="1"/>
        <v>41109</v>
      </c>
      <c r="M29" s="11"/>
    </row>
    <row r="30" spans="1:13" ht="15.75" customHeight="1" x14ac:dyDescent="0.25">
      <c r="A30" s="214">
        <v>562.53</v>
      </c>
      <c r="B30" s="350" t="s">
        <v>58</v>
      </c>
      <c r="C30" s="216">
        <v>6148</v>
      </c>
      <c r="D30" s="219">
        <f>885+1080</f>
        <v>1965</v>
      </c>
      <c r="E30" s="221"/>
      <c r="F30" s="219">
        <v>427</v>
      </c>
      <c r="G30" s="220">
        <v>2536</v>
      </c>
      <c r="H30" s="219">
        <v>9569</v>
      </c>
      <c r="I30" s="221"/>
      <c r="J30" s="219"/>
      <c r="K30" s="222"/>
      <c r="L30" s="223">
        <f t="shared" si="1"/>
        <v>20645</v>
      </c>
      <c r="M30" s="11"/>
    </row>
    <row r="31" spans="1:13" ht="15.75" customHeight="1" x14ac:dyDescent="0.25">
      <c r="A31" s="214">
        <v>562.54</v>
      </c>
      <c r="B31" s="350" t="s">
        <v>59</v>
      </c>
      <c r="C31" s="216">
        <v>147292</v>
      </c>
      <c r="D31" s="219">
        <v>188063</v>
      </c>
      <c r="E31" s="221"/>
      <c r="F31" s="219">
        <v>10239</v>
      </c>
      <c r="G31" s="220">
        <v>60774</v>
      </c>
      <c r="H31" s="219"/>
      <c r="I31" s="221"/>
      <c r="J31" s="219"/>
      <c r="K31" s="222"/>
      <c r="L31" s="223">
        <f t="shared" si="1"/>
        <v>406368</v>
      </c>
      <c r="M31" s="11"/>
    </row>
    <row r="32" spans="1:13" ht="15.7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.75" customHeight="1" x14ac:dyDescent="0.25">
      <c r="A33" s="214">
        <v>562.55999999999995</v>
      </c>
      <c r="B33" s="350" t="s">
        <v>19</v>
      </c>
      <c r="C33" s="216">
        <v>47710</v>
      </c>
      <c r="D33" s="219">
        <f>76865+2138</f>
        <v>79003</v>
      </c>
      <c r="E33" s="221"/>
      <c r="F33" s="219">
        <v>3316</v>
      </c>
      <c r="G33" s="220">
        <v>19685</v>
      </c>
      <c r="H33" s="219"/>
      <c r="I33" s="221"/>
      <c r="J33" s="219"/>
      <c r="K33" s="222"/>
      <c r="L33" s="223">
        <f t="shared" si="1"/>
        <v>149714</v>
      </c>
      <c r="M33" s="11"/>
    </row>
    <row r="34" spans="1:13" ht="15.75" customHeight="1" x14ac:dyDescent="0.25">
      <c r="A34" s="214">
        <v>562.57000000000005</v>
      </c>
      <c r="B34" s="350" t="s">
        <v>60</v>
      </c>
      <c r="C34" s="216">
        <v>2558</v>
      </c>
      <c r="D34" s="219"/>
      <c r="E34" s="221"/>
      <c r="F34" s="219">
        <v>178</v>
      </c>
      <c r="G34" s="220">
        <v>1056</v>
      </c>
      <c r="H34" s="219"/>
      <c r="I34" s="221"/>
      <c r="J34" s="219"/>
      <c r="K34" s="222"/>
      <c r="L34" s="223">
        <f t="shared" si="1"/>
        <v>3792</v>
      </c>
      <c r="M34" s="11"/>
    </row>
    <row r="35" spans="1:13" ht="15.75" customHeight="1" x14ac:dyDescent="0.25">
      <c r="A35" s="214">
        <v>562.58000000000004</v>
      </c>
      <c r="B35" s="350" t="s">
        <v>47</v>
      </c>
      <c r="C35" s="216">
        <v>13530</v>
      </c>
      <c r="D35" s="219">
        <v>2341</v>
      </c>
      <c r="E35" s="221"/>
      <c r="F35" s="219">
        <v>940</v>
      </c>
      <c r="G35" s="220">
        <v>5583</v>
      </c>
      <c r="H35" s="219"/>
      <c r="I35" s="221"/>
      <c r="J35" s="219"/>
      <c r="K35" s="222"/>
      <c r="L35" s="223">
        <f t="shared" si="1"/>
        <v>22394</v>
      </c>
      <c r="M35" s="11"/>
    </row>
    <row r="36" spans="1:13" ht="15.75" customHeight="1" x14ac:dyDescent="0.25">
      <c r="A36" s="214">
        <v>562.59</v>
      </c>
      <c r="B36" s="350" t="s">
        <v>48</v>
      </c>
      <c r="C36" s="216">
        <v>540</v>
      </c>
      <c r="D36" s="219"/>
      <c r="E36" s="221"/>
      <c r="F36" s="219">
        <v>37</v>
      </c>
      <c r="G36" s="220">
        <v>222</v>
      </c>
      <c r="H36" s="219"/>
      <c r="I36" s="221"/>
      <c r="J36" s="219"/>
      <c r="K36" s="222"/>
      <c r="L36" s="223">
        <f t="shared" si="1"/>
        <v>799</v>
      </c>
      <c r="M36" s="11"/>
    </row>
    <row r="37" spans="1:13" ht="15.75" customHeight="1" x14ac:dyDescent="0.25">
      <c r="A37" s="214">
        <v>562.6</v>
      </c>
      <c r="B37" s="350" t="s">
        <v>20</v>
      </c>
      <c r="C37" s="216">
        <v>2902</v>
      </c>
      <c r="D37" s="219"/>
      <c r="E37" s="221"/>
      <c r="F37" s="219">
        <v>202</v>
      </c>
      <c r="G37" s="220">
        <v>1197</v>
      </c>
      <c r="H37" s="219"/>
      <c r="I37" s="221"/>
      <c r="J37" s="219"/>
      <c r="K37" s="222"/>
      <c r="L37" s="223">
        <f t="shared" si="1"/>
        <v>4301</v>
      </c>
      <c r="M37" s="11"/>
    </row>
    <row r="38" spans="1:13" ht="15.75" customHeight="1" x14ac:dyDescent="0.25">
      <c r="A38" s="214">
        <v>562.71</v>
      </c>
      <c r="B38" s="350" t="s">
        <v>21</v>
      </c>
      <c r="C38" s="216">
        <v>13251</v>
      </c>
      <c r="D38" s="219">
        <v>20134</v>
      </c>
      <c r="E38" s="221"/>
      <c r="F38" s="219">
        <v>921</v>
      </c>
      <c r="G38" s="220">
        <v>5468</v>
      </c>
      <c r="H38" s="219"/>
      <c r="I38" s="221"/>
      <c r="J38" s="219"/>
      <c r="K38" s="222"/>
      <c r="L38" s="223">
        <f t="shared" si="1"/>
        <v>39774</v>
      </c>
      <c r="M38" s="11"/>
    </row>
    <row r="39" spans="1:13" ht="15.7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.7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.7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.7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.7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.75" customHeight="1" x14ac:dyDescent="0.25">
      <c r="A44" s="214">
        <v>562.79999999999995</v>
      </c>
      <c r="B44" s="350" t="s">
        <v>26</v>
      </c>
      <c r="C44" s="216">
        <v>3143</v>
      </c>
      <c r="D44" s="219"/>
      <c r="E44" s="221"/>
      <c r="F44" s="219">
        <v>218</v>
      </c>
      <c r="G44" s="220">
        <v>1297</v>
      </c>
      <c r="H44" s="219"/>
      <c r="I44" s="221"/>
      <c r="J44" s="219"/>
      <c r="K44" s="222"/>
      <c r="L44" s="223">
        <f t="shared" si="1"/>
        <v>4658</v>
      </c>
      <c r="M44" s="11"/>
    </row>
    <row r="45" spans="1:13" ht="15.75" customHeight="1" x14ac:dyDescent="0.25">
      <c r="A45" s="214">
        <v>562.88</v>
      </c>
      <c r="B45" s="350" t="s">
        <v>50</v>
      </c>
      <c r="C45" s="216">
        <v>58</v>
      </c>
      <c r="D45" s="219"/>
      <c r="E45" s="221"/>
      <c r="F45" s="219"/>
      <c r="G45" s="220"/>
      <c r="H45" s="219"/>
      <c r="I45" s="221">
        <v>13416</v>
      </c>
      <c r="J45" s="219"/>
      <c r="K45" s="222"/>
      <c r="L45" s="223">
        <f t="shared" si="1"/>
        <v>13474</v>
      </c>
      <c r="M45" s="11"/>
    </row>
    <row r="46" spans="1:13" ht="15.7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.75" customHeight="1" thickBot="1" x14ac:dyDescent="0.3">
      <c r="A47" s="214">
        <v>562.99</v>
      </c>
      <c r="B47" s="350" t="s">
        <v>28</v>
      </c>
      <c r="C47" s="216">
        <v>13237</v>
      </c>
      <c r="D47" s="219"/>
      <c r="E47" s="221"/>
      <c r="F47" s="219">
        <v>920</v>
      </c>
      <c r="G47" s="220">
        <v>5462</v>
      </c>
      <c r="H47" s="219"/>
      <c r="I47" s="221"/>
      <c r="J47" s="219"/>
      <c r="K47" s="222"/>
      <c r="L47" s="223">
        <f t="shared" si="1"/>
        <v>19619</v>
      </c>
      <c r="M47" s="11"/>
    </row>
    <row r="48" spans="1:13" ht="15.75" customHeight="1" thickBot="1" x14ac:dyDescent="0.3">
      <c r="A48" s="359" t="s">
        <v>63</v>
      </c>
      <c r="B48" s="360" t="s">
        <v>29</v>
      </c>
      <c r="C48" s="361">
        <f t="shared" ref="C48:K48" si="2">SUM(C5:C47)</f>
        <v>799272</v>
      </c>
      <c r="D48" s="364">
        <f t="shared" si="2"/>
        <v>334061</v>
      </c>
      <c r="E48" s="366">
        <f t="shared" si="2"/>
        <v>20000</v>
      </c>
      <c r="F48" s="364">
        <f t="shared" si="2"/>
        <v>42000</v>
      </c>
      <c r="G48" s="365">
        <f t="shared" si="2"/>
        <v>249303</v>
      </c>
      <c r="H48" s="364">
        <f t="shared" si="2"/>
        <v>61069</v>
      </c>
      <c r="I48" s="366">
        <f t="shared" si="2"/>
        <v>335067</v>
      </c>
      <c r="J48" s="364">
        <f t="shared" si="2"/>
        <v>83564</v>
      </c>
      <c r="K48" s="456">
        <f t="shared" si="2"/>
        <v>19259</v>
      </c>
      <c r="L48" s="405">
        <f>SUM(C48:K48)</f>
        <v>1943595</v>
      </c>
      <c r="M48" s="11"/>
    </row>
    <row r="49" spans="1:13" ht="15.7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.7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.7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.7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.7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.7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.7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.7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.75" customHeight="1" x14ac:dyDescent="0.25">
      <c r="A57" s="214">
        <v>566</v>
      </c>
      <c r="B57" s="309" t="s">
        <v>37</v>
      </c>
      <c r="C57" s="400"/>
      <c r="D57" s="219"/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.7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.7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.75" customHeight="1" thickBot="1" x14ac:dyDescent="0.3">
      <c r="A60" s="334"/>
      <c r="B60" s="335" t="s">
        <v>41</v>
      </c>
      <c r="C60" s="408">
        <f>SUM(C48:C59)</f>
        <v>799272</v>
      </c>
      <c r="D60" s="364">
        <f>SUM(D48:D59)</f>
        <v>334061</v>
      </c>
      <c r="E60" s="366">
        <f t="shared" ref="E60:K60" si="4">SUM(E48:E59)</f>
        <v>20000</v>
      </c>
      <c r="F60" s="364">
        <f>SUM(F48:F59)</f>
        <v>42000</v>
      </c>
      <c r="G60" s="365">
        <f t="shared" si="4"/>
        <v>249303</v>
      </c>
      <c r="H60" s="362">
        <f t="shared" si="4"/>
        <v>61069</v>
      </c>
      <c r="I60" s="363">
        <f t="shared" si="4"/>
        <v>335067</v>
      </c>
      <c r="J60" s="364">
        <f t="shared" si="4"/>
        <v>83564</v>
      </c>
      <c r="K60" s="456">
        <f t="shared" si="4"/>
        <v>19259</v>
      </c>
      <c r="L60" s="409">
        <f>SUM(C60:K60)</f>
        <v>1943595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799272</v>
      </c>
      <c r="D66" s="422">
        <f>C60/L60</f>
        <v>0.41123382186103585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334061</v>
      </c>
      <c r="D67" s="425">
        <f>D60/L60</f>
        <v>0.1718778860822342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1133333</v>
      </c>
      <c r="D68" s="428">
        <f>SUM(D66:D67)</f>
        <v>0.58311170794327005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20000</v>
      </c>
      <c r="D70" s="434">
        <f>E60/$L60</f>
        <v>1.0290209637295836E-2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2.1609440238321256E-2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249303</v>
      </c>
      <c r="D72" s="434">
        <f>G60/$L60</f>
        <v>0.12826900666033819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61069</v>
      </c>
      <c r="D73" s="437">
        <f>H60/$L60</f>
        <v>3.1420640617000971E-2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372372</v>
      </c>
      <c r="D74" s="428">
        <f>SUM(D70:D73)</f>
        <v>0.19158929715295628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335067</v>
      </c>
      <c r="D76" s="422">
        <f>I60/L60</f>
        <v>0.1723954836269902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83564</v>
      </c>
      <c r="D77" s="425">
        <f>J60/L60</f>
        <v>4.2994553906549458E-2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418631</v>
      </c>
      <c r="D78" s="428">
        <f>SUM(D76:D77)</f>
        <v>0.21539003753353966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19259</v>
      </c>
      <c r="D80" s="428">
        <f>K60/L60</f>
        <v>9.9089573702340252E-3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1943595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60" priority="5">
      <formula>ROW()=EVEN(ROW())</formula>
    </cfRule>
  </conditionalFormatting>
  <conditionalFormatting sqref="L49:L59">
    <cfRule type="expression" dxfId="59" priority="3">
      <formula>ROW()=EVEN(ROW())</formula>
    </cfRule>
  </conditionalFormatting>
  <conditionalFormatting sqref="L5:L10">
    <cfRule type="expression" dxfId="58" priority="4">
      <formula>ROW()=EVEN(ROW())</formula>
    </cfRule>
  </conditionalFormatting>
  <conditionalFormatting sqref="A6:K10">
    <cfRule type="expression" dxfId="57" priority="2">
      <formula>ROW()=EVEN(ROW())</formula>
    </cfRule>
  </conditionalFormatting>
  <printOptions horizontalCentered="1"/>
  <pageMargins left="0" right="0" top="0.98" bottom="0.6" header="0.3" footer="0.3"/>
  <pageSetup scale="65" firstPageNumber="46" fitToHeight="2" orientation="landscape" useFirstPageNumber="1" r:id="rId1"/>
  <headerFooter>
    <oddHeader>&amp;C&amp;"Arial,Bold"&amp;16Funding by Expenditure Code and Revenue Source
2017
NORTHEAST TRI-COUNTY</oddHeader>
  </headerFooter>
  <rowBreaks count="1" manualBreakCount="1">
    <brk id="48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topLeftCell="A35" zoomScaleNormal="100" workbookViewId="0">
      <selection activeCell="K51" sqref="K51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42110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11.27</v>
      </c>
      <c r="D2" s="386"/>
      <c r="G2" s="382"/>
      <c r="H2" s="380"/>
      <c r="I2" s="380"/>
      <c r="J2" s="531" t="s">
        <v>143</v>
      </c>
      <c r="K2" s="531"/>
      <c r="L2" s="495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214">
        <v>562.1</v>
      </c>
      <c r="B5" s="350" t="s">
        <v>9</v>
      </c>
      <c r="C5" s="216">
        <v>135000</v>
      </c>
      <c r="D5" s="219"/>
      <c r="E5" s="221"/>
      <c r="F5" s="219"/>
      <c r="G5" s="220"/>
      <c r="H5" s="219"/>
      <c r="I5" s="221"/>
      <c r="J5" s="219">
        <v>26773</v>
      </c>
      <c r="K5" s="222">
        <v>63</v>
      </c>
      <c r="L5" s="223">
        <f>SUM(C5:K5)</f>
        <v>161836</v>
      </c>
      <c r="M5" s="11"/>
    </row>
    <row r="6" spans="1:13" ht="15" customHeight="1" x14ac:dyDescent="0.25">
      <c r="A6" s="214">
        <v>562.11</v>
      </c>
      <c r="B6" s="350" t="s">
        <v>145</v>
      </c>
      <c r="C6" s="357"/>
      <c r="D6" s="299"/>
      <c r="E6" s="310"/>
      <c r="F6" s="299">
        <v>42000</v>
      </c>
      <c r="G6" s="311"/>
      <c r="H6" s="299"/>
      <c r="I6" s="310"/>
      <c r="J6" s="299"/>
      <c r="K6" s="313"/>
      <c r="L6" s="223">
        <f t="shared" ref="L6:L10" si="0">SUM(C6:K6)</f>
        <v>42000</v>
      </c>
      <c r="M6" s="11"/>
    </row>
    <row r="7" spans="1:13" ht="1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/>
      <c r="H11" s="219"/>
      <c r="I11" s="221">
        <v>55126</v>
      </c>
      <c r="J11" s="219"/>
      <c r="K11" s="222"/>
      <c r="L11" s="223">
        <f t="shared" ref="L11:L47" si="1">SUM(C11:K11)</f>
        <v>55126</v>
      </c>
      <c r="M11" s="11"/>
    </row>
    <row r="12" spans="1:13" ht="1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/>
      <c r="I12" s="231"/>
      <c r="J12" s="219">
        <v>14325</v>
      </c>
      <c r="K12" s="222"/>
      <c r="L12" s="223">
        <f t="shared" si="1"/>
        <v>14325</v>
      </c>
      <c r="M12" s="11"/>
    </row>
    <row r="13" spans="1:13" ht="1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" customHeight="1" x14ac:dyDescent="0.25">
      <c r="A18" s="214">
        <v>562.32000000000005</v>
      </c>
      <c r="B18" s="350" t="s">
        <v>11</v>
      </c>
      <c r="C18" s="216"/>
      <c r="D18" s="219">
        <v>4311</v>
      </c>
      <c r="E18" s="221"/>
      <c r="F18" s="219"/>
      <c r="G18" s="220"/>
      <c r="H18" s="219"/>
      <c r="I18" s="221">
        <v>18044</v>
      </c>
      <c r="J18" s="219"/>
      <c r="K18" s="222"/>
      <c r="L18" s="223">
        <f t="shared" si="1"/>
        <v>22355</v>
      </c>
      <c r="M18" s="11"/>
    </row>
    <row r="19" spans="1:13" ht="1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0</v>
      </c>
      <c r="M19" s="11"/>
    </row>
    <row r="20" spans="1:13" ht="15" customHeight="1" x14ac:dyDescent="0.25">
      <c r="A20" s="214">
        <v>562.34</v>
      </c>
      <c r="B20" s="350" t="s">
        <v>12</v>
      </c>
      <c r="C20" s="216"/>
      <c r="D20" s="219"/>
      <c r="E20" s="221"/>
      <c r="F20" s="219"/>
      <c r="G20" s="220"/>
      <c r="H20" s="219"/>
      <c r="I20" s="221"/>
      <c r="J20" s="219"/>
      <c r="K20" s="222"/>
      <c r="L20" s="223">
        <f t="shared" si="1"/>
        <v>0</v>
      </c>
      <c r="M20" s="11"/>
    </row>
    <row r="21" spans="1:13" ht="1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50" t="s">
        <v>14</v>
      </c>
      <c r="C22" s="216"/>
      <c r="D22" s="219"/>
      <c r="E22" s="221"/>
      <c r="F22" s="219"/>
      <c r="G22" s="220">
        <v>139882</v>
      </c>
      <c r="H22" s="219"/>
      <c r="I22" s="221"/>
      <c r="J22" s="219"/>
      <c r="K22" s="222"/>
      <c r="L22" s="223">
        <f t="shared" si="1"/>
        <v>139882</v>
      </c>
      <c r="M22" s="11"/>
    </row>
    <row r="23" spans="1:13" ht="1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ht="15" customHeight="1" x14ac:dyDescent="0.25">
      <c r="A29" s="214">
        <v>562.52</v>
      </c>
      <c r="B29" s="350" t="s">
        <v>17</v>
      </c>
      <c r="C29" s="216"/>
      <c r="D29" s="219">
        <v>88273</v>
      </c>
      <c r="E29" s="221">
        <v>20000</v>
      </c>
      <c r="F29" s="219"/>
      <c r="G29" s="220"/>
      <c r="H29" s="219"/>
      <c r="I29" s="221"/>
      <c r="J29" s="219"/>
      <c r="K29" s="222"/>
      <c r="L29" s="223">
        <f t="shared" si="1"/>
        <v>108273</v>
      </c>
      <c r="M29" s="11"/>
    </row>
    <row r="30" spans="1:13" ht="15" customHeight="1" x14ac:dyDescent="0.25">
      <c r="A30" s="214">
        <v>562.53</v>
      </c>
      <c r="B30" s="350" t="s">
        <v>58</v>
      </c>
      <c r="C30" s="216">
        <v>0</v>
      </c>
      <c r="D30" s="219">
        <v>1350</v>
      </c>
      <c r="E30" s="221"/>
      <c r="F30" s="219"/>
      <c r="G30" s="220"/>
      <c r="H30" s="219">
        <v>17138</v>
      </c>
      <c r="I30" s="221"/>
      <c r="J30" s="219"/>
      <c r="K30" s="222"/>
      <c r="L30" s="223">
        <f t="shared" si="1"/>
        <v>18488</v>
      </c>
      <c r="M30" s="11"/>
    </row>
    <row r="31" spans="1:13" ht="15" customHeight="1" x14ac:dyDescent="0.25">
      <c r="A31" s="214">
        <v>562.54</v>
      </c>
      <c r="B31" s="350" t="s">
        <v>59</v>
      </c>
      <c r="C31" s="216"/>
      <c r="D31" s="219">
        <v>138180</v>
      </c>
      <c r="E31" s="221"/>
      <c r="F31" s="219"/>
      <c r="G31" s="220"/>
      <c r="H31" s="219"/>
      <c r="I31" s="221"/>
      <c r="J31" s="219"/>
      <c r="K31" s="222"/>
      <c r="L31" s="223">
        <f t="shared" si="1"/>
        <v>138180</v>
      </c>
      <c r="M31" s="11"/>
    </row>
    <row r="32" spans="1:13" ht="1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50" t="s">
        <v>19</v>
      </c>
      <c r="C33" s="216"/>
      <c r="D33" s="219">
        <f>95069+11095</f>
        <v>106164</v>
      </c>
      <c r="E33" s="221"/>
      <c r="F33" s="219"/>
      <c r="G33" s="220"/>
      <c r="H33" s="219"/>
      <c r="I33" s="221"/>
      <c r="J33" s="219"/>
      <c r="K33" s="222"/>
      <c r="L33" s="223">
        <f t="shared" si="1"/>
        <v>106164</v>
      </c>
      <c r="M33" s="11"/>
    </row>
    <row r="34" spans="1:13" ht="1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" customHeight="1" x14ac:dyDescent="0.25">
      <c r="A35" s="214">
        <v>562.58000000000004</v>
      </c>
      <c r="B35" s="350" t="s">
        <v>47</v>
      </c>
      <c r="C35" s="216"/>
      <c r="D35" s="219">
        <f>36638+1010</f>
        <v>37648</v>
      </c>
      <c r="E35" s="221"/>
      <c r="F35" s="219"/>
      <c r="G35" s="220"/>
      <c r="H35" s="219"/>
      <c r="I35" s="221"/>
      <c r="J35" s="219"/>
      <c r="K35" s="222"/>
      <c r="L35" s="223">
        <f t="shared" si="1"/>
        <v>37648</v>
      </c>
      <c r="M35" s="11"/>
    </row>
    <row r="36" spans="1:13" ht="15" customHeight="1" x14ac:dyDescent="0.25">
      <c r="A36" s="214">
        <v>562.59</v>
      </c>
      <c r="B36" s="350" t="s">
        <v>48</v>
      </c>
      <c r="C36" s="216"/>
      <c r="D36" s="219">
        <v>14980</v>
      </c>
      <c r="E36" s="221"/>
      <c r="F36" s="219"/>
      <c r="G36" s="220"/>
      <c r="H36" s="219"/>
      <c r="I36" s="221"/>
      <c r="J36" s="219"/>
      <c r="K36" s="222"/>
      <c r="L36" s="223">
        <f t="shared" si="1"/>
        <v>14980</v>
      </c>
      <c r="M36" s="11"/>
    </row>
    <row r="37" spans="1:13" ht="1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>
        <v>22275</v>
      </c>
      <c r="I37" s="221"/>
      <c r="J37" s="219"/>
      <c r="K37" s="222"/>
      <c r="L37" s="223">
        <f t="shared" si="1"/>
        <v>22275</v>
      </c>
      <c r="M37" s="11"/>
    </row>
    <row r="38" spans="1:13" ht="15" customHeight="1" x14ac:dyDescent="0.25">
      <c r="A38" s="214">
        <v>562.71</v>
      </c>
      <c r="B38" s="350" t="s">
        <v>21</v>
      </c>
      <c r="C38" s="216"/>
      <c r="D38" s="219">
        <v>24189</v>
      </c>
      <c r="E38" s="221"/>
      <c r="F38" s="219"/>
      <c r="G38" s="220"/>
      <c r="H38" s="219"/>
      <c r="I38" s="221"/>
      <c r="J38" s="219"/>
      <c r="K38" s="222"/>
      <c r="L38" s="223">
        <f t="shared" si="1"/>
        <v>24189</v>
      </c>
      <c r="M38" s="11"/>
    </row>
    <row r="39" spans="1:13" ht="1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v>30000</v>
      </c>
      <c r="H44" s="219"/>
      <c r="I44" s="221"/>
      <c r="J44" s="219"/>
      <c r="K44" s="222"/>
      <c r="L44" s="223">
        <f t="shared" si="1"/>
        <v>30000</v>
      </c>
      <c r="M44" s="11"/>
    </row>
    <row r="45" spans="1:13" ht="1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/>
      <c r="H45" s="219"/>
      <c r="I45" s="221">
        <v>46023</v>
      </c>
      <c r="J45" s="219"/>
      <c r="K45" s="222"/>
      <c r="L45" s="223">
        <f t="shared" si="1"/>
        <v>46023</v>
      </c>
      <c r="M45" s="11"/>
    </row>
    <row r="46" spans="1:13" ht="1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>
        <v>12000</v>
      </c>
      <c r="K46" s="222">
        <v>3274</v>
      </c>
      <c r="L46" s="223">
        <f t="shared" si="1"/>
        <v>15274</v>
      </c>
      <c r="M46" s="11"/>
    </row>
    <row r="47" spans="1:13" ht="1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60" t="s">
        <v>29</v>
      </c>
      <c r="C48" s="361">
        <f t="shared" ref="C48:K48" si="2">SUM(C5:C47)</f>
        <v>135000</v>
      </c>
      <c r="D48" s="364">
        <f t="shared" si="2"/>
        <v>415095</v>
      </c>
      <c r="E48" s="366">
        <f t="shared" si="2"/>
        <v>20000</v>
      </c>
      <c r="F48" s="364">
        <f t="shared" si="2"/>
        <v>42000</v>
      </c>
      <c r="G48" s="365">
        <f t="shared" si="2"/>
        <v>169882</v>
      </c>
      <c r="H48" s="364">
        <f t="shared" si="2"/>
        <v>39413</v>
      </c>
      <c r="I48" s="366">
        <f t="shared" si="2"/>
        <v>119193</v>
      </c>
      <c r="J48" s="364">
        <f t="shared" si="2"/>
        <v>53098</v>
      </c>
      <c r="K48" s="456">
        <f t="shared" si="2"/>
        <v>3337</v>
      </c>
      <c r="L48" s="405">
        <f>SUM(C48:K48)</f>
        <v>997018</v>
      </c>
      <c r="M48" s="11"/>
    </row>
    <row r="49" spans="1:13" ht="1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>
        <v>14400</v>
      </c>
      <c r="L51" s="223">
        <f t="shared" si="3"/>
        <v>14400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>
        <v>20924</v>
      </c>
      <c r="I53" s="218"/>
      <c r="J53" s="219">
        <v>38022</v>
      </c>
      <c r="K53" s="222"/>
      <c r="L53" s="223">
        <f t="shared" si="3"/>
        <v>58946</v>
      </c>
      <c r="M53" s="11"/>
    </row>
    <row r="54" spans="1:13" ht="1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/>
      <c r="D57" s="219"/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" customHeight="1" thickBot="1" x14ac:dyDescent="0.3">
      <c r="A60" s="334"/>
      <c r="B60" s="335" t="s">
        <v>41</v>
      </c>
      <c r="C60" s="408">
        <f>SUM(C48:C59)</f>
        <v>135000</v>
      </c>
      <c r="D60" s="364">
        <f>SUM(D48:D59)</f>
        <v>415095</v>
      </c>
      <c r="E60" s="366">
        <f t="shared" ref="E60:K60" si="4">SUM(E48:E59)</f>
        <v>20000</v>
      </c>
      <c r="F60" s="364">
        <f>SUM(F48:F59)</f>
        <v>42000</v>
      </c>
      <c r="G60" s="365">
        <f t="shared" si="4"/>
        <v>169882</v>
      </c>
      <c r="H60" s="362">
        <f t="shared" si="4"/>
        <v>60337</v>
      </c>
      <c r="I60" s="363">
        <f t="shared" si="4"/>
        <v>119193</v>
      </c>
      <c r="J60" s="364">
        <f t="shared" si="4"/>
        <v>91120</v>
      </c>
      <c r="K60" s="456">
        <f t="shared" si="4"/>
        <v>17737</v>
      </c>
      <c r="L60" s="409">
        <f>SUM(C60:K60)</f>
        <v>1070364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135000</v>
      </c>
      <c r="D66" s="422">
        <f>C60/L60</f>
        <v>0.12612531811608013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415095</v>
      </c>
      <c r="D67" s="425">
        <f>D60/L60</f>
        <v>0.38780732535847617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550095</v>
      </c>
      <c r="D68" s="428">
        <f>SUM(D66:D67)</f>
        <v>0.51393264347455636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20000</v>
      </c>
      <c r="D70" s="434">
        <f>E60/$L60</f>
        <v>1.8685232313493352E-2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3.9238987858336044E-2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169882</v>
      </c>
      <c r="D72" s="434">
        <f>G60/$L60</f>
        <v>0.1587142317940439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60337</v>
      </c>
      <c r="D73" s="437">
        <f>H60/$L60</f>
        <v>5.6370543104962423E-2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292219</v>
      </c>
      <c r="D74" s="428">
        <f>SUM(D70:D73)</f>
        <v>0.2730089950708357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119193</v>
      </c>
      <c r="D76" s="422">
        <f>I60/L60</f>
        <v>0.11135744475711067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91120</v>
      </c>
      <c r="D77" s="425">
        <f>J60/L60</f>
        <v>8.5129918420275716E-2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210313</v>
      </c>
      <c r="D78" s="428">
        <f>SUM(D76:D77)</f>
        <v>0.19648736317738638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17737</v>
      </c>
      <c r="D80" s="428">
        <f>K60/L60</f>
        <v>1.6570998277221579E-2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1070364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56" priority="5">
      <formula>ROW()=EVEN(ROW())</formula>
    </cfRule>
  </conditionalFormatting>
  <conditionalFormatting sqref="L49:L59">
    <cfRule type="expression" dxfId="55" priority="3">
      <formula>ROW()=EVEN(ROW())</formula>
    </cfRule>
  </conditionalFormatting>
  <conditionalFormatting sqref="L5:L10">
    <cfRule type="expression" dxfId="54" priority="4">
      <formula>ROW()=EVEN(ROW())</formula>
    </cfRule>
  </conditionalFormatting>
  <conditionalFormatting sqref="A6:K10">
    <cfRule type="expression" dxfId="53" priority="2">
      <formula>ROW()=EVEN(ROW())</formula>
    </cfRule>
  </conditionalFormatting>
  <printOptions horizontalCentered="1"/>
  <pageMargins left="0" right="0" top="0.98" bottom="0.6" header="0.3" footer="0.3"/>
  <pageSetup scale="65" firstPageNumber="48" fitToHeight="2" orientation="landscape" useFirstPageNumber="1" r:id="rId1"/>
  <headerFooter>
    <oddHeader>&amp;C&amp;"Arial,Bold"&amp;16Expenditures by Expenditure Code and Revenue Source
2017
OKANOGAN</oddHeader>
  </headerFooter>
  <rowBreaks count="1" manualBreakCount="1">
    <brk id="48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topLeftCell="A37" zoomScaleNormal="100" workbookViewId="0">
      <selection activeCell="B53" sqref="B53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21250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14.6</v>
      </c>
      <c r="D2" s="386"/>
      <c r="G2" s="382"/>
      <c r="H2" s="380"/>
      <c r="I2" s="380"/>
      <c r="J2" s="531" t="s">
        <v>143</v>
      </c>
      <c r="K2" s="531"/>
      <c r="L2" s="496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.75" customHeight="1" x14ac:dyDescent="0.25">
      <c r="A5" s="214">
        <v>562.1</v>
      </c>
      <c r="B5" s="350" t="s">
        <v>9</v>
      </c>
      <c r="C5" s="216">
        <v>52362</v>
      </c>
      <c r="D5" s="219"/>
      <c r="E5" s="221"/>
      <c r="F5" s="219"/>
      <c r="G5" s="220">
        <v>23225</v>
      </c>
      <c r="H5" s="219"/>
      <c r="I5" s="216">
        <v>58985</v>
      </c>
      <c r="J5" s="219"/>
      <c r="K5" s="222">
        <v>4101</v>
      </c>
      <c r="L5" s="223">
        <f>SUM(C5:K5)</f>
        <v>138673</v>
      </c>
      <c r="M5" s="11"/>
    </row>
    <row r="6" spans="1:13" ht="15.7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.7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.7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.7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.7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.75" customHeight="1" x14ac:dyDescent="0.25">
      <c r="A11" s="214">
        <v>562.22</v>
      </c>
      <c r="B11" s="350" t="s">
        <v>51</v>
      </c>
      <c r="C11" s="216">
        <v>1323</v>
      </c>
      <c r="D11" s="219">
        <v>100</v>
      </c>
      <c r="E11" s="221"/>
      <c r="F11" s="219"/>
      <c r="G11" s="220"/>
      <c r="H11" s="219"/>
      <c r="I11" s="221">
        <v>27315</v>
      </c>
      <c r="J11" s="219"/>
      <c r="K11" s="222"/>
      <c r="L11" s="223">
        <f t="shared" ref="L11:L46" si="1">SUM(C11:K11)</f>
        <v>28738</v>
      </c>
      <c r="M11" s="11"/>
    </row>
    <row r="12" spans="1:13" ht="15.7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>
        <v>4265</v>
      </c>
      <c r="I12" s="231"/>
      <c r="J12" s="219">
        <v>4265</v>
      </c>
      <c r="K12" s="222"/>
      <c r="L12" s="223">
        <f t="shared" si="1"/>
        <v>8530</v>
      </c>
      <c r="M12" s="11"/>
    </row>
    <row r="13" spans="1:13" ht="15.75" customHeight="1" x14ac:dyDescent="0.25">
      <c r="A13" s="214">
        <v>562.25</v>
      </c>
      <c r="B13" s="350" t="s">
        <v>52</v>
      </c>
      <c r="C13" s="216">
        <v>1603</v>
      </c>
      <c r="D13" s="219">
        <v>8148</v>
      </c>
      <c r="E13" s="221"/>
      <c r="F13" s="219"/>
      <c r="G13" s="220"/>
      <c r="H13" s="219">
        <v>650</v>
      </c>
      <c r="I13" s="221"/>
      <c r="J13" s="219"/>
      <c r="K13" s="222"/>
      <c r="L13" s="223">
        <f t="shared" si="1"/>
        <v>10401</v>
      </c>
      <c r="M13" s="11"/>
    </row>
    <row r="14" spans="1:13" ht="15.7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.75" customHeight="1" x14ac:dyDescent="0.25">
      <c r="A15" s="214">
        <v>562.27</v>
      </c>
      <c r="B15" s="350" t="s">
        <v>44</v>
      </c>
      <c r="C15" s="216"/>
      <c r="D15" s="219">
        <v>1383</v>
      </c>
      <c r="E15" s="221">
        <v>5819</v>
      </c>
      <c r="F15" s="219"/>
      <c r="G15" s="220">
        <v>18614</v>
      </c>
      <c r="H15" s="219"/>
      <c r="I15" s="221">
        <v>2571</v>
      </c>
      <c r="J15" s="219">
        <v>17410</v>
      </c>
      <c r="K15" s="222">
        <v>2</v>
      </c>
      <c r="L15" s="223">
        <f t="shared" si="1"/>
        <v>45799</v>
      </c>
      <c r="M15" s="11"/>
    </row>
    <row r="16" spans="1:13" ht="15.7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>
        <v>80220</v>
      </c>
      <c r="H16" s="219"/>
      <c r="I16" s="221">
        <v>123945</v>
      </c>
      <c r="J16" s="219"/>
      <c r="K16" s="222">
        <v>1284</v>
      </c>
      <c r="L16" s="223">
        <f t="shared" si="1"/>
        <v>205449</v>
      </c>
      <c r="M16" s="11"/>
    </row>
    <row r="17" spans="1:13" ht="15.7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>
        <v>6557</v>
      </c>
      <c r="H17" s="219">
        <v>186976</v>
      </c>
      <c r="I17" s="221">
        <v>101857</v>
      </c>
      <c r="J17" s="219"/>
      <c r="K17" s="222"/>
      <c r="L17" s="223">
        <f t="shared" si="1"/>
        <v>295390</v>
      </c>
      <c r="M17" s="11"/>
    </row>
    <row r="18" spans="1:13" ht="15.75" customHeight="1" x14ac:dyDescent="0.25">
      <c r="A18" s="214">
        <v>562.32000000000005</v>
      </c>
      <c r="B18" s="350" t="s">
        <v>11</v>
      </c>
      <c r="C18" s="216"/>
      <c r="D18" s="219">
        <v>9868</v>
      </c>
      <c r="E18" s="221"/>
      <c r="F18" s="219"/>
      <c r="G18" s="220">
        <v>24108</v>
      </c>
      <c r="H18" s="219"/>
      <c r="I18" s="221">
        <v>10744</v>
      </c>
      <c r="J18" s="219">
        <v>256</v>
      </c>
      <c r="K18" s="222">
        <v>646</v>
      </c>
      <c r="L18" s="223">
        <f t="shared" si="1"/>
        <v>45622</v>
      </c>
      <c r="M18" s="11"/>
    </row>
    <row r="19" spans="1:13" ht="15.7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0</v>
      </c>
      <c r="M19" s="11"/>
    </row>
    <row r="20" spans="1:13" ht="15.75" customHeight="1" x14ac:dyDescent="0.25">
      <c r="A20" s="214">
        <v>562.34</v>
      </c>
      <c r="B20" s="350" t="s">
        <v>12</v>
      </c>
      <c r="C20" s="216"/>
      <c r="D20" s="219"/>
      <c r="E20" s="221"/>
      <c r="F20" s="219"/>
      <c r="G20" s="220"/>
      <c r="H20" s="219"/>
      <c r="I20" s="221"/>
      <c r="J20" s="219"/>
      <c r="K20" s="222"/>
      <c r="L20" s="223">
        <f t="shared" si="1"/>
        <v>0</v>
      </c>
      <c r="M20" s="11"/>
    </row>
    <row r="21" spans="1:13" ht="15.7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.75" customHeight="1" x14ac:dyDescent="0.25">
      <c r="A22" s="214">
        <v>562.39</v>
      </c>
      <c r="B22" s="350" t="s">
        <v>14</v>
      </c>
      <c r="C22" s="216">
        <v>5604</v>
      </c>
      <c r="D22" s="219"/>
      <c r="E22" s="221"/>
      <c r="F22" s="219">
        <v>42000</v>
      </c>
      <c r="G22" s="220"/>
      <c r="H22" s="219"/>
      <c r="I22" s="221"/>
      <c r="J22" s="219"/>
      <c r="K22" s="222"/>
      <c r="L22" s="223">
        <f t="shared" si="1"/>
        <v>47604</v>
      </c>
      <c r="M22" s="11"/>
    </row>
    <row r="23" spans="1:13" ht="15.7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.7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.7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.7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.7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.7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ht="15.75" customHeight="1" x14ac:dyDescent="0.25">
      <c r="A29" s="214">
        <v>562.52</v>
      </c>
      <c r="B29" s="350" t="s">
        <v>17</v>
      </c>
      <c r="C29" s="216"/>
      <c r="D29" s="219"/>
      <c r="E29" s="221"/>
      <c r="F29" s="219"/>
      <c r="G29" s="220"/>
      <c r="H29" s="219"/>
      <c r="I29" s="221"/>
      <c r="J29" s="219"/>
      <c r="K29" s="222"/>
      <c r="L29" s="223">
        <f t="shared" si="1"/>
        <v>0</v>
      </c>
      <c r="M29" s="11"/>
    </row>
    <row r="30" spans="1:13" ht="15.75" customHeight="1" x14ac:dyDescent="0.25">
      <c r="A30" s="214">
        <v>562.53</v>
      </c>
      <c r="B30" s="350" t="s">
        <v>58</v>
      </c>
      <c r="C30" s="216">
        <v>0</v>
      </c>
      <c r="D30" s="219"/>
      <c r="E30" s="221"/>
      <c r="F30" s="219"/>
      <c r="G30" s="220"/>
      <c r="H30" s="219"/>
      <c r="I30" s="221"/>
      <c r="J30" s="219"/>
      <c r="K30" s="222"/>
      <c r="L30" s="223">
        <f t="shared" si="1"/>
        <v>0</v>
      </c>
      <c r="M30" s="11"/>
    </row>
    <row r="31" spans="1:13" ht="15.75" customHeight="1" x14ac:dyDescent="0.25">
      <c r="A31" s="214">
        <v>562.54</v>
      </c>
      <c r="B31" s="350" t="s">
        <v>59</v>
      </c>
      <c r="C31" s="216"/>
      <c r="D31" s="219"/>
      <c r="E31" s="221"/>
      <c r="F31" s="219"/>
      <c r="G31" s="220"/>
      <c r="H31" s="219"/>
      <c r="I31" s="221"/>
      <c r="J31" s="219"/>
      <c r="K31" s="222"/>
      <c r="L31" s="223">
        <f t="shared" si="1"/>
        <v>0</v>
      </c>
      <c r="M31" s="11"/>
    </row>
    <row r="32" spans="1:13" ht="15.7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.75" customHeight="1" x14ac:dyDescent="0.25">
      <c r="A33" s="214">
        <v>562.55999999999995</v>
      </c>
      <c r="B33" s="350" t="s">
        <v>19</v>
      </c>
      <c r="C33" s="216"/>
      <c r="D33" s="219"/>
      <c r="E33" s="221"/>
      <c r="F33" s="219"/>
      <c r="G33" s="220"/>
      <c r="H33" s="219"/>
      <c r="I33" s="221"/>
      <c r="J33" s="219"/>
      <c r="K33" s="222"/>
      <c r="L33" s="223">
        <f t="shared" si="1"/>
        <v>0</v>
      </c>
      <c r="M33" s="11"/>
    </row>
    <row r="34" spans="1:13" ht="15.7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.75" customHeight="1" x14ac:dyDescent="0.25">
      <c r="A35" s="214">
        <v>562.58000000000004</v>
      </c>
      <c r="B35" s="350" t="s">
        <v>47</v>
      </c>
      <c r="C35" s="216"/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0</v>
      </c>
      <c r="M35" s="11"/>
    </row>
    <row r="36" spans="1:13" ht="15.7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.75" customHeight="1" x14ac:dyDescent="0.25">
      <c r="A37" s="214">
        <v>562.6</v>
      </c>
      <c r="B37" s="350" t="s">
        <v>20</v>
      </c>
      <c r="C37" s="216"/>
      <c r="D37" s="219"/>
      <c r="E37" s="221">
        <v>1361</v>
      </c>
      <c r="F37" s="219"/>
      <c r="G37" s="220"/>
      <c r="H37" s="219"/>
      <c r="I37" s="221"/>
      <c r="J37" s="219"/>
      <c r="K37" s="222"/>
      <c r="L37" s="223">
        <f t="shared" si="1"/>
        <v>1361</v>
      </c>
      <c r="M37" s="11"/>
    </row>
    <row r="38" spans="1:13" ht="15.75" customHeight="1" x14ac:dyDescent="0.25">
      <c r="A38" s="214">
        <v>562.71</v>
      </c>
      <c r="B38" s="350" t="s">
        <v>21</v>
      </c>
      <c r="C38" s="216">
        <v>4924</v>
      </c>
      <c r="D38" s="219">
        <v>6987</v>
      </c>
      <c r="E38" s="221"/>
      <c r="F38" s="219"/>
      <c r="G38" s="220"/>
      <c r="H38" s="219"/>
      <c r="I38" s="221"/>
      <c r="J38" s="219"/>
      <c r="K38" s="222"/>
      <c r="L38" s="223">
        <f t="shared" si="1"/>
        <v>11911</v>
      </c>
      <c r="M38" s="11"/>
    </row>
    <row r="39" spans="1:13" ht="15.7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.75" customHeight="1" x14ac:dyDescent="0.25">
      <c r="A40" s="214">
        <v>562.73</v>
      </c>
      <c r="B40" s="350" t="s">
        <v>23</v>
      </c>
      <c r="C40" s="216">
        <v>1769</v>
      </c>
      <c r="D40" s="219"/>
      <c r="E40" s="221"/>
      <c r="F40" s="219"/>
      <c r="G40" s="220">
        <v>16351</v>
      </c>
      <c r="H40" s="219"/>
      <c r="I40" s="221">
        <v>76093</v>
      </c>
      <c r="J40" s="219"/>
      <c r="K40" s="222">
        <v>1029</v>
      </c>
      <c r="L40" s="223">
        <f t="shared" si="1"/>
        <v>95242</v>
      </c>
      <c r="M40" s="11"/>
    </row>
    <row r="41" spans="1:13" ht="15.7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.7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.7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.7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/>
      <c r="H44" s="219"/>
      <c r="I44" s="221"/>
      <c r="J44" s="219"/>
      <c r="K44" s="222"/>
      <c r="L44" s="223">
        <f t="shared" si="1"/>
        <v>0</v>
      </c>
      <c r="M44" s="11"/>
    </row>
    <row r="45" spans="1:13" ht="15.75" customHeight="1" x14ac:dyDescent="0.25">
      <c r="A45" s="214">
        <v>562.88</v>
      </c>
      <c r="B45" s="350" t="s">
        <v>50</v>
      </c>
      <c r="C45" s="216"/>
      <c r="D45" s="219">
        <v>2000</v>
      </c>
      <c r="E45" s="221"/>
      <c r="F45" s="219"/>
      <c r="G45" s="220"/>
      <c r="H45" s="219"/>
      <c r="I45" s="221">
        <v>15176</v>
      </c>
      <c r="J45" s="219">
        <v>4244</v>
      </c>
      <c r="K45" s="222"/>
      <c r="L45" s="223">
        <f t="shared" si="1"/>
        <v>21420</v>
      </c>
      <c r="M45" s="11"/>
    </row>
    <row r="46" spans="1:13" ht="15.7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.75" customHeight="1" thickBot="1" x14ac:dyDescent="0.3">
      <c r="A47" s="214">
        <v>562.96</v>
      </c>
      <c r="B47" s="350" t="s">
        <v>156</v>
      </c>
      <c r="C47" s="216">
        <v>26736</v>
      </c>
      <c r="D47" s="219"/>
      <c r="E47" s="221"/>
      <c r="F47" s="219"/>
      <c r="G47" s="220"/>
      <c r="H47" s="219"/>
      <c r="I47" s="221"/>
      <c r="J47" s="219">
        <v>9881</v>
      </c>
      <c r="K47" s="222"/>
      <c r="L47" s="223"/>
      <c r="M47" s="11"/>
    </row>
    <row r="48" spans="1:13" ht="15.75" customHeight="1" thickBot="1" x14ac:dyDescent="0.3">
      <c r="A48" s="359" t="s">
        <v>63</v>
      </c>
      <c r="B48" s="360" t="s">
        <v>29</v>
      </c>
      <c r="C48" s="361">
        <f t="shared" ref="C48:K48" si="2">SUM(C5:C47)</f>
        <v>94321</v>
      </c>
      <c r="D48" s="364">
        <f t="shared" si="2"/>
        <v>28486</v>
      </c>
      <c r="E48" s="366">
        <f t="shared" si="2"/>
        <v>7180</v>
      </c>
      <c r="F48" s="364">
        <f t="shared" si="2"/>
        <v>42000</v>
      </c>
      <c r="G48" s="365">
        <f t="shared" si="2"/>
        <v>169075</v>
      </c>
      <c r="H48" s="364">
        <f t="shared" si="2"/>
        <v>191891</v>
      </c>
      <c r="I48" s="366">
        <f t="shared" si="2"/>
        <v>416686</v>
      </c>
      <c r="J48" s="364">
        <f t="shared" si="2"/>
        <v>36056</v>
      </c>
      <c r="K48" s="456">
        <f t="shared" si="2"/>
        <v>7062</v>
      </c>
      <c r="L48" s="405">
        <f>SUM(C48:K48)</f>
        <v>992757</v>
      </c>
      <c r="M48" s="11"/>
    </row>
    <row r="49" spans="1:13" ht="15.7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.7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.7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.7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.7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.7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.7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.7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.75" customHeight="1" x14ac:dyDescent="0.25">
      <c r="A57" s="214">
        <v>567</v>
      </c>
      <c r="B57" s="309" t="s">
        <v>37</v>
      </c>
      <c r="C57" s="400"/>
      <c r="D57" s="219"/>
      <c r="E57" s="221"/>
      <c r="F57" s="219"/>
      <c r="G57" s="220"/>
      <c r="H57" s="217"/>
      <c r="I57" s="218"/>
      <c r="J57" s="219">
        <v>4437</v>
      </c>
      <c r="K57" s="222"/>
      <c r="L57" s="223">
        <f t="shared" si="3"/>
        <v>4437</v>
      </c>
      <c r="M57" s="11"/>
    </row>
    <row r="58" spans="1:13" ht="15.7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.7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.75" customHeight="1" thickBot="1" x14ac:dyDescent="0.3">
      <c r="A60" s="334"/>
      <c r="B60" s="335" t="s">
        <v>41</v>
      </c>
      <c r="C60" s="408">
        <f>SUM(C48:C59)</f>
        <v>94321</v>
      </c>
      <c r="D60" s="364">
        <f>SUM(D48:D59)</f>
        <v>28486</v>
      </c>
      <c r="E60" s="366">
        <f t="shared" ref="E60:K60" si="4">SUM(E48:E59)</f>
        <v>7180</v>
      </c>
      <c r="F60" s="364">
        <f>SUM(F48:F49)</f>
        <v>42000</v>
      </c>
      <c r="G60" s="365">
        <f t="shared" si="4"/>
        <v>169075</v>
      </c>
      <c r="H60" s="362">
        <f t="shared" si="4"/>
        <v>191891</v>
      </c>
      <c r="I60" s="363">
        <f t="shared" si="4"/>
        <v>416686</v>
      </c>
      <c r="J60" s="364">
        <f t="shared" si="4"/>
        <v>40493</v>
      </c>
      <c r="K60" s="456">
        <f t="shared" si="4"/>
        <v>7062</v>
      </c>
      <c r="L60" s="409">
        <f>SUM(C60:K60)</f>
        <v>997194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94321</v>
      </c>
      <c r="D66" s="422">
        <f>C60/L60</f>
        <v>9.4586409464958679E-2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28486</v>
      </c>
      <c r="D67" s="425">
        <f>D60/L60</f>
        <v>2.8566156635519268E-2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122807</v>
      </c>
      <c r="D68" s="428">
        <f>SUM(D66:D67)</f>
        <v>0.12315256610047795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7180</v>
      </c>
      <c r="D70" s="434">
        <f>E60/$L60</f>
        <v>7.2002037717836245E-3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42000</v>
      </c>
      <c r="D71" s="434">
        <f>F60/L60</f>
        <v>4.2118183623246833E-2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169075</v>
      </c>
      <c r="D72" s="434">
        <f>G60/$L60</f>
        <v>0.16955075943096329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191891</v>
      </c>
      <c r="D73" s="437">
        <f>H60/$L60</f>
        <v>0.19243096127734421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410146</v>
      </c>
      <c r="D74" s="428">
        <f>SUM(D70:D73)</f>
        <v>0.41130010810333795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416686</v>
      </c>
      <c r="D76" s="422">
        <f>I60/L60</f>
        <v>0.41785851098181498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40493</v>
      </c>
      <c r="D77" s="425">
        <f>J60/L60</f>
        <v>4.0606943082288904E-2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457179</v>
      </c>
      <c r="D78" s="428">
        <f>SUM(D76:D77)</f>
        <v>0.45846545406410388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7062</v>
      </c>
      <c r="D80" s="428">
        <f>K60/L60</f>
        <v>7.0818717320802168E-3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997194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52" priority="5">
      <formula>ROW()=EVEN(ROW())</formula>
    </cfRule>
  </conditionalFormatting>
  <conditionalFormatting sqref="L49:L59">
    <cfRule type="expression" dxfId="51" priority="3">
      <formula>ROW()=EVEN(ROW())</formula>
    </cfRule>
  </conditionalFormatting>
  <conditionalFormatting sqref="L5:L10">
    <cfRule type="expression" dxfId="50" priority="4">
      <formula>ROW()=EVEN(ROW())</formula>
    </cfRule>
  </conditionalFormatting>
  <conditionalFormatting sqref="A6:K10">
    <cfRule type="expression" dxfId="49" priority="2">
      <formula>ROW()=EVEN(ROW())</formula>
    </cfRule>
  </conditionalFormatting>
  <printOptions horizontalCentered="1"/>
  <pageMargins left="0" right="0" top="0.98" bottom="0.6" header="0.3" footer="0.3"/>
  <pageSetup scale="65" firstPageNumber="50" fitToHeight="2" orientation="landscape" useFirstPageNumber="1" r:id="rId1"/>
  <headerFooter>
    <oddHeader>&amp;C&amp;"Arial,Bold"&amp;16Expenditures by Expenditure Code and Revenue Source
2017
PACIFIC</oddHeader>
  </headerFooter>
  <rowBreaks count="1" manualBreakCount="1">
    <brk id="48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8"/>
  <sheetViews>
    <sheetView showZeros="0" view="pageLayout" topLeftCell="A69" zoomScaleNormal="100" workbookViewId="0">
      <selection activeCell="J84" sqref="J84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16510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26</v>
      </c>
      <c r="D2" s="386"/>
      <c r="G2" s="382"/>
      <c r="H2" s="380"/>
      <c r="I2" s="380"/>
      <c r="J2" s="531" t="s">
        <v>143</v>
      </c>
      <c r="K2" s="531"/>
      <c r="L2" s="497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.75" customHeight="1" x14ac:dyDescent="0.25">
      <c r="A5" s="214">
        <v>562.1</v>
      </c>
      <c r="B5" s="350" t="s">
        <v>9</v>
      </c>
      <c r="C5" s="216">
        <v>205569</v>
      </c>
      <c r="D5" s="219">
        <f>10395+369</f>
        <v>10764</v>
      </c>
      <c r="E5" s="221"/>
      <c r="F5" s="219"/>
      <c r="G5" s="220">
        <v>64015</v>
      </c>
      <c r="H5" s="219"/>
      <c r="I5" s="221"/>
      <c r="J5" s="219"/>
      <c r="K5" s="222">
        <v>4106</v>
      </c>
      <c r="L5" s="223">
        <f>SUM(C5:K5)</f>
        <v>284454</v>
      </c>
      <c r="M5" s="11"/>
    </row>
    <row r="6" spans="1:13" ht="15.7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.7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.7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.7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.7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.75" customHeight="1" x14ac:dyDescent="0.25">
      <c r="A11" s="214">
        <v>562.22</v>
      </c>
      <c r="B11" s="350" t="s">
        <v>51</v>
      </c>
      <c r="C11" s="216">
        <v>31512</v>
      </c>
      <c r="D11" s="219">
        <f>2552+10194</f>
        <v>12746</v>
      </c>
      <c r="E11" s="221"/>
      <c r="F11" s="219"/>
      <c r="G11" s="220">
        <v>7049</v>
      </c>
      <c r="H11" s="219"/>
      <c r="I11" s="221">
        <v>9362</v>
      </c>
      <c r="J11" s="219"/>
      <c r="K11" s="222"/>
      <c r="L11" s="223">
        <f t="shared" ref="L11:L47" si="1">SUM(C11:K11)</f>
        <v>60669</v>
      </c>
      <c r="M11" s="11"/>
    </row>
    <row r="12" spans="1:13" ht="15.7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/>
      <c r="H12" s="219">
        <v>4713</v>
      </c>
      <c r="I12" s="231"/>
      <c r="J12" s="219">
        <v>4713</v>
      </c>
      <c r="K12" s="222"/>
      <c r="L12" s="223">
        <f t="shared" si="1"/>
        <v>9426</v>
      </c>
      <c r="M12" s="11"/>
    </row>
    <row r="13" spans="1:13" ht="15.75" customHeight="1" x14ac:dyDescent="0.25">
      <c r="A13" s="214">
        <v>562.25</v>
      </c>
      <c r="B13" s="350" t="s">
        <v>52</v>
      </c>
      <c r="C13" s="216">
        <v>11661</v>
      </c>
      <c r="D13" s="219">
        <v>19031</v>
      </c>
      <c r="E13" s="221"/>
      <c r="F13" s="219"/>
      <c r="G13" s="220"/>
      <c r="H13" s="219"/>
      <c r="I13" s="221">
        <v>17944</v>
      </c>
      <c r="J13" s="219">
        <v>23038</v>
      </c>
      <c r="K13" s="222"/>
      <c r="L13" s="223">
        <f t="shared" si="1"/>
        <v>71674</v>
      </c>
      <c r="M13" s="11"/>
    </row>
    <row r="14" spans="1:13" ht="15.7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ht="15.75" customHeight="1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ht="15.75" customHeight="1" x14ac:dyDescent="0.25">
      <c r="A16" s="214">
        <v>562.28</v>
      </c>
      <c r="B16" s="350" t="s">
        <v>53</v>
      </c>
      <c r="C16" s="216">
        <v>93272</v>
      </c>
      <c r="D16" s="219"/>
      <c r="E16" s="221"/>
      <c r="F16" s="219"/>
      <c r="G16" s="220"/>
      <c r="H16" s="219"/>
      <c r="I16" s="221">
        <v>87224</v>
      </c>
      <c r="J16" s="219">
        <v>22531</v>
      </c>
      <c r="K16" s="222"/>
      <c r="L16" s="223">
        <f t="shared" si="1"/>
        <v>203027</v>
      </c>
      <c r="M16" s="11"/>
    </row>
    <row r="17" spans="1:13" ht="15.75" customHeight="1" x14ac:dyDescent="0.25">
      <c r="A17" s="214">
        <v>562.29</v>
      </c>
      <c r="B17" s="350" t="s">
        <v>45</v>
      </c>
      <c r="C17" s="216">
        <v>323813</v>
      </c>
      <c r="D17" s="219"/>
      <c r="E17" s="221"/>
      <c r="F17" s="219"/>
      <c r="G17" s="220">
        <v>825</v>
      </c>
      <c r="H17" s="219">
        <v>3939</v>
      </c>
      <c r="I17" s="221"/>
      <c r="J17" s="219">
        <v>20887</v>
      </c>
      <c r="K17" s="222"/>
      <c r="L17" s="223">
        <f t="shared" si="1"/>
        <v>349464</v>
      </c>
      <c r="M17" s="11"/>
    </row>
    <row r="18" spans="1:13" ht="15.75" customHeight="1" x14ac:dyDescent="0.25">
      <c r="A18" s="214">
        <v>562.32000000000005</v>
      </c>
      <c r="B18" s="350" t="s">
        <v>11</v>
      </c>
      <c r="C18" s="216">
        <v>6316</v>
      </c>
      <c r="D18" s="219">
        <v>27453</v>
      </c>
      <c r="E18" s="221"/>
      <c r="F18" s="219">
        <v>8223</v>
      </c>
      <c r="G18" s="220">
        <v>23079</v>
      </c>
      <c r="H18" s="219"/>
      <c r="I18" s="221">
        <v>7391</v>
      </c>
      <c r="J18" s="219"/>
      <c r="K18" s="222"/>
      <c r="L18" s="223">
        <f t="shared" si="1"/>
        <v>72462</v>
      </c>
      <c r="M18" s="11"/>
    </row>
    <row r="19" spans="1:13" ht="15.75" customHeight="1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/>
      <c r="H19" s="219"/>
      <c r="I19" s="221"/>
      <c r="J19" s="219"/>
      <c r="K19" s="222"/>
      <c r="L19" s="223">
        <f t="shared" si="1"/>
        <v>0</v>
      </c>
      <c r="M19" s="11"/>
    </row>
    <row r="20" spans="1:13" ht="15.75" customHeight="1" x14ac:dyDescent="0.25">
      <c r="A20" s="214">
        <v>562.34</v>
      </c>
      <c r="B20" s="350" t="s">
        <v>12</v>
      </c>
      <c r="C20" s="216">
        <v>127</v>
      </c>
      <c r="D20" s="219">
        <v>196</v>
      </c>
      <c r="E20" s="221"/>
      <c r="F20" s="219"/>
      <c r="G20" s="220"/>
      <c r="H20" s="219"/>
      <c r="I20" s="221"/>
      <c r="J20" s="219"/>
      <c r="K20" s="222"/>
      <c r="L20" s="223">
        <f t="shared" si="1"/>
        <v>323</v>
      </c>
      <c r="M20" s="11"/>
    </row>
    <row r="21" spans="1:13" ht="15.75" customHeight="1" x14ac:dyDescent="0.25">
      <c r="A21" s="214">
        <v>562.35</v>
      </c>
      <c r="B21" s="350" t="s">
        <v>13</v>
      </c>
      <c r="C21" s="216">
        <v>13</v>
      </c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13</v>
      </c>
      <c r="M21" s="11"/>
    </row>
    <row r="22" spans="1:13" ht="15.75" customHeight="1" x14ac:dyDescent="0.25">
      <c r="A22" s="214">
        <v>562.39</v>
      </c>
      <c r="B22" s="350" t="s">
        <v>14</v>
      </c>
      <c r="C22" s="216"/>
      <c r="D22" s="219"/>
      <c r="E22" s="221"/>
      <c r="F22" s="219"/>
      <c r="G22" s="220">
        <v>29524</v>
      </c>
      <c r="H22" s="219"/>
      <c r="I22" s="221"/>
      <c r="J22" s="219"/>
      <c r="K22" s="222"/>
      <c r="L22" s="223">
        <f t="shared" si="1"/>
        <v>29524</v>
      </c>
      <c r="M22" s="11"/>
    </row>
    <row r="23" spans="1:13" ht="15.7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.7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.7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.7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.7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.7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>
        <v>2077</v>
      </c>
      <c r="H28" s="219"/>
      <c r="I28" s="221"/>
      <c r="J28" s="219"/>
      <c r="K28" s="222"/>
      <c r="L28" s="223">
        <f t="shared" si="1"/>
        <v>2077</v>
      </c>
      <c r="M28" s="11"/>
    </row>
    <row r="29" spans="1:13" ht="15.75" customHeight="1" x14ac:dyDescent="0.25">
      <c r="A29" s="214">
        <v>562.52</v>
      </c>
      <c r="B29" s="350" t="s">
        <v>17</v>
      </c>
      <c r="C29" s="216">
        <v>37225</v>
      </c>
      <c r="D29" s="219">
        <v>65418</v>
      </c>
      <c r="E29" s="221">
        <v>20000</v>
      </c>
      <c r="F29" s="219"/>
      <c r="G29" s="220"/>
      <c r="H29" s="219"/>
      <c r="I29" s="221"/>
      <c r="J29" s="219"/>
      <c r="K29" s="222"/>
      <c r="L29" s="223">
        <f t="shared" si="1"/>
        <v>122643</v>
      </c>
      <c r="M29" s="11"/>
    </row>
    <row r="30" spans="1:13" ht="15.75" customHeight="1" x14ac:dyDescent="0.25">
      <c r="A30" s="214">
        <v>562.53</v>
      </c>
      <c r="B30" s="350" t="s">
        <v>58</v>
      </c>
      <c r="C30" s="216">
        <v>0</v>
      </c>
      <c r="D30" s="219">
        <v>2717</v>
      </c>
      <c r="E30" s="221"/>
      <c r="F30" s="219"/>
      <c r="G30" s="220"/>
      <c r="H30" s="219">
        <v>18334</v>
      </c>
      <c r="I30" s="221"/>
      <c r="J30" s="219"/>
      <c r="K30" s="222"/>
      <c r="L30" s="223">
        <f t="shared" si="1"/>
        <v>21051</v>
      </c>
      <c r="M30" s="11"/>
    </row>
    <row r="31" spans="1:13" ht="15.75" customHeight="1" x14ac:dyDescent="0.25">
      <c r="A31" s="214">
        <v>562.54</v>
      </c>
      <c r="B31" s="350" t="s">
        <v>59</v>
      </c>
      <c r="C31" s="216">
        <v>27312</v>
      </c>
      <c r="D31" s="219">
        <v>232838</v>
      </c>
      <c r="E31" s="221">
        <v>32428</v>
      </c>
      <c r="F31" s="219"/>
      <c r="G31" s="220"/>
      <c r="H31" s="219"/>
      <c r="I31" s="221">
        <v>40711</v>
      </c>
      <c r="J31" s="219"/>
      <c r="K31" s="222"/>
      <c r="L31" s="223">
        <f t="shared" si="1"/>
        <v>333289</v>
      </c>
      <c r="M31" s="11"/>
    </row>
    <row r="32" spans="1:13" ht="15.7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.75" customHeight="1" x14ac:dyDescent="0.25">
      <c r="A33" s="214">
        <v>562.55999999999995</v>
      </c>
      <c r="B33" s="350" t="s">
        <v>19</v>
      </c>
      <c r="C33" s="216"/>
      <c r="D33" s="219">
        <v>80903</v>
      </c>
      <c r="E33" s="221"/>
      <c r="F33" s="219"/>
      <c r="G33" s="220"/>
      <c r="H33" s="219"/>
      <c r="I33" s="221"/>
      <c r="J33" s="219"/>
      <c r="K33" s="222"/>
      <c r="L33" s="223">
        <f t="shared" si="1"/>
        <v>80903</v>
      </c>
      <c r="M33" s="11"/>
    </row>
    <row r="34" spans="1:13" ht="15.7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.75" customHeight="1" x14ac:dyDescent="0.25">
      <c r="A35" s="214">
        <v>562.58000000000004</v>
      </c>
      <c r="B35" s="350" t="s">
        <v>47</v>
      </c>
      <c r="C35" s="216"/>
      <c r="D35" s="219">
        <v>9820</v>
      </c>
      <c r="E35" s="221"/>
      <c r="F35" s="219"/>
      <c r="G35" s="220"/>
      <c r="H35" s="219"/>
      <c r="I35" s="221"/>
      <c r="J35" s="219"/>
      <c r="K35" s="222"/>
      <c r="L35" s="223">
        <f t="shared" si="1"/>
        <v>9820</v>
      </c>
      <c r="M35" s="11"/>
    </row>
    <row r="36" spans="1:13" ht="15.75" customHeight="1" x14ac:dyDescent="0.25">
      <c r="A36" s="214">
        <v>562.59</v>
      </c>
      <c r="B36" s="350" t="s">
        <v>48</v>
      </c>
      <c r="C36" s="216">
        <v>3106</v>
      </c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3106</v>
      </c>
      <c r="M36" s="11"/>
    </row>
    <row r="37" spans="1:13" ht="15.75" customHeight="1" x14ac:dyDescent="0.25">
      <c r="A37" s="214">
        <v>562.6</v>
      </c>
      <c r="B37" s="350" t="s">
        <v>20</v>
      </c>
      <c r="C37" s="216">
        <v>4363</v>
      </c>
      <c r="D37" s="219"/>
      <c r="E37" s="221">
        <v>7483</v>
      </c>
      <c r="F37" s="219"/>
      <c r="G37" s="220"/>
      <c r="H37" s="219"/>
      <c r="I37" s="221"/>
      <c r="J37" s="219"/>
      <c r="K37" s="222"/>
      <c r="L37" s="223">
        <f t="shared" si="1"/>
        <v>11846</v>
      </c>
      <c r="M37" s="11"/>
    </row>
    <row r="38" spans="1:13" ht="15.75" customHeight="1" x14ac:dyDescent="0.25">
      <c r="A38" s="214">
        <v>562.71</v>
      </c>
      <c r="B38" s="350" t="s">
        <v>21</v>
      </c>
      <c r="C38" s="216">
        <v>3141</v>
      </c>
      <c r="D38" s="219">
        <v>6310</v>
      </c>
      <c r="E38" s="221"/>
      <c r="F38" s="219"/>
      <c r="G38" s="220"/>
      <c r="H38" s="219"/>
      <c r="I38" s="221"/>
      <c r="J38" s="219"/>
      <c r="K38" s="222"/>
      <c r="L38" s="223">
        <f t="shared" si="1"/>
        <v>9451</v>
      </c>
      <c r="M38" s="11"/>
    </row>
    <row r="39" spans="1:13" ht="15.7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.7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>
        <v>5585</v>
      </c>
      <c r="K40" s="222"/>
      <c r="L40" s="223">
        <f t="shared" si="1"/>
        <v>5585</v>
      </c>
      <c r="M40" s="11"/>
    </row>
    <row r="41" spans="1:13" ht="15.7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.7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.7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.7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/>
      <c r="H44" s="219"/>
      <c r="I44" s="221"/>
      <c r="J44" s="219"/>
      <c r="K44" s="222"/>
      <c r="L44" s="223">
        <f t="shared" si="1"/>
        <v>0</v>
      </c>
      <c r="M44" s="11"/>
    </row>
    <row r="45" spans="1:13" ht="15.75" customHeight="1" x14ac:dyDescent="0.25">
      <c r="A45" s="214">
        <v>562.88</v>
      </c>
      <c r="B45" s="350" t="s">
        <v>50</v>
      </c>
      <c r="C45" s="216">
        <v>2183</v>
      </c>
      <c r="D45" s="219"/>
      <c r="E45" s="221"/>
      <c r="F45" s="219"/>
      <c r="G45" s="220"/>
      <c r="H45" s="219"/>
      <c r="I45" s="221">
        <v>9766</v>
      </c>
      <c r="J45" s="219"/>
      <c r="K45" s="222"/>
      <c r="L45" s="223">
        <f t="shared" si="1"/>
        <v>11949</v>
      </c>
      <c r="M45" s="11"/>
    </row>
    <row r="46" spans="1:13" ht="15.7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.7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.75" customHeight="1" thickBot="1" x14ac:dyDescent="0.3">
      <c r="A48" s="359" t="s">
        <v>63</v>
      </c>
      <c r="B48" s="360" t="s">
        <v>29</v>
      </c>
      <c r="C48" s="361">
        <f t="shared" ref="C48:K48" si="2">SUM(C5:C47)</f>
        <v>749613</v>
      </c>
      <c r="D48" s="364">
        <f t="shared" si="2"/>
        <v>468196</v>
      </c>
      <c r="E48" s="366">
        <f t="shared" si="2"/>
        <v>59911</v>
      </c>
      <c r="F48" s="364">
        <f t="shared" si="2"/>
        <v>8223</v>
      </c>
      <c r="G48" s="365">
        <f t="shared" si="2"/>
        <v>126569</v>
      </c>
      <c r="H48" s="364">
        <f t="shared" si="2"/>
        <v>26986</v>
      </c>
      <c r="I48" s="366">
        <f t="shared" si="2"/>
        <v>172398</v>
      </c>
      <c r="J48" s="364">
        <f t="shared" si="2"/>
        <v>76754</v>
      </c>
      <c r="K48" s="456">
        <f t="shared" si="2"/>
        <v>4106</v>
      </c>
      <c r="L48" s="405">
        <f>SUM(C48:K48)</f>
        <v>1692756</v>
      </c>
      <c r="M48" s="11"/>
    </row>
    <row r="49" spans="1:13" ht="15.7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.7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.7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.7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.7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.7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/>
      <c r="M54" s="11"/>
    </row>
    <row r="55" spans="1:13" ht="15.75" customHeight="1" x14ac:dyDescent="0.25">
      <c r="A55" s="214">
        <v>564</v>
      </c>
      <c r="B55" s="309" t="s">
        <v>36</v>
      </c>
      <c r="C55" s="400">
        <v>548864</v>
      </c>
      <c r="D55" s="219">
        <v>198984</v>
      </c>
      <c r="E55" s="221"/>
      <c r="F55" s="219"/>
      <c r="G55" s="220"/>
      <c r="H55" s="217"/>
      <c r="I55" s="218"/>
      <c r="J55" s="219"/>
      <c r="K55" s="222"/>
      <c r="L55" s="223">
        <f t="shared" si="3"/>
        <v>747848</v>
      </c>
      <c r="M55" s="11"/>
    </row>
    <row r="56" spans="1:13" ht="15.75" customHeight="1" x14ac:dyDescent="0.25">
      <c r="A56" s="214">
        <v>566</v>
      </c>
      <c r="B56" s="309" t="s">
        <v>37</v>
      </c>
      <c r="C56" s="400"/>
      <c r="D56" s="219"/>
      <c r="E56" s="221"/>
      <c r="F56" s="219"/>
      <c r="G56" s="220"/>
      <c r="H56" s="217">
        <v>208915</v>
      </c>
      <c r="I56" s="218"/>
      <c r="J56" s="219">
        <v>67102</v>
      </c>
      <c r="K56" s="222"/>
      <c r="L56" s="223">
        <f t="shared" si="3"/>
        <v>276017</v>
      </c>
      <c r="M56" s="11"/>
    </row>
    <row r="57" spans="1:13" ht="15.75" customHeight="1" x14ac:dyDescent="0.25">
      <c r="A57" s="214">
        <v>567</v>
      </c>
      <c r="B57" s="309" t="s">
        <v>152</v>
      </c>
      <c r="C57" s="400"/>
      <c r="D57" s="219"/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.75" customHeight="1" x14ac:dyDescent="0.25">
      <c r="A58" s="214">
        <v>568</v>
      </c>
      <c r="B58" s="309" t="s">
        <v>38</v>
      </c>
      <c r="C58" s="400">
        <v>15611</v>
      </c>
      <c r="D58" s="219">
        <v>64170</v>
      </c>
      <c r="E58" s="221"/>
      <c r="F58" s="219"/>
      <c r="G58" s="220"/>
      <c r="H58" s="217"/>
      <c r="I58" s="218"/>
      <c r="J58" s="219"/>
      <c r="K58" s="222"/>
      <c r="L58" s="223">
        <f t="shared" si="3"/>
        <v>79781</v>
      </c>
      <c r="M58" s="11"/>
    </row>
    <row r="59" spans="1:13" ht="15.75" customHeight="1" thickBot="1" x14ac:dyDescent="0.3">
      <c r="A59" s="214">
        <v>500</v>
      </c>
      <c r="B59" s="309" t="s">
        <v>66</v>
      </c>
      <c r="C59" s="400">
        <v>362739</v>
      </c>
      <c r="D59" s="219">
        <v>182541</v>
      </c>
      <c r="E59" s="221"/>
      <c r="F59" s="219"/>
      <c r="G59" s="220"/>
      <c r="H59" s="217">
        <v>657580</v>
      </c>
      <c r="I59" s="218"/>
      <c r="J59" s="219">
        <f>14584+36789</f>
        <v>51373</v>
      </c>
      <c r="K59" s="222"/>
      <c r="L59" s="223">
        <f t="shared" si="3"/>
        <v>1254233</v>
      </c>
      <c r="M59" s="11"/>
    </row>
    <row r="60" spans="1:13" ht="15.75" customHeight="1" thickBot="1" x14ac:dyDescent="0.3">
      <c r="A60" s="334"/>
      <c r="B60" s="335" t="s">
        <v>41</v>
      </c>
      <c r="C60" s="408">
        <f>SUM(C48:C59)</f>
        <v>1676827</v>
      </c>
      <c r="D60" s="364">
        <f>SUM(D48:D59)</f>
        <v>913891</v>
      </c>
      <c r="E60" s="366">
        <f t="shared" ref="E60:K60" si="4">SUM(E48:E59)</f>
        <v>59911</v>
      </c>
      <c r="F60" s="364">
        <f>SUM(F48:F59)</f>
        <v>8223</v>
      </c>
      <c r="G60" s="365">
        <f t="shared" si="4"/>
        <v>126569</v>
      </c>
      <c r="H60" s="362">
        <f t="shared" si="4"/>
        <v>893481</v>
      </c>
      <c r="I60" s="363">
        <f t="shared" si="4"/>
        <v>172398</v>
      </c>
      <c r="J60" s="364">
        <f t="shared" si="4"/>
        <v>195229</v>
      </c>
      <c r="K60" s="456">
        <f t="shared" si="4"/>
        <v>4106</v>
      </c>
      <c r="L60" s="409">
        <f>SUM(C60:K60)</f>
        <v>4050635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1676827</v>
      </c>
      <c r="D66" s="422">
        <f>C60/L60</f>
        <v>0.41396645217354811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913891</v>
      </c>
      <c r="D67" s="425">
        <f>D60/L60</f>
        <v>0.22561672429137652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2590718</v>
      </c>
      <c r="D68" s="428">
        <f>SUM(D66:D67)</f>
        <v>0.63958317646492469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59911</v>
      </c>
      <c r="D70" s="434">
        <f>E60/$L60</f>
        <v>1.4790520498637869E-2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8223</v>
      </c>
      <c r="D71" s="434">
        <f>F60/L60</f>
        <v>2.030052078254397E-3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126569</v>
      </c>
      <c r="D72" s="434">
        <f>G60/$L60</f>
        <v>3.1246705763417339E-2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893481</v>
      </c>
      <c r="D73" s="437">
        <f>H60/$L60</f>
        <v>0.22057800813946454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1088184</v>
      </c>
      <c r="D74" s="428">
        <f>SUM(D70:D73)</f>
        <v>0.26864528647977415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172398</v>
      </c>
      <c r="D76" s="422">
        <f>I60/L60</f>
        <v>4.2560734304621373E-2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195229</v>
      </c>
      <c r="D77" s="425">
        <f>J60/L60</f>
        <v>4.819713452335251E-2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367627</v>
      </c>
      <c r="D78" s="428">
        <f>SUM(D76:D77)</f>
        <v>9.0757868827973875E-2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4106</v>
      </c>
      <c r="D80" s="428">
        <f>K60/L60</f>
        <v>1.0136682273273203E-3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4050635</v>
      </c>
      <c r="D81" s="448">
        <f>D74+D78+D68+D80</f>
        <v>1</v>
      </c>
      <c r="E81" s="410"/>
      <c r="F81" s="410"/>
      <c r="G81" s="410"/>
      <c r="I81" s="381"/>
      <c r="J81" s="381"/>
      <c r="K81" s="410"/>
      <c r="M81" s="11"/>
    </row>
    <row r="82" spans="2:13" x14ac:dyDescent="0.25">
      <c r="C82" s="381"/>
      <c r="D82" s="381"/>
      <c r="E82" s="410"/>
      <c r="F82" s="410"/>
      <c r="G82" s="410"/>
      <c r="I82" s="381"/>
      <c r="J82" s="381"/>
      <c r="K82" s="410"/>
      <c r="M82" s="11"/>
    </row>
    <row r="83" spans="2:13" x14ac:dyDescent="0.25">
      <c r="C83" s="381"/>
      <c r="D83" s="381"/>
      <c r="E83" s="410"/>
      <c r="F83" s="410"/>
      <c r="G83" s="410"/>
      <c r="I83" s="381"/>
      <c r="J83" s="381"/>
      <c r="K83" s="410"/>
      <c r="M83" s="11"/>
    </row>
    <row r="84" spans="2:13" x14ac:dyDescent="0.25">
      <c r="C84" s="381"/>
      <c r="D84" s="381"/>
      <c r="E84" s="410"/>
      <c r="F84" s="410"/>
      <c r="G84" s="410"/>
      <c r="I84" s="381"/>
      <c r="J84" s="381"/>
      <c r="K84" s="410"/>
      <c r="M84" s="11"/>
    </row>
    <row r="85" spans="2:13" x14ac:dyDescent="0.25">
      <c r="C85" s="381"/>
      <c r="D85" s="381"/>
      <c r="E85" s="410"/>
      <c r="F85" s="410"/>
      <c r="G85" s="410"/>
      <c r="I85" s="381"/>
      <c r="J85" s="381"/>
      <c r="K85" s="410"/>
      <c r="M85" s="11"/>
    </row>
    <row r="86" spans="2:13" x14ac:dyDescent="0.25">
      <c r="M86" s="20"/>
    </row>
    <row r="87" spans="2:13" x14ac:dyDescent="0.25">
      <c r="M87" s="20"/>
    </row>
    <row r="88" spans="2:13" x14ac:dyDescent="0.25">
      <c r="M88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L59 A11:B59">
    <cfRule type="expression" dxfId="48" priority="5">
      <formula>ROW()=EVEN(ROW())</formula>
    </cfRule>
  </conditionalFormatting>
  <conditionalFormatting sqref="L5:L10">
    <cfRule type="expression" dxfId="47" priority="4">
      <formula>ROW()=EVEN(ROW())</formula>
    </cfRule>
  </conditionalFormatting>
  <conditionalFormatting sqref="A6:K10">
    <cfRule type="expression" dxfId="46" priority="2">
      <formula>ROW()=EVEN(ROW())</formula>
    </cfRule>
  </conditionalFormatting>
  <printOptions horizontalCentered="1"/>
  <pageMargins left="0" right="0" top="0.98" bottom="0.6" header="0.3" footer="0.3"/>
  <pageSetup scale="65" firstPageNumber="52" fitToHeight="2" orientation="landscape" useFirstPageNumber="1" r:id="rId1"/>
  <headerFooter>
    <oddHeader xml:space="preserve">&amp;C&amp;"Arial,Bold"&amp;16Expenditures by Expenditure Code and Revenue Source
2017
SAN JUAN 
</oddHeader>
  </headerFooter>
  <rowBreaks count="1" manualBreakCount="1">
    <brk id="48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69" zoomScaleNormal="100" workbookViewId="0">
      <selection activeCell="K84" sqref="K84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2153700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1344</v>
      </c>
      <c r="D2" s="134"/>
      <c r="G2" s="130"/>
      <c r="H2" s="128"/>
      <c r="I2" s="128"/>
      <c r="J2" s="526" t="s">
        <v>143</v>
      </c>
      <c r="K2" s="526"/>
      <c r="L2" s="498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v>3551992</v>
      </c>
      <c r="D5" s="95">
        <v>32294</v>
      </c>
      <c r="E5" s="147">
        <v>193384</v>
      </c>
      <c r="F5" s="95"/>
      <c r="G5" s="146"/>
      <c r="H5" s="95">
        <v>17455</v>
      </c>
      <c r="I5" s="147"/>
      <c r="J5" s="95">
        <v>-1829558</v>
      </c>
      <c r="K5" s="96">
        <v>82479</v>
      </c>
      <c r="L5" s="97">
        <f>SUM(C5:K5)</f>
        <v>2048046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/>
      <c r="G6" s="484"/>
      <c r="H6" s="482"/>
      <c r="I6" s="483"/>
      <c r="J6" s="482"/>
      <c r="K6" s="485"/>
      <c r="L6" s="97">
        <f t="shared" ref="L6:L10" si="0">SUM(C6:K6)</f>
        <v>0</v>
      </c>
      <c r="M6" s="11"/>
    </row>
    <row r="7" spans="1:13" ht="15.75" customHeight="1" x14ac:dyDescent="0.25">
      <c r="A7" s="90">
        <v>562.12</v>
      </c>
      <c r="B7" s="171" t="s">
        <v>146</v>
      </c>
      <c r="C7" s="481">
        <v>1089382</v>
      </c>
      <c r="D7" s="482">
        <v>1157177</v>
      </c>
      <c r="E7" s="483"/>
      <c r="F7" s="482"/>
      <c r="G7" s="484">
        <v>672405</v>
      </c>
      <c r="H7" s="482"/>
      <c r="I7" s="483"/>
      <c r="J7" s="482"/>
      <c r="K7" s="485">
        <v>163306</v>
      </c>
      <c r="L7" s="97">
        <f t="shared" si="0"/>
        <v>3082270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>
        <v>31658598</v>
      </c>
      <c r="D11" s="95">
        <v>15837107</v>
      </c>
      <c r="E11" s="147"/>
      <c r="F11" s="95"/>
      <c r="G11" s="146">
        <v>3075633</v>
      </c>
      <c r="H11" s="95">
        <v>573743</v>
      </c>
      <c r="I11" s="147">
        <v>641691</v>
      </c>
      <c r="J11" s="95">
        <v>2034179</v>
      </c>
      <c r="K11" s="96">
        <v>64105</v>
      </c>
      <c r="L11" s="97">
        <f t="shared" ref="L11:L47" si="1">SUM(C11:K11)</f>
        <v>53885056</v>
      </c>
      <c r="M11" s="11"/>
    </row>
    <row r="12" spans="1:13" ht="15.75" customHeight="1" x14ac:dyDescent="0.25">
      <c r="A12" s="90">
        <v>562.24</v>
      </c>
      <c r="B12" s="171" t="s">
        <v>10</v>
      </c>
      <c r="C12" s="144">
        <v>2226164</v>
      </c>
      <c r="D12" s="95">
        <v>11736404</v>
      </c>
      <c r="E12" s="147"/>
      <c r="F12" s="95"/>
      <c r="G12" s="146"/>
      <c r="H12" s="95"/>
      <c r="I12" s="486">
        <v>58960</v>
      </c>
      <c r="J12" s="95">
        <v>342887</v>
      </c>
      <c r="K12" s="96">
        <v>7331</v>
      </c>
      <c r="L12" s="97">
        <f t="shared" si="1"/>
        <v>14371746</v>
      </c>
      <c r="M12" s="11"/>
    </row>
    <row r="13" spans="1:13" ht="15.75" customHeight="1" x14ac:dyDescent="0.25">
      <c r="A13" s="90">
        <v>562.25</v>
      </c>
      <c r="B13" s="171" t="s">
        <v>52</v>
      </c>
      <c r="C13" s="144">
        <v>246202</v>
      </c>
      <c r="D13" s="95">
        <v>196836</v>
      </c>
      <c r="E13" s="147">
        <v>24829</v>
      </c>
      <c r="F13" s="95"/>
      <c r="G13" s="146"/>
      <c r="H13" s="95">
        <v>11375</v>
      </c>
      <c r="I13" s="147">
        <v>325859</v>
      </c>
      <c r="J13" s="95"/>
      <c r="K13" s="96"/>
      <c r="L13" s="97">
        <f t="shared" si="1"/>
        <v>805101</v>
      </c>
      <c r="M13" s="11"/>
    </row>
    <row r="14" spans="1:13" ht="15.75" customHeight="1" x14ac:dyDescent="0.25">
      <c r="A14" s="90">
        <v>562.26</v>
      </c>
      <c r="B14" s="171" t="s">
        <v>43</v>
      </c>
      <c r="C14" s="144">
        <v>6214402</v>
      </c>
      <c r="D14" s="95">
        <v>2723947</v>
      </c>
      <c r="E14" s="147">
        <v>948211</v>
      </c>
      <c r="F14" s="95"/>
      <c r="G14" s="146">
        <v>1042608</v>
      </c>
      <c r="H14" s="95"/>
      <c r="I14" s="147">
        <v>20000</v>
      </c>
      <c r="J14" s="95">
        <v>1878634</v>
      </c>
      <c r="K14" s="96">
        <v>10127</v>
      </c>
      <c r="L14" s="97">
        <f t="shared" si="1"/>
        <v>12837929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>
        <v>362559</v>
      </c>
      <c r="J15" s="95"/>
      <c r="K15" s="96"/>
      <c r="L15" s="97">
        <f t="shared" si="1"/>
        <v>362559</v>
      </c>
      <c r="M15" s="11"/>
    </row>
    <row r="16" spans="1:13" ht="15.75" customHeight="1" x14ac:dyDescent="0.25">
      <c r="A16" s="90">
        <v>562.28</v>
      </c>
      <c r="B16" s="171" t="s">
        <v>53</v>
      </c>
      <c r="C16" s="144">
        <v>2165650</v>
      </c>
      <c r="D16" s="95"/>
      <c r="E16" s="147"/>
      <c r="F16" s="95"/>
      <c r="G16" s="146">
        <v>1586198</v>
      </c>
      <c r="H16" s="95"/>
      <c r="I16" s="147">
        <v>6759897</v>
      </c>
      <c r="J16" s="95"/>
      <c r="K16" s="96"/>
      <c r="L16" s="97">
        <f t="shared" si="1"/>
        <v>10511745</v>
      </c>
      <c r="M16" s="11"/>
    </row>
    <row r="17" spans="1:13" ht="15.75" customHeight="1" x14ac:dyDescent="0.25">
      <c r="A17" s="90">
        <v>562.29</v>
      </c>
      <c r="B17" s="171" t="s">
        <v>45</v>
      </c>
      <c r="C17" s="144">
        <v>9124405</v>
      </c>
      <c r="D17" s="95">
        <v>8966550</v>
      </c>
      <c r="E17" s="147"/>
      <c r="F17" s="95"/>
      <c r="G17" s="146">
        <v>360495</v>
      </c>
      <c r="H17" s="95"/>
      <c r="I17" s="147">
        <v>158533</v>
      </c>
      <c r="J17" s="95">
        <v>4776887</v>
      </c>
      <c r="K17" s="96">
        <v>5668839</v>
      </c>
      <c r="L17" s="97">
        <f t="shared" si="1"/>
        <v>29055709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>
        <v>189877</v>
      </c>
      <c r="D18" s="95">
        <v>135975</v>
      </c>
      <c r="E18" s="147"/>
      <c r="F18" s="95"/>
      <c r="G18" s="146"/>
      <c r="H18" s="95"/>
      <c r="I18" s="147">
        <v>488672</v>
      </c>
      <c r="J18" s="95">
        <v>9145</v>
      </c>
      <c r="K18" s="96">
        <v>103001</v>
      </c>
      <c r="L18" s="97">
        <f t="shared" si="1"/>
        <v>926670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>
        <v>820732</v>
      </c>
      <c r="D19" s="95">
        <v>882223</v>
      </c>
      <c r="E19" s="147">
        <v>1388421</v>
      </c>
      <c r="F19" s="95">
        <v>129500</v>
      </c>
      <c r="G19" s="146"/>
      <c r="H19" s="95"/>
      <c r="I19" s="147">
        <v>2702900</v>
      </c>
      <c r="J19" s="95">
        <v>148208</v>
      </c>
      <c r="K19" s="96">
        <v>419</v>
      </c>
      <c r="L19" s="97">
        <f t="shared" si="1"/>
        <v>6072403</v>
      </c>
      <c r="M19" s="11"/>
    </row>
    <row r="20" spans="1:13" ht="15.75" customHeight="1" x14ac:dyDescent="0.25">
      <c r="A20" s="90">
        <v>562.34</v>
      </c>
      <c r="B20" s="171" t="s">
        <v>12</v>
      </c>
      <c r="C20" s="144">
        <v>2967604</v>
      </c>
      <c r="D20" s="95">
        <v>666965</v>
      </c>
      <c r="E20" s="147">
        <v>56570</v>
      </c>
      <c r="F20" s="95">
        <v>933208</v>
      </c>
      <c r="G20" s="146">
        <v>743241</v>
      </c>
      <c r="H20" s="95"/>
      <c r="I20" s="147">
        <v>405489</v>
      </c>
      <c r="J20" s="95">
        <v>372675</v>
      </c>
      <c r="K20" s="96">
        <v>4233</v>
      </c>
      <c r="L20" s="97">
        <f t="shared" si="1"/>
        <v>6149985</v>
      </c>
      <c r="M20" s="11"/>
    </row>
    <row r="21" spans="1:13" ht="15.75" customHeight="1" x14ac:dyDescent="0.25">
      <c r="A21" s="90">
        <v>562.35</v>
      </c>
      <c r="B21" s="171" t="s">
        <v>13</v>
      </c>
      <c r="C21" s="144">
        <v>2650066</v>
      </c>
      <c r="D21" s="95">
        <v>2847</v>
      </c>
      <c r="E21" s="147">
        <v>1016690</v>
      </c>
      <c r="F21" s="95"/>
      <c r="G21" s="146"/>
      <c r="H21" s="95"/>
      <c r="I21" s="147">
        <v>1847745</v>
      </c>
      <c r="J21" s="95">
        <v>6397788</v>
      </c>
      <c r="K21" s="96"/>
      <c r="L21" s="97">
        <f t="shared" si="1"/>
        <v>11915136</v>
      </c>
      <c r="M21" s="11"/>
    </row>
    <row r="22" spans="1:13" ht="15.75" customHeight="1" x14ac:dyDescent="0.25">
      <c r="A22" s="90">
        <v>562.39</v>
      </c>
      <c r="B22" s="171" t="s">
        <v>14</v>
      </c>
      <c r="C22" s="144"/>
      <c r="D22" s="95">
        <v>350</v>
      </c>
      <c r="E22" s="147"/>
      <c r="F22" s="95"/>
      <c r="G22" s="146"/>
      <c r="H22" s="95"/>
      <c r="I22" s="147">
        <v>29857</v>
      </c>
      <c r="J22" s="95">
        <v>1447578</v>
      </c>
      <c r="K22" s="96"/>
      <c r="L22" s="97">
        <f t="shared" si="1"/>
        <v>1477785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>
        <v>442423</v>
      </c>
      <c r="H24" s="95"/>
      <c r="I24" s="147"/>
      <c r="J24" s="95"/>
      <c r="K24" s="96">
        <v>1744</v>
      </c>
      <c r="L24" s="97">
        <f t="shared" si="1"/>
        <v>444167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>
        <v>146417</v>
      </c>
      <c r="D26" s="95">
        <v>1080</v>
      </c>
      <c r="E26" s="147">
        <v>796360</v>
      </c>
      <c r="F26" s="95"/>
      <c r="G26" s="146">
        <v>267037</v>
      </c>
      <c r="H26" s="95"/>
      <c r="I26" s="147">
        <v>97484</v>
      </c>
      <c r="J26" s="95"/>
      <c r="K26" s="96"/>
      <c r="L26" s="97">
        <f t="shared" si="1"/>
        <v>1308378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>
        <v>101000</v>
      </c>
      <c r="D27" s="95"/>
      <c r="E27" s="147"/>
      <c r="F27" s="95"/>
      <c r="G27" s="146">
        <v>425674</v>
      </c>
      <c r="H27" s="95">
        <v>64747</v>
      </c>
      <c r="I27" s="147"/>
      <c r="J27" s="95"/>
      <c r="K27" s="96"/>
      <c r="L27" s="97">
        <f t="shared" si="1"/>
        <v>591421</v>
      </c>
      <c r="M27" s="11"/>
    </row>
    <row r="28" spans="1:13" ht="15.75" customHeight="1" x14ac:dyDescent="0.25">
      <c r="A28" s="90">
        <v>562.49</v>
      </c>
      <c r="B28" s="171" t="s">
        <v>46</v>
      </c>
      <c r="C28" s="144">
        <v>191164</v>
      </c>
      <c r="D28" s="95">
        <v>39952</v>
      </c>
      <c r="E28" s="147">
        <v>268277</v>
      </c>
      <c r="F28" s="95">
        <v>130900</v>
      </c>
      <c r="G28" s="146">
        <v>429044</v>
      </c>
      <c r="H28" s="95"/>
      <c r="I28" s="147">
        <v>1704122</v>
      </c>
      <c r="J28" s="95">
        <v>2954373</v>
      </c>
      <c r="K28" s="96">
        <v>752147</v>
      </c>
      <c r="L28" s="97">
        <f t="shared" si="1"/>
        <v>6469979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>
        <v>8146</v>
      </c>
      <c r="E29" s="147"/>
      <c r="F29" s="95"/>
      <c r="G29" s="146">
        <v>60000</v>
      </c>
      <c r="H29" s="95"/>
      <c r="I29" s="147"/>
      <c r="J29" s="95"/>
      <c r="K29" s="96">
        <v>5066</v>
      </c>
      <c r="L29" s="97">
        <f t="shared" si="1"/>
        <v>73212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2807626</v>
      </c>
      <c r="D30" s="95">
        <v>1441890</v>
      </c>
      <c r="E30" s="147"/>
      <c r="F30" s="95"/>
      <c r="G30" s="146"/>
      <c r="H30" s="95">
        <v>18505</v>
      </c>
      <c r="I30" s="147"/>
      <c r="J30" s="95"/>
      <c r="K30" s="96"/>
      <c r="L30" s="97">
        <f t="shared" si="1"/>
        <v>4268021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2341273</v>
      </c>
      <c r="E31" s="147">
        <v>30213</v>
      </c>
      <c r="F31" s="95"/>
      <c r="G31" s="146">
        <v>32596</v>
      </c>
      <c r="H31" s="95"/>
      <c r="I31" s="147"/>
      <c r="J31" s="95"/>
      <c r="K31" s="96">
        <v>16</v>
      </c>
      <c r="L31" s="97">
        <f t="shared" si="1"/>
        <v>2404098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>
        <v>450000</v>
      </c>
      <c r="D32" s="95">
        <v>140231</v>
      </c>
      <c r="E32" s="147"/>
      <c r="F32" s="95"/>
      <c r="G32" s="146"/>
      <c r="H32" s="95"/>
      <c r="I32" s="147"/>
      <c r="J32" s="95"/>
      <c r="K32" s="96">
        <v>190</v>
      </c>
      <c r="L32" s="97">
        <f t="shared" si="1"/>
        <v>590421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/>
      <c r="D33" s="95">
        <v>10877727</v>
      </c>
      <c r="E33" s="147"/>
      <c r="F33" s="95"/>
      <c r="G33" s="146"/>
      <c r="H33" s="95"/>
      <c r="I33" s="147"/>
      <c r="J33" s="95">
        <v>2723</v>
      </c>
      <c r="K33" s="96">
        <v>29498</v>
      </c>
      <c r="L33" s="97">
        <f t="shared" si="1"/>
        <v>10909948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>
        <v>1237986</v>
      </c>
      <c r="E35" s="147"/>
      <c r="F35" s="95"/>
      <c r="G35" s="146">
        <v>295135</v>
      </c>
      <c r="H35" s="95"/>
      <c r="I35" s="147"/>
      <c r="J35" s="95">
        <v>2000</v>
      </c>
      <c r="K35" s="96">
        <v>2297</v>
      </c>
      <c r="L35" s="97">
        <f t="shared" si="1"/>
        <v>1537418</v>
      </c>
      <c r="M35" s="11"/>
    </row>
    <row r="36" spans="1:13" ht="15.75" customHeight="1" x14ac:dyDescent="0.25">
      <c r="A36" s="90">
        <v>562.59</v>
      </c>
      <c r="B36" s="171" t="s">
        <v>48</v>
      </c>
      <c r="C36" s="144">
        <v>236085</v>
      </c>
      <c r="D36" s="95">
        <v>3856986</v>
      </c>
      <c r="E36" s="147"/>
      <c r="F36" s="95"/>
      <c r="G36" s="146"/>
      <c r="H36" s="95"/>
      <c r="I36" s="147"/>
      <c r="J36" s="95"/>
      <c r="K36" s="96">
        <v>25000</v>
      </c>
      <c r="L36" s="97">
        <f t="shared" si="1"/>
        <v>4118071</v>
      </c>
      <c r="M36" s="11"/>
    </row>
    <row r="37" spans="1:13" ht="15.75" customHeight="1" x14ac:dyDescent="0.25">
      <c r="A37" s="90">
        <v>562.6</v>
      </c>
      <c r="B37" s="171" t="s">
        <v>20</v>
      </c>
      <c r="C37" s="144"/>
      <c r="D37" s="95"/>
      <c r="E37" s="147">
        <v>3518</v>
      </c>
      <c r="F37" s="95"/>
      <c r="G37" s="146"/>
      <c r="H37" s="95">
        <v>337135</v>
      </c>
      <c r="I37" s="147">
        <v>20811</v>
      </c>
      <c r="J37" s="95"/>
      <c r="K37" s="96"/>
      <c r="L37" s="97">
        <f t="shared" si="1"/>
        <v>361464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1123463</v>
      </c>
      <c r="E38" s="147"/>
      <c r="F38" s="95"/>
      <c r="G38" s="146"/>
      <c r="H38" s="95"/>
      <c r="I38" s="147"/>
      <c r="J38" s="95"/>
      <c r="K38" s="96">
        <v>16</v>
      </c>
      <c r="L38" s="97">
        <f t="shared" si="1"/>
        <v>1123479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>
        <v>2524232</v>
      </c>
      <c r="E39" s="147"/>
      <c r="F39" s="95"/>
      <c r="G39" s="146">
        <v>290017</v>
      </c>
      <c r="H39" s="95"/>
      <c r="I39" s="147"/>
      <c r="J39" s="95"/>
      <c r="K39" s="96"/>
      <c r="L39" s="97">
        <f t="shared" si="1"/>
        <v>2814249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/>
      <c r="H40" s="95"/>
      <c r="I40" s="147"/>
      <c r="J40" s="95"/>
      <c r="K40" s="96"/>
      <c r="L40" s="97">
        <f t="shared" si="1"/>
        <v>0</v>
      </c>
      <c r="M40" s="11"/>
    </row>
    <row r="41" spans="1:13" ht="15.75" customHeight="1" x14ac:dyDescent="0.25">
      <c r="A41" s="90">
        <v>562.74</v>
      </c>
      <c r="B41" s="171" t="s">
        <v>49</v>
      </c>
      <c r="C41" s="144">
        <v>16849370</v>
      </c>
      <c r="D41" s="95"/>
      <c r="E41" s="147"/>
      <c r="F41" s="95"/>
      <c r="G41" s="146">
        <v>60480</v>
      </c>
      <c r="H41" s="95"/>
      <c r="I41" s="147"/>
      <c r="J41" s="95">
        <v>1497799</v>
      </c>
      <c r="K41" s="96">
        <v>317000</v>
      </c>
      <c r="L41" s="97">
        <f t="shared" si="1"/>
        <v>18724649</v>
      </c>
      <c r="M41" s="11"/>
    </row>
    <row r="42" spans="1:13" ht="15.75" customHeight="1" x14ac:dyDescent="0.25">
      <c r="A42" s="90">
        <v>562.78</v>
      </c>
      <c r="B42" s="171" t="s">
        <v>24</v>
      </c>
      <c r="C42" s="144">
        <v>571959</v>
      </c>
      <c r="D42" s="95">
        <v>529327</v>
      </c>
      <c r="E42" s="147"/>
      <c r="F42" s="95"/>
      <c r="G42" s="146">
        <v>106445</v>
      </c>
      <c r="H42" s="95"/>
      <c r="I42" s="147"/>
      <c r="J42" s="95"/>
      <c r="K42" s="96">
        <v>38035</v>
      </c>
      <c r="L42" s="97">
        <f t="shared" si="1"/>
        <v>1245766</v>
      </c>
      <c r="M42" s="11"/>
    </row>
    <row r="43" spans="1:13" ht="15.75" customHeight="1" x14ac:dyDescent="0.25">
      <c r="A43" s="90">
        <v>562.79</v>
      </c>
      <c r="B43" s="171" t="s">
        <v>25</v>
      </c>
      <c r="C43" s="144">
        <v>1377096</v>
      </c>
      <c r="D43" s="95">
        <v>324215</v>
      </c>
      <c r="E43" s="147"/>
      <c r="F43" s="95"/>
      <c r="G43" s="146">
        <v>1747983</v>
      </c>
      <c r="H43" s="95"/>
      <c r="I43" s="147"/>
      <c r="J43" s="95">
        <v>486798</v>
      </c>
      <c r="K43" s="96"/>
      <c r="L43" s="97">
        <f t="shared" si="1"/>
        <v>3936092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>
        <v>1500509</v>
      </c>
      <c r="D44" s="95">
        <v>124191</v>
      </c>
      <c r="E44" s="147"/>
      <c r="F44" s="95"/>
      <c r="G44" s="146">
        <v>1003186</v>
      </c>
      <c r="H44" s="95"/>
      <c r="I44" s="147">
        <v>66015</v>
      </c>
      <c r="J44" s="95"/>
      <c r="K44" s="96">
        <v>951408</v>
      </c>
      <c r="L44" s="97">
        <f t="shared" si="1"/>
        <v>3645309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>
        <v>63912</v>
      </c>
      <c r="E45" s="147"/>
      <c r="F45" s="95"/>
      <c r="G45" s="146"/>
      <c r="H45" s="95"/>
      <c r="I45" s="147">
        <v>1831445</v>
      </c>
      <c r="J45" s="95">
        <v>14963</v>
      </c>
      <c r="K45" s="96">
        <v>11760</v>
      </c>
      <c r="L45" s="97">
        <f t="shared" si="1"/>
        <v>1922080</v>
      </c>
      <c r="M45" s="11"/>
    </row>
    <row r="46" spans="1:13" ht="15.75" customHeight="1" x14ac:dyDescent="0.25">
      <c r="A46" s="90">
        <v>562.9</v>
      </c>
      <c r="B46" s="171" t="s">
        <v>27</v>
      </c>
      <c r="C46" s="144">
        <v>777252</v>
      </c>
      <c r="D46" s="95">
        <v>767524</v>
      </c>
      <c r="E46" s="147"/>
      <c r="F46" s="95"/>
      <c r="G46" s="146">
        <v>45575</v>
      </c>
      <c r="H46" s="95"/>
      <c r="I46" s="147"/>
      <c r="J46" s="95">
        <v>21229</v>
      </c>
      <c r="K46" s="96">
        <v>3365</v>
      </c>
      <c r="L46" s="97">
        <f t="shared" si="1"/>
        <v>1614945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87913552</v>
      </c>
      <c r="D48" s="112">
        <f t="shared" si="2"/>
        <v>67740810</v>
      </c>
      <c r="E48" s="158">
        <f t="shared" si="2"/>
        <v>4726473</v>
      </c>
      <c r="F48" s="112">
        <f t="shared" si="2"/>
        <v>1193608</v>
      </c>
      <c r="G48" s="157">
        <f t="shared" si="2"/>
        <v>12686175</v>
      </c>
      <c r="H48" s="112">
        <f t="shared" si="2"/>
        <v>1022960</v>
      </c>
      <c r="I48" s="158">
        <f t="shared" si="2"/>
        <v>17522039</v>
      </c>
      <c r="J48" s="112">
        <f t="shared" si="2"/>
        <v>20558308</v>
      </c>
      <c r="K48" s="113">
        <f t="shared" si="2"/>
        <v>8241382</v>
      </c>
      <c r="L48" s="160">
        <f>SUM(C48:K48)</f>
        <v>221605307</v>
      </c>
      <c r="M48" s="11"/>
    </row>
    <row r="49" spans="1:13" ht="15.75" customHeight="1" x14ac:dyDescent="0.25">
      <c r="A49" s="90">
        <v>523</v>
      </c>
      <c r="B49" s="488" t="s">
        <v>30</v>
      </c>
      <c r="C49" s="489">
        <v>0</v>
      </c>
      <c r="D49" s="95">
        <v>0</v>
      </c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>
        <v>-34859</v>
      </c>
      <c r="D50" s="95">
        <v>335721</v>
      </c>
      <c r="E50" s="147">
        <v>1270</v>
      </c>
      <c r="F50" s="95"/>
      <c r="G50" s="146"/>
      <c r="H50" s="94">
        <v>48369</v>
      </c>
      <c r="I50" s="145"/>
      <c r="J50" s="95"/>
      <c r="K50" s="96">
        <v>111286</v>
      </c>
      <c r="L50" s="97">
        <f t="shared" si="3"/>
        <v>461787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>
        <v>0</v>
      </c>
      <c r="D51" s="95">
        <v>0</v>
      </c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>
        <v>0</v>
      </c>
      <c r="D52" s="95">
        <v>0</v>
      </c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>
        <v>0</v>
      </c>
      <c r="D53" s="95">
        <v>0</v>
      </c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>
        <v>0</v>
      </c>
      <c r="D54" s="95">
        <v>0</v>
      </c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>
        <v>0</v>
      </c>
      <c r="D55" s="95">
        <v>1073742</v>
      </c>
      <c r="E55" s="147"/>
      <c r="F55" s="95"/>
      <c r="G55" s="146"/>
      <c r="H55" s="94">
        <v>418263</v>
      </c>
      <c r="I55" s="145">
        <v>27800</v>
      </c>
      <c r="J55" s="95"/>
      <c r="K55" s="96">
        <v>35</v>
      </c>
      <c r="L55" s="97">
        <f t="shared" si="3"/>
        <v>1519840</v>
      </c>
      <c r="M55" s="11"/>
    </row>
    <row r="56" spans="1:13" ht="15.75" customHeight="1" x14ac:dyDescent="0.25">
      <c r="A56" s="90">
        <v>564</v>
      </c>
      <c r="B56" s="488" t="s">
        <v>36</v>
      </c>
      <c r="C56" s="489">
        <v>0</v>
      </c>
      <c r="D56" s="95">
        <v>0</v>
      </c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>
        <v>0</v>
      </c>
      <c r="D57" s="95">
        <v>0</v>
      </c>
      <c r="E57" s="147"/>
      <c r="F57" s="95"/>
      <c r="G57" s="146"/>
      <c r="H57" s="94"/>
      <c r="I57" s="145"/>
      <c r="J57" s="95"/>
      <c r="K57" s="96"/>
      <c r="L57" s="97">
        <f t="shared" si="3"/>
        <v>0</v>
      </c>
      <c r="M57" s="11"/>
    </row>
    <row r="58" spans="1:13" ht="15.75" customHeight="1" x14ac:dyDescent="0.25">
      <c r="A58" s="90">
        <v>568</v>
      </c>
      <c r="B58" s="488" t="s">
        <v>38</v>
      </c>
      <c r="C58" s="489">
        <v>0</v>
      </c>
      <c r="D58" s="95">
        <v>0</v>
      </c>
      <c r="E58" s="147"/>
      <c r="F58" s="95"/>
      <c r="G58" s="146"/>
      <c r="H58" s="94"/>
      <c r="I58" s="145"/>
      <c r="J58" s="95"/>
      <c r="K58" s="96"/>
      <c r="L58" s="97">
        <f t="shared" si="3"/>
        <v>0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>
        <v>0</v>
      </c>
      <c r="D59" s="95">
        <v>0</v>
      </c>
      <c r="E59" s="147"/>
      <c r="F59" s="95"/>
      <c r="G59" s="146"/>
      <c r="H59" s="94"/>
      <c r="I59" s="145"/>
      <c r="J59" s="95"/>
      <c r="K59" s="96"/>
      <c r="L59" s="97">
        <f t="shared" si="3"/>
        <v>0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87878693</v>
      </c>
      <c r="D60" s="112">
        <f>SUM(D48:D59)</f>
        <v>69150273</v>
      </c>
      <c r="E60" s="158">
        <f t="shared" ref="E60:K60" si="4">SUM(E48:E59)</f>
        <v>4727743</v>
      </c>
      <c r="F60" s="112">
        <f>SUM(F48:F59)</f>
        <v>1193608</v>
      </c>
      <c r="G60" s="157">
        <f t="shared" si="4"/>
        <v>12686175</v>
      </c>
      <c r="H60" s="111">
        <f t="shared" si="4"/>
        <v>1489592</v>
      </c>
      <c r="I60" s="156">
        <f t="shared" si="4"/>
        <v>17549839</v>
      </c>
      <c r="J60" s="112">
        <f t="shared" si="4"/>
        <v>20558308</v>
      </c>
      <c r="K60" s="113">
        <f t="shared" si="4"/>
        <v>8352703</v>
      </c>
      <c r="L60" s="492">
        <f>SUM(C60:K60)</f>
        <v>223586934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87878693</v>
      </c>
      <c r="D66" s="188">
        <f>C60/L60</f>
        <v>0.39304037775302203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69150273</v>
      </c>
      <c r="D67" s="191">
        <f>D60/L60</f>
        <v>0.30927689629663241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157028966</v>
      </c>
      <c r="D68" s="194">
        <f>SUM(D66:D67)</f>
        <v>0.70231727404965438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4727743</v>
      </c>
      <c r="D70" s="200">
        <f>E60/$L60</f>
        <v>2.1144987837258863E-2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1193608</v>
      </c>
      <c r="D71" s="200">
        <f>F60/L60</f>
        <v>5.3384514857205386E-3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12686175</v>
      </c>
      <c r="D72" s="200">
        <f>G60/$L60</f>
        <v>5.6739339696835776E-2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1489592</v>
      </c>
      <c r="D73" s="203">
        <f>H60/$L60</f>
        <v>6.6622497717151929E-3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20097118</v>
      </c>
      <c r="D74" s="194">
        <f>SUM(D70:D73)</f>
        <v>8.9885028791530361E-2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17549839</v>
      </c>
      <c r="D76" s="188">
        <f>I60/L60</f>
        <v>7.8492238728046601E-2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20558308</v>
      </c>
      <c r="D77" s="191">
        <f>J60/L60</f>
        <v>9.1947716408151109E-2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38108147</v>
      </c>
      <c r="D78" s="194">
        <f>SUM(D76:D77)</f>
        <v>0.1704399551361977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8352703</v>
      </c>
      <c r="D80" s="194">
        <f>K60/L60</f>
        <v>3.7357742022617477E-2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223586934</v>
      </c>
      <c r="D81" s="212">
        <f>D74+D78+D68+D80</f>
        <v>0.99999999999999989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C3:D3"/>
    <mergeCell ref="E3:H3"/>
    <mergeCell ref="I3:J3"/>
    <mergeCell ref="J2:K2"/>
  </mergeCells>
  <conditionalFormatting sqref="J12 E11:J11 E13:J47 E12:H12 C11:D47 A5:K5 C48:J59 K11:K59 A11:B59 L11:L48">
    <cfRule type="expression" dxfId="45" priority="5">
      <formula>ROW()=EVEN(ROW())</formula>
    </cfRule>
  </conditionalFormatting>
  <conditionalFormatting sqref="L49:L59">
    <cfRule type="expression" dxfId="44" priority="3">
      <formula>ROW()=EVEN(ROW())</formula>
    </cfRule>
  </conditionalFormatting>
  <conditionalFormatting sqref="L5:L10">
    <cfRule type="expression" dxfId="43" priority="4">
      <formula>ROW()=EVEN(ROW())</formula>
    </cfRule>
  </conditionalFormatting>
  <conditionalFormatting sqref="A6:K10">
    <cfRule type="expression" dxfId="42" priority="2">
      <formula>ROW()=EVEN(ROW())</formula>
    </cfRule>
  </conditionalFormatting>
  <printOptions horizontalCentered="1"/>
  <pageMargins left="0" right="0" top="0.98" bottom="0.6" header="0.3" footer="0.3"/>
  <pageSetup scale="65" firstPageNumber="54" fitToHeight="2" orientation="landscape" useFirstPageNumber="1" r:id="rId1"/>
  <headerFooter>
    <oddHeader xml:space="preserve">&amp;C&amp;"Arial,Bold"&amp;16Expenditures by Expenditure Code and Revenue Source
2017
SEATTLE-KING
</oddHeader>
  </headerFooter>
  <rowBreaks count="1" manualBreakCount="1">
    <brk id="4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330"/>
  <sheetViews>
    <sheetView showZeros="0" topLeftCell="K1" zoomScaleNormal="100" zoomScalePageLayoutView="40" workbookViewId="0">
      <selection activeCell="P14" sqref="P14"/>
    </sheetView>
  </sheetViews>
  <sheetFormatPr defaultColWidth="6" defaultRowHeight="15" x14ac:dyDescent="0.25"/>
  <cols>
    <col min="1" max="1" width="7.28515625" style="129" customWidth="1"/>
    <col min="2" max="2" width="37.5703125" style="129" customWidth="1"/>
    <col min="3" max="4" width="11.5703125" style="176" customWidth="1"/>
    <col min="5" max="7" width="11.5703125" style="129" customWidth="1"/>
    <col min="8" max="10" width="11.5703125" style="176" customWidth="1"/>
    <col min="11" max="12" width="11.570312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f>'LHJ Summary Pg 3-Do Not Input'!C40</f>
        <v>7310300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f>'LHJ Summary Pg 3-Do Not Input'!D40</f>
        <v>2853.8109999999997</v>
      </c>
      <c r="D2" s="134"/>
      <c r="G2" s="130"/>
      <c r="H2" s="128"/>
      <c r="I2" s="128"/>
      <c r="J2" s="128"/>
      <c r="K2" s="125"/>
      <c r="L2" s="135"/>
    </row>
    <row r="3" spans="1:13" ht="16.5" customHeight="1" thickBot="1" x14ac:dyDescent="0.3">
      <c r="A3" s="82"/>
      <c r="B3" s="136"/>
      <c r="C3" s="522" t="s">
        <v>69</v>
      </c>
      <c r="D3" s="524"/>
      <c r="E3" s="522" t="s">
        <v>67</v>
      </c>
      <c r="F3" s="523"/>
      <c r="G3" s="523"/>
      <c r="H3" s="524"/>
      <c r="I3" s="522" t="s">
        <v>68</v>
      </c>
      <c r="J3" s="524"/>
      <c r="K3" s="137" t="s">
        <v>70</v>
      </c>
      <c r="L3" s="86"/>
      <c r="M3" s="11"/>
    </row>
    <row r="4" spans="1:13" ht="44.25" customHeight="1" thickBot="1" x14ac:dyDescent="0.3">
      <c r="A4" s="114" t="s">
        <v>65</v>
      </c>
      <c r="B4" s="138" t="s">
        <v>64</v>
      </c>
      <c r="C4" s="139" t="s">
        <v>62</v>
      </c>
      <c r="D4" s="117" t="s">
        <v>6</v>
      </c>
      <c r="E4" s="140" t="s">
        <v>1</v>
      </c>
      <c r="F4" s="141" t="s">
        <v>157</v>
      </c>
      <c r="G4" s="142" t="s">
        <v>2</v>
      </c>
      <c r="H4" s="117" t="s">
        <v>3</v>
      </c>
      <c r="I4" s="140" t="s">
        <v>4</v>
      </c>
      <c r="J4" s="117" t="s">
        <v>5</v>
      </c>
      <c r="K4" s="89" t="s">
        <v>8</v>
      </c>
      <c r="L4" s="143" t="s">
        <v>0</v>
      </c>
      <c r="M4" s="11"/>
    </row>
    <row r="5" spans="1:13" s="224" customFormat="1" ht="14.45" customHeight="1" x14ac:dyDescent="0.2">
      <c r="A5" s="214">
        <v>562.1</v>
      </c>
      <c r="B5" s="215" t="s">
        <v>9</v>
      </c>
      <c r="C5" s="216">
        <f>'Adams Pgs 8-9'!C5+'Asotin Pgs 10-11'!C5+'Benton-Franklin Pgs 12-13'!C5+'Chelan-Douglas Pgs 14-15'!C5+'Clallam Pgs 16-17'!C5+'Clark Pgs 18-19'!C5+'Columbia Pgs 20-21'!C5+'Cowlitz Pgs 22-23'!C5+'Garfield Pgs 24-25'!C5+'Grant Pgs 26-27'!C5+'Grays Harbor Pgs 28-29'!C5+'Island Pgs 30-31'!C5+'Jefferson Pgs 32-33'!C5+'Kitsap Pgs 34-35'!C5+'Kittitas Pgs 36-37'!C5+'Klickitat Pgs 38-39'!C5+'Lewis Pgs 40-41'!C5+'Lincoln Pgs 42-43'!C5+'Mason Pgs 44-45'!C5+'Northeast Tri Pgs 46-47'!C5+'Okanogan Pgs 48-49'!C5+'Pacific Pgs 50-51'!C5+'San Juan Pgs 52-53'!C5+'Seattle-King Pgs 54-55'!C5+'Skagit Pgs 56-57'!C5+'Skamania Pgs 58-59'!C5+'Snohomish Pgs 60-61'!C5+'Spokane Pgs 62-63'!C5+'Tacoma-Pierce Pgs 64-65'!C5+'Thurston Pgs 66-67'!C5+'Wahkiakum Pgs 68-69'!C5+'Walla Walla Pgs 70-71'!C5+'Whatcom Pgs 72-73'!C5+'Whitman Pgs 74-75'!C5+'Yakima Pgs 76-77'!C5</f>
        <v>14122199</v>
      </c>
      <c r="D5" s="217">
        <f>'Adams Pgs 8-9'!D5+'Asotin Pgs 10-11'!D5+'Benton-Franklin Pgs 12-13'!D5+'Chelan-Douglas Pgs 14-15'!D5+'Clallam Pgs 16-17'!D5+'Clark Pgs 18-19'!D5+'Columbia Pgs 20-21'!D5+'Cowlitz Pgs 22-23'!D5+'Garfield Pgs 24-25'!D5+'Grant Pgs 26-27'!D5+'Grays Harbor Pgs 28-29'!D5+'Island Pgs 30-31'!D5+'Jefferson Pgs 32-33'!D5+'Kitsap Pgs 34-35'!D5+'Kittitas Pgs 36-37'!D5+'Klickitat Pgs 38-39'!D5+'Lewis Pgs 40-41'!D5+'Lincoln Pgs 42-43'!D5+'Mason Pgs 44-45'!D5+'Northeast Tri Pgs 46-47'!D5+'Okanogan Pgs 48-49'!D5+'Pacific Pgs 50-51'!D5+'San Juan Pgs 52-53'!D5+'Skagit Pgs 56-57'!D5+'Skamania Pgs 58-59'!D5+'Snohomish Pgs 60-61'!D5+'Spokane Pgs 62-63'!D5+'Tacoma-Pierce Pgs 64-65'!D5+'Thurston Pgs 66-67'!D5+'Wahkiakum Pgs 68-69'!D5+'Walla Walla Pgs 70-71'!D5+'Whatcom Pgs 72-73'!D5+'Whitman Pgs 74-75'!D5+'Yakima Pgs 76-77'!D5+'Seattle-King Pgs 54-55'!D5</f>
        <v>2751584</v>
      </c>
      <c r="E5" s="218">
        <f>'Adams Pgs 8-9'!E5+'Asotin Pgs 10-11'!E5+'Benton-Franklin Pgs 12-13'!E5+'Chelan-Douglas Pgs 14-15'!E5+'Clallam Pgs 16-17'!E5+'Clark Pgs 18-19'!E5+'Columbia Pgs 20-21'!E5+'Cowlitz Pgs 22-23'!E5+'Garfield Pgs 24-25'!E5+'Grant Pgs 26-27'!E5+'Grays Harbor Pgs 28-29'!E5+'Island Pgs 30-31'!E5+'Jefferson Pgs 32-33'!E5+'Kitsap Pgs 34-35'!E5+'Kittitas Pgs 36-37'!E5+'Klickitat Pgs 38-39'!E5+'Lewis Pgs 40-41'!E5+'Lincoln Pgs 42-43'!E5+'Mason Pgs 44-45'!E5+'Northeast Tri Pgs 46-47'!E5+'Okanogan Pgs 48-49'!E5+'Pacific Pgs 50-51'!E5+'San Juan Pgs 52-53'!E5+'Seattle-King Pgs 54-55'!E5+'Skagit Pgs 56-57'!E5+'Skamania Pgs 58-59'!E5+'Snohomish Pgs 60-61'!E5+'Spokane Pgs 62-63'!E5+'Tacoma-Pierce Pgs 64-65'!E5+'Thurston Pgs 66-67'!E5+'Wahkiakum Pgs 68-69'!E5+'Walla Walla Pgs 70-71'!E5+'Whatcom Pgs 72-73'!E5+'Whitman Pgs 74-75'!E5+'Yakima Pgs 76-77'!E5</f>
        <v>274393</v>
      </c>
      <c r="F5" s="219">
        <f>'Adams Pgs 8-9'!F5+'Asotin Pgs 10-11'!F5+'Benton-Franklin Pgs 12-13'!F5+'Chelan-Douglas Pgs 14-15'!F5+'Clallam Pgs 16-17'!F5+'Clark Pgs 18-19'!F5+'Columbia Pgs 20-21'!F5+'Cowlitz Pgs 22-23'!F5+'Garfield Pgs 24-25'!F5+'Grant Pgs 26-27'!F5+'Grays Harbor Pgs 28-29'!F5+'Island Pgs 30-31'!F5+'Jefferson Pgs 32-33'!F5+'Kitsap Pgs 34-35'!F5+'Kittitas Pgs 36-37'!F5+'Klickitat Pgs 38-39'!F5+'Lewis Pgs 40-41'!F5+'Lincoln Pgs 42-43'!F5+'Mason Pgs 44-45'!F5+'Northeast Tri Pgs 46-47'!F5+'Okanogan Pgs 48-49'!F5+'Pacific Pgs 50-51'!F5+'San Juan Pgs 52-53'!F5+'Seattle-King Pgs 54-55'!F5+'Skagit Pgs 56-57'!F5+'Skamania Pgs 58-59'!F5+'Snohomish Pgs 60-61'!F5+'Spokane Pgs 62-63'!F5+'Tacoma-Pierce Pgs 64-65'!F5+'Thurston Pgs 66-67'!F5+'Wahkiakum Pgs 68-69'!F5+'Walla Walla Pgs 70-71'!F5+'Whatcom Pgs 72-73'!F5+'Whitman Pgs 74-75'!F5+'Yakima Pgs 76-77'!F5</f>
        <v>205027</v>
      </c>
      <c r="G5" s="220">
        <f>'Adams Pgs 8-9'!G5+'Asotin Pgs 10-11'!G5+'Benton-Franklin Pgs 12-13'!G5+'Chelan-Douglas Pgs 14-15'!G5+'Clallam Pgs 16-17'!G5+'Clark Pgs 18-19'!G5+'Columbia Pgs 20-21'!G5+'Cowlitz Pgs 22-23'!G5+'Garfield Pgs 24-25'!G5+'Grant Pgs 26-27'!G5+'Grays Harbor Pgs 28-29'!G5+'Island Pgs 30-31'!G5+'Jefferson Pgs 32-33'!G5+'Kitsap Pgs 34-35'!G5+'Kittitas Pgs 36-37'!G5+'Klickitat Pgs 38-39'!G5+'Lewis Pgs 40-41'!G5+'Lincoln Pgs 42-43'!G5+'Mason Pgs 44-45'!G5+'Northeast Tri Pgs 46-47'!G5+'Okanogan Pgs 48-49'!G5+'Pacific Pgs 50-51'!G5+'San Juan Pgs 52-53'!G5+'Seattle-King Pgs 54-55'!G5+'Skagit Pgs 56-57'!G5+'Skamania Pgs 58-59'!G5+'Snohomish Pgs 60-61'!G5+'Spokane Pgs 62-63'!G5+'Tacoma-Pierce Pgs 64-65'!G5+'Thurston Pgs 66-67'!G5+'Wahkiakum Pgs 68-69'!G5+'Walla Walla Pgs 70-71'!G5+'Whatcom Pgs 72-73'!G5+'Whitman Pgs 74-75'!G5+'Yakima Pgs 76-77'!G5</f>
        <v>3432475</v>
      </c>
      <c r="H5" s="219">
        <f>'Adams Pgs 8-9'!H5+'Asotin Pgs 10-11'!H5+'Benton-Franklin Pgs 12-13'!H5+'Chelan-Douglas Pgs 14-15'!H5+'Clallam Pgs 16-17'!H5+'Clark Pgs 18-19'!H5+'Columbia Pgs 20-21'!H5+'Cowlitz Pgs 22-23'!H5+'Garfield Pgs 24-25'!H5+'Grant Pgs 26-27'!H5+'Grays Harbor Pgs 28-29'!H5+'Island Pgs 30-31'!H5+'Jefferson Pgs 32-33'!H5+'Kitsap Pgs 34-35'!H5+'Kittitas Pgs 36-37'!H5+'Klickitat Pgs 38-39'!H5+'Lewis Pgs 40-41'!H5+'Lincoln Pgs 42-43'!H5+'Mason Pgs 44-45'!H5+'Northeast Tri Pgs 46-47'!H5+'Okanogan Pgs 48-49'!H5+'Pacific Pgs 50-51'!H5+'San Juan Pgs 52-53'!H5+'Seattle-King Pgs 54-55'!H5+'Skagit Pgs 56-57'!H5+'Skamania Pgs 58-59'!H5+'Snohomish Pgs 60-61'!H5+'Spokane Pgs 62-63'!H5+'Tacoma-Pierce Pgs 64-65'!H5+'Thurston Pgs 66-67'!H5+'Wahkiakum Pgs 68-69'!H5+'Walla Walla Pgs 70-71'!H5+'Whatcom Pgs 72-73'!H5+'Whitman Pgs 74-75'!H5+'Yakima Pgs 76-77'!H5</f>
        <v>142192</v>
      </c>
      <c r="I5" s="221">
        <f>'Adams Pgs 8-9'!I5+'Asotin Pgs 10-11'!I5+'Benton-Franklin Pgs 12-13'!I5+'Chelan-Douglas Pgs 14-15'!I5+'Clallam Pgs 16-17'!I5+'Clark Pgs 18-19'!I5+'Columbia Pgs 20-21'!I5+'Cowlitz Pgs 22-23'!I5+'Garfield Pgs 24-25'!I5+'Grant Pgs 26-27'!I5+'Grays Harbor Pgs 28-29'!I5+'Island Pgs 30-31'!I5+'Jefferson Pgs 32-33'!I5+'Kitsap Pgs 34-35'!I5+'Kittitas Pgs 36-37'!I5+'Klickitat Pgs 38-39'!I5+'Lewis Pgs 40-41'!I5+'Lincoln Pgs 42-43'!I5+'Mason Pgs 44-45'!I5+'Northeast Tri Pgs 46-47'!I5+'Okanogan Pgs 48-49'!I5+'Pacific Pgs 50-51'!I5+'San Juan Pgs 52-53'!I5+'Snohomish Pgs 60-61'!I5+'Spokane Pgs 62-63'!I5+'Tacoma-Pierce Pgs 64-65'!I5+'Thurston Pgs 66-67'!I5+'Wahkiakum Pgs 68-69'!I5+'Walla Walla Pgs 70-71'!I5+'Whatcom Pgs 72-73'!I5+'Whitman Pgs 74-75'!I5+'Yakima Pgs 76-77'!I5+'Seattle-King Pgs 54-55'!I5+'Skagit Pgs 56-57'!I5+'Skamania Pgs 58-59'!I5</f>
        <v>281131</v>
      </c>
      <c r="J5" s="217">
        <f>'Adams Pgs 8-9'!J5+'Asotin Pgs 10-11'!J5+'Benton-Franklin Pgs 12-13'!J5+'Chelan-Douglas Pgs 14-15'!J5+'Clallam Pgs 16-17'!J5+'Clark Pgs 18-19'!J5+'Columbia Pgs 20-21'!J5+'Cowlitz Pgs 22-23'!J5+'Garfield Pgs 24-25'!J5+'Grant Pgs 26-27'!J5+'Grays Harbor Pgs 28-29'!J5+'Island Pgs 30-31'!J5+'Jefferson Pgs 32-33'!J5+'Kitsap Pgs 34-35'!J5+'Kittitas Pgs 36-37'!J5+'Klickitat Pgs 38-39'!J5+'Lewis Pgs 40-41'!J5+'Lincoln Pgs 42-43'!J5+'Mason Pgs 44-45'!J5+'Northeast Tri Pgs 46-47'!J5+'Okanogan Pgs 48-49'!J5+'Pacific Pgs 50-51'!J5+'San Juan Pgs 52-53'!J5+'Snohomish Pgs 60-61'!J5+'Spokane Pgs 62-63'!J5+'Tacoma-Pierce Pgs 64-65'!J5+'Thurston Pgs 66-67'!J5+'Wahkiakum Pgs 68-69'!J5+'Walla Walla Pgs 70-71'!J5+'Whatcom Pgs 72-73'!J5+'Whitman Pgs 74-75'!J5+'Yakima Pgs 76-77'!J5+'Seattle-King Pgs 54-55'!J5+'Skagit Pgs 56-57'!J5+'Skamania Pgs 58-59'!J5</f>
        <v>-605968</v>
      </c>
      <c r="K5" s="222">
        <f>'Adams Pgs 8-9'!K5+'Asotin Pgs 10-11'!K5+'Benton-Franklin Pgs 12-13'!K5+'Chelan-Douglas Pgs 14-15'!K5+'Clallam Pgs 16-17'!K5+'Clark Pgs 18-19'!K5+'Columbia Pgs 20-21'!K5+'Cowlitz Pgs 22-23'!K5+'Garfield Pgs 24-25'!K5+'Grant Pgs 26-27'!K5+'Grays Harbor Pgs 28-29'!K5+'Island Pgs 30-31'!K5+'Jefferson Pgs 32-33'!K5+'Kitsap Pgs 34-35'!K5+'Kittitas Pgs 36-37'!K5+'Klickitat Pgs 38-39'!K5+'Lewis Pgs 40-41'!K5+'Lincoln Pgs 42-43'!K5+'Mason Pgs 44-45'!K5+'Northeast Tri Pgs 46-47'!K5+'Okanogan Pgs 48-49'!K5+'Pacific Pgs 50-51'!K5+'San Juan Pgs 52-53'!K5+'Seattle-King Pgs 54-55'!K5+'Skagit Pgs 56-57'!K5+'Skamania Pgs 58-59'!K5+'Snohomish Pgs 60-61'!K5+'Spokane Pgs 62-63'!K5+'Tacoma-Pierce Pgs 64-65'!K5+'Thurston Pgs 66-67'!K5+'Wahkiakum Pgs 68-69'!K5+'Walla Walla Pgs 70-71'!K5+'Whatcom Pgs 72-73'!K5+'Whitman Pgs 74-75'!K5+'Yakima Pgs 76-77'!K5</f>
        <v>-158332</v>
      </c>
      <c r="L5" s="223">
        <f>SUM(C5:K5)</f>
        <v>20444701</v>
      </c>
    </row>
    <row r="6" spans="1:13" s="224" customFormat="1" ht="14.45" customHeight="1" x14ac:dyDescent="0.2">
      <c r="A6" s="214">
        <v>562.11</v>
      </c>
      <c r="B6" s="215" t="s">
        <v>145</v>
      </c>
      <c r="C6" s="216">
        <f>'Adams Pgs 8-9'!C6+'Asotin Pgs 10-11'!C6+'Benton-Franklin Pgs 12-13'!C6+'Chelan-Douglas Pgs 14-15'!C6+'Clallam Pgs 16-17'!C6+'Clark Pgs 18-19'!C6+'Columbia Pgs 20-21'!C6+'Cowlitz Pgs 22-23'!C6+'Garfield Pgs 24-25'!C6+'Grant Pgs 26-27'!C6+'Grays Harbor Pgs 28-29'!C6+'Island Pgs 30-31'!C6+'Jefferson Pgs 32-33'!C6+'Kitsap Pgs 34-35'!C6+'Kittitas Pgs 36-37'!C6+'Klickitat Pgs 38-39'!C6+'Lewis Pgs 40-41'!C6+'Lincoln Pgs 42-43'!C6+'Mason Pgs 44-45'!C6+'Northeast Tri Pgs 46-47'!C6+'Okanogan Pgs 48-49'!C6+'Pacific Pgs 50-51'!C6+'San Juan Pgs 52-53'!C6+'Skagit Pgs 56-57'!C6+'Skamania Pgs 58-59'!C6+'Snohomish Pgs 60-61'!C6+'Spokane Pgs 62-63'!C6+'Tacoma-Pierce Pgs 64-65'!C6+'Thurston Pgs 66-67'!C6+'Wahkiakum Pgs 68-69'!C6+'Walla Walla Pgs 70-71'!C6+'Whatcom Pgs 72-73'!C6+'Whitman Pgs 74-75'!C6+'Yakima Pgs 76-77'!C6+'Seattle-King Pgs 54-55'!C6</f>
        <v>10848</v>
      </c>
      <c r="D6" s="225" t="s">
        <v>154</v>
      </c>
      <c r="E6" s="226" t="s">
        <v>154</v>
      </c>
      <c r="F6" s="219">
        <f>'Adams Pgs 8-9'!F6+'Asotin Pgs 10-11'!F6+'Benton-Franklin Pgs 12-13'!F6+'Chelan-Douglas Pgs 14-15'!F6+'Clallam Pgs 16-17'!F6+'Clark Pgs 18-19'!F6+'Columbia Pgs 20-21'!F6+'Cowlitz Pgs 22-23'!F6+'Garfield Pgs 24-25'!F6+'Grant Pgs 26-27'!F6+'Grays Harbor Pgs 28-29'!F6+'Island Pgs 30-31'!F6+'Jefferson Pgs 32-33'!F6+'Kitsap Pgs 34-35'!F6+'Kittitas Pgs 36-37'!F6+'Klickitat Pgs 38-39'!F6+'Lewis Pgs 40-41'!F6+'Lincoln Pgs 42-43'!F6+'Mason Pgs 44-45'!F6+'Northeast Tri Pgs 46-47'!F6+'Okanogan Pgs 48-49'!F6+'Pacific Pgs 50-51'!F6+'San Juan Pgs 52-53'!F6+'Seattle-King Pgs 54-55'!F6+'Skagit Pgs 56-57'!F6+'Skamania Pgs 58-59'!F6+'Snohomish Pgs 60-61'!F6+'Spokane Pgs 62-63'!F6+'Tacoma-Pierce Pgs 64-65'!F6+'Thurston Pgs 66-67'!F6+'Wahkiakum Pgs 68-69'!F6+'Walla Walla Pgs 70-71'!F6+'Whatcom Pgs 72-73'!F6+'Whitman Pgs 74-75'!F6+'Yakima Pgs 76-77'!F6</f>
        <v>101222</v>
      </c>
      <c r="G6" s="220">
        <f>'Adams Pgs 8-9'!G6+'Asotin Pgs 10-11'!G6+'Benton-Franklin Pgs 12-13'!G6+'Chelan-Douglas Pgs 14-15'!G6+'Clallam Pgs 16-17'!G6+'Clark Pgs 18-19'!G6+'Columbia Pgs 20-21'!G6+'Cowlitz Pgs 22-23'!G6+'Garfield Pgs 24-25'!G6+'Grant Pgs 26-27'!G6+'Grays Harbor Pgs 28-29'!G6+'Island Pgs 30-31'!G6+'Jefferson Pgs 32-33'!G6+'Kitsap Pgs 34-35'!G6+'Kittitas Pgs 36-37'!G6+'Klickitat Pgs 38-39'!G6+'Lewis Pgs 40-41'!G6+'Lincoln Pgs 42-43'!G6+'Mason Pgs 44-45'!G6+'Northeast Tri Pgs 46-47'!G6+'Okanogan Pgs 48-49'!G6+'Pacific Pgs 50-51'!G6+'San Juan Pgs 52-53'!G6+'Seattle-King Pgs 54-55'!G6+'Skagit Pgs 56-57'!G6+'Skamania Pgs 58-59'!G6+'Snohomish Pgs 60-61'!G6+'Spokane Pgs 62-63'!G6+'Tacoma-Pierce Pgs 64-65'!G6+'Thurston Pgs 66-67'!G6+'Wahkiakum Pgs 68-69'!G6+'Walla Walla Pgs 70-71'!G6+'Whatcom Pgs 72-73'!G6+'Whitman Pgs 74-75'!G6+'Yakima Pgs 76-77'!G6</f>
        <v>14823</v>
      </c>
      <c r="H6" s="227" t="s">
        <v>154</v>
      </c>
      <c r="I6" s="228" t="s">
        <v>154</v>
      </c>
      <c r="J6" s="225" t="s">
        <v>154</v>
      </c>
      <c r="K6" s="229" t="s">
        <v>154</v>
      </c>
      <c r="L6" s="223">
        <f t="shared" ref="L6:L10" si="0">SUM(C6:K6)</f>
        <v>126893</v>
      </c>
    </row>
    <row r="7" spans="1:13" s="224" customFormat="1" ht="14.45" customHeight="1" x14ac:dyDescent="0.2">
      <c r="A7" s="214">
        <v>562.12</v>
      </c>
      <c r="B7" s="215" t="s">
        <v>146</v>
      </c>
      <c r="C7" s="216">
        <f>'Adams Pgs 8-9'!C7+'Asotin Pgs 10-11'!C7+'Benton-Franklin Pgs 12-13'!C7+'Chelan-Douglas Pgs 14-15'!C7+'Clallam Pgs 16-17'!C7+'Clark Pgs 18-19'!C7+'Columbia Pgs 20-21'!C7+'Cowlitz Pgs 22-23'!C7+'Garfield Pgs 24-25'!C7+'Grant Pgs 26-27'!C7+'Grays Harbor Pgs 28-29'!C7+'Island Pgs 30-31'!C7+'Jefferson Pgs 32-33'!C7+'Kitsap Pgs 34-35'!C7+'Kittitas Pgs 36-37'!C7+'Klickitat Pgs 38-39'!C7+'Lewis Pgs 40-41'!C7+'Lincoln Pgs 42-43'!C7+'Mason Pgs 44-45'!C7+'Northeast Tri Pgs 46-47'!C7+'Okanogan Pgs 48-49'!C7+'Pacific Pgs 50-51'!C7+'San Juan Pgs 52-53'!C7+'Skagit Pgs 56-57'!C7+'Skamania Pgs 58-59'!C7+'Snohomish Pgs 60-61'!C7+'Spokane Pgs 62-63'!C7+'Tacoma-Pierce Pgs 64-65'!C7+'Thurston Pgs 66-67'!C7+'Wahkiakum Pgs 68-69'!C7+'Walla Walla Pgs 70-71'!C7+'Whatcom Pgs 72-73'!C7+'Whitman Pgs 74-75'!C7+'Yakima Pgs 76-77'!C7+'Seattle-King Pgs 54-55'!C7</f>
        <v>1182704</v>
      </c>
      <c r="D7" s="217">
        <f>'Adams Pgs 8-9'!D7+'Asotin Pgs 10-11'!D7+'Benton-Franklin Pgs 12-13'!D7+'Chelan-Douglas Pgs 14-15'!D7+'Clallam Pgs 16-17'!D7+'Clark Pgs 18-19'!D7+'Columbia Pgs 20-21'!D7+'Cowlitz Pgs 22-23'!D7+'Garfield Pgs 24-25'!D7+'Grant Pgs 26-27'!D7+'Grays Harbor Pgs 28-29'!D7+'Island Pgs 30-31'!D7+'Jefferson Pgs 32-33'!D7+'Kitsap Pgs 34-35'!D7+'Kittitas Pgs 36-37'!D7+'Klickitat Pgs 38-39'!D7+'Lewis Pgs 40-41'!D7+'Lincoln Pgs 42-43'!D7+'Mason Pgs 44-45'!D7+'Northeast Tri Pgs 46-47'!D7+'Okanogan Pgs 48-49'!D7+'Pacific Pgs 50-51'!D7+'San Juan Pgs 52-53'!D7+'Skagit Pgs 56-57'!D7+'Skamania Pgs 58-59'!D7+'Snohomish Pgs 60-61'!D7+'Spokane Pgs 62-63'!D7+'Tacoma-Pierce Pgs 64-65'!D7+'Thurston Pgs 66-67'!D7+'Wahkiakum Pgs 68-69'!D7+'Walla Walla Pgs 70-71'!D7+'Whatcom Pgs 72-73'!D7+'Whitman Pgs 74-75'!D7+'Yakima Pgs 76-77'!D7+'Seattle-King Pgs 54-55'!D7</f>
        <v>1161507</v>
      </c>
      <c r="E7" s="226" t="s">
        <v>154</v>
      </c>
      <c r="F7" s="219">
        <f>'Adams Pgs 8-9'!F7+'Asotin Pgs 10-11'!F7+'Benton-Franklin Pgs 12-13'!F7+'Chelan-Douglas Pgs 14-15'!F7+'Clallam Pgs 16-17'!F7+'Clark Pgs 18-19'!F7+'Columbia Pgs 20-21'!F7+'Cowlitz Pgs 22-23'!F7+'Garfield Pgs 24-25'!F7+'Grant Pgs 26-27'!F7+'Grays Harbor Pgs 28-29'!F7+'Island Pgs 30-31'!F7+'Jefferson Pgs 32-33'!F7+'Kitsap Pgs 34-35'!F7+'Kittitas Pgs 36-37'!F7+'Klickitat Pgs 38-39'!F7+'Lewis Pgs 40-41'!F7+'Lincoln Pgs 42-43'!F7+'Mason Pgs 44-45'!F7+'Northeast Tri Pgs 46-47'!F7+'Okanogan Pgs 48-49'!F7+'Pacific Pgs 50-51'!F7+'San Juan Pgs 52-53'!F7+'Seattle-King Pgs 54-55'!F7+'Skagit Pgs 56-57'!F7+'Skamania Pgs 58-59'!F7+'Snohomish Pgs 60-61'!F7+'Spokane Pgs 62-63'!F7+'Tacoma-Pierce Pgs 64-65'!F7+'Thurston Pgs 66-67'!F7+'Wahkiakum Pgs 68-69'!F7+'Walla Walla Pgs 70-71'!F7+'Whatcom Pgs 72-73'!F7+'Whitman Pgs 74-75'!F7+'Yakima Pgs 76-77'!F7</f>
        <v>42076</v>
      </c>
      <c r="G7" s="220">
        <f>'Adams Pgs 8-9'!G7+'Asotin Pgs 10-11'!G7+'Benton-Franklin Pgs 12-13'!G7+'Chelan-Douglas Pgs 14-15'!G7+'Clallam Pgs 16-17'!G7+'Clark Pgs 18-19'!G7+'Columbia Pgs 20-21'!G7+'Cowlitz Pgs 22-23'!G7+'Garfield Pgs 24-25'!G7+'Grant Pgs 26-27'!G7+'Grays Harbor Pgs 28-29'!G7+'Island Pgs 30-31'!G7+'Jefferson Pgs 32-33'!G7+'Kitsap Pgs 34-35'!G7+'Kittitas Pgs 36-37'!G7+'Klickitat Pgs 38-39'!G7+'Lewis Pgs 40-41'!G7+'Lincoln Pgs 42-43'!G7+'Mason Pgs 44-45'!G7+'Northeast Tri Pgs 46-47'!G7+'Okanogan Pgs 48-49'!G7+'Pacific Pgs 50-51'!G7+'San Juan Pgs 52-53'!G7+'Seattle-King Pgs 54-55'!G7+'Skagit Pgs 56-57'!G7+'Skamania Pgs 58-59'!G7+'Snohomish Pgs 60-61'!G7+'Spokane Pgs 62-63'!G7+'Tacoma-Pierce Pgs 64-65'!G7+'Thurston Pgs 66-67'!G7+'Wahkiakum Pgs 68-69'!G7+'Walla Walla Pgs 70-71'!G7+'Whatcom Pgs 72-73'!G7+'Whitman Pgs 74-75'!G7+'Yakima Pgs 76-77'!G7</f>
        <v>766013</v>
      </c>
      <c r="H7" s="227" t="s">
        <v>154</v>
      </c>
      <c r="I7" s="228" t="s">
        <v>154</v>
      </c>
      <c r="J7" s="225" t="s">
        <v>154</v>
      </c>
      <c r="K7" s="222">
        <f>'Adams Pgs 8-9'!K7+'Asotin Pgs 10-11'!K7+'Benton-Franklin Pgs 12-13'!K7+'Chelan-Douglas Pgs 14-15'!K7+'Clallam Pgs 16-17'!K7+'Clark Pgs 18-19'!K7+'Columbia Pgs 20-21'!K7+'Cowlitz Pgs 22-23'!K7+'Garfield Pgs 24-25'!K7+'Grant Pgs 26-27'!K7+'Grays Harbor Pgs 28-29'!K7+'Island Pgs 30-31'!K7+'Jefferson Pgs 32-33'!K7+'Kitsap Pgs 34-35'!K7+'Kittitas Pgs 36-37'!K7+'Klickitat Pgs 38-39'!K7+'Lewis Pgs 40-41'!K7+'Lincoln Pgs 42-43'!K7+'Mason Pgs 44-45'!K7+'Northeast Tri Pgs 46-47'!K7+'Okanogan Pgs 48-49'!K7+'Pacific Pgs 50-51'!K7+'San Juan Pgs 52-53'!K7+'Seattle-King Pgs 54-55'!K7+'Skagit Pgs 56-57'!K7+'Skamania Pgs 58-59'!K7+'Snohomish Pgs 60-61'!K7+'Spokane Pgs 62-63'!K7+'Tacoma-Pierce Pgs 64-65'!K7+'Thurston Pgs 66-67'!K7+'Wahkiakum Pgs 68-69'!K7+'Walla Walla Pgs 70-71'!K7+'Whatcom Pgs 72-73'!K7+'Whitman Pgs 74-75'!K7+'Yakima Pgs 76-77'!K7</f>
        <v>192854</v>
      </c>
      <c r="L7" s="223">
        <f t="shared" si="0"/>
        <v>3345154</v>
      </c>
    </row>
    <row r="8" spans="1:13" s="224" customFormat="1" ht="14.45" customHeight="1" x14ac:dyDescent="0.2">
      <c r="A8" s="214">
        <v>562.13</v>
      </c>
      <c r="B8" s="215" t="s">
        <v>147</v>
      </c>
      <c r="C8" s="216">
        <f>'Adams Pgs 8-9'!C8+'Asotin Pgs 10-11'!C8+'Benton-Franklin Pgs 12-13'!C8+'Chelan-Douglas Pgs 14-15'!C8+'Clallam Pgs 16-17'!C8+'Clark Pgs 18-19'!C8+'Columbia Pgs 20-21'!C8+'Cowlitz Pgs 22-23'!C8+'Garfield Pgs 24-25'!C8+'Grant Pgs 26-27'!C8+'Grays Harbor Pgs 28-29'!C8+'Island Pgs 30-31'!C8+'Jefferson Pgs 32-33'!C8+'Kitsap Pgs 34-35'!C8+'Kittitas Pgs 36-37'!C8+'Klickitat Pgs 38-39'!C8+'Lewis Pgs 40-41'!C8+'Lincoln Pgs 42-43'!C8+'Mason Pgs 44-45'!C8+'Northeast Tri Pgs 46-47'!C8+'Okanogan Pgs 48-49'!C8+'Pacific Pgs 50-51'!C8+'San Juan Pgs 52-53'!C8+'Skagit Pgs 56-57'!C8+'Skamania Pgs 58-59'!C8+'Snohomish Pgs 60-61'!C8+'Spokane Pgs 62-63'!C8+'Tacoma-Pierce Pgs 64-65'!C8+'Thurston Pgs 66-67'!C8+'Wahkiakum Pgs 68-69'!C8+'Walla Walla Pgs 70-71'!C8+'Whatcom Pgs 72-73'!C8+'Whitman Pgs 74-75'!C8+'Yakima Pgs 76-77'!C8+'Seattle-King Pgs 54-55'!C8</f>
        <v>154745</v>
      </c>
      <c r="D8" s="225" t="s">
        <v>154</v>
      </c>
      <c r="E8" s="226" t="s">
        <v>154</v>
      </c>
      <c r="F8" s="219">
        <f>'Adams Pgs 8-9'!F8+'Asotin Pgs 10-11'!F8+'Benton-Franklin Pgs 12-13'!F8+'Chelan-Douglas Pgs 14-15'!F8+'Clallam Pgs 16-17'!F8+'Clark Pgs 18-19'!F8+'Columbia Pgs 20-21'!F8+'Cowlitz Pgs 22-23'!F8+'Garfield Pgs 24-25'!F8+'Grant Pgs 26-27'!F8+'Grays Harbor Pgs 28-29'!F8+'Island Pgs 30-31'!F8+'Jefferson Pgs 32-33'!F8+'Kitsap Pgs 34-35'!F8+'Kittitas Pgs 36-37'!F8+'Klickitat Pgs 38-39'!F8+'Lewis Pgs 40-41'!F8+'Lincoln Pgs 42-43'!F8+'Mason Pgs 44-45'!F8+'Northeast Tri Pgs 46-47'!F8+'Okanogan Pgs 48-49'!F8+'Pacific Pgs 50-51'!F8+'San Juan Pgs 52-53'!F8+'Seattle-King Pgs 54-55'!F8+'Skagit Pgs 56-57'!F8+'Skamania Pgs 58-59'!F8+'Snohomish Pgs 60-61'!F8+'Spokane Pgs 62-63'!F8+'Tacoma-Pierce Pgs 64-65'!F8+'Thurston Pgs 66-67'!F8+'Wahkiakum Pgs 68-69'!F8+'Walla Walla Pgs 70-71'!F8+'Whatcom Pgs 72-73'!F8+'Whitman Pgs 74-75'!F8+'Yakima Pgs 76-77'!F8</f>
        <v>68000</v>
      </c>
      <c r="G8" s="220">
        <f>'Adams Pgs 8-9'!G8+'Asotin Pgs 10-11'!G8+'Benton-Franklin Pgs 12-13'!G8+'Chelan-Douglas Pgs 14-15'!G8+'Clallam Pgs 16-17'!G8+'Clark Pgs 18-19'!G8+'Columbia Pgs 20-21'!G8+'Cowlitz Pgs 22-23'!G8+'Garfield Pgs 24-25'!G8+'Grant Pgs 26-27'!G8+'Grays Harbor Pgs 28-29'!G8+'Island Pgs 30-31'!G8+'Jefferson Pgs 32-33'!G8+'Kitsap Pgs 34-35'!G8+'Kittitas Pgs 36-37'!G8+'Klickitat Pgs 38-39'!G8+'Lewis Pgs 40-41'!G8+'Lincoln Pgs 42-43'!G8+'Mason Pgs 44-45'!G8+'Northeast Tri Pgs 46-47'!G8+'Okanogan Pgs 48-49'!G8+'Pacific Pgs 50-51'!G8+'San Juan Pgs 52-53'!G8+'Seattle-King Pgs 54-55'!G8+'Skagit Pgs 56-57'!G8+'Skamania Pgs 58-59'!G8+'Snohomish Pgs 60-61'!G8+'Spokane Pgs 62-63'!G8+'Tacoma-Pierce Pgs 64-65'!G8+'Thurston Pgs 66-67'!G8+'Wahkiakum Pgs 68-69'!G8+'Walla Walla Pgs 70-71'!G8+'Whatcom Pgs 72-73'!G8+'Whitman Pgs 74-75'!G8+'Yakima Pgs 76-77'!G8</f>
        <v>220517</v>
      </c>
      <c r="H8" s="227" t="s">
        <v>154</v>
      </c>
      <c r="I8" s="228" t="s">
        <v>154</v>
      </c>
      <c r="J8" s="217">
        <f>'Adams Pgs 8-9'!J8+'Asotin Pgs 10-11'!J8+'Benton-Franklin Pgs 12-13'!J8+'Chelan-Douglas Pgs 14-15'!J8+'Clallam Pgs 16-17'!J8+'Clark Pgs 18-19'!J8+'Columbia Pgs 20-21'!J8+'Cowlitz Pgs 22-23'!J8+'Garfield Pgs 24-25'!J8+'Grant Pgs 26-27'!J8+'Grays Harbor Pgs 28-29'!J8+'Island Pgs 30-31'!J8+'Jefferson Pgs 32-33'!J8+'Kitsap Pgs 34-35'!J8+'Kittitas Pgs 36-37'!J8+'Klickitat Pgs 38-39'!J8+'Lewis Pgs 40-41'!J8+'Lincoln Pgs 42-43'!J8+'Mason Pgs 44-45'!J8+'Northeast Tri Pgs 46-47'!J8+'Okanogan Pgs 48-49'!J8+'Pacific Pgs 50-51'!J8+'San Juan Pgs 52-53'!J8+'Snohomish Pgs 60-61'!J8+'Spokane Pgs 62-63'!J8+'Tacoma-Pierce Pgs 64-65'!J8+'Thurston Pgs 66-67'!J8+'Wahkiakum Pgs 68-69'!J8+'Walla Walla Pgs 70-71'!J8+'Whatcom Pgs 72-73'!J8+'Whitman Pgs 74-75'!J8+'Yakima Pgs 76-77'!J8+'Seattle-King Pgs 54-55'!J8+'Skagit Pgs 56-57'!J8+'Skamania Pgs 58-59'!J8</f>
        <v>-169715</v>
      </c>
      <c r="K8" s="222">
        <f>'Adams Pgs 8-9'!K8+'Asotin Pgs 10-11'!K8+'Benton-Franklin Pgs 12-13'!K8+'Chelan-Douglas Pgs 14-15'!K8+'Clallam Pgs 16-17'!K8+'Clark Pgs 18-19'!K8+'Columbia Pgs 20-21'!K8+'Cowlitz Pgs 22-23'!K8+'Garfield Pgs 24-25'!K8+'Grant Pgs 26-27'!K8+'Grays Harbor Pgs 28-29'!K8+'Island Pgs 30-31'!K8+'Jefferson Pgs 32-33'!K8+'Kitsap Pgs 34-35'!K8+'Kittitas Pgs 36-37'!K8+'Klickitat Pgs 38-39'!K8+'Lewis Pgs 40-41'!K8+'Lincoln Pgs 42-43'!K8+'Mason Pgs 44-45'!K8+'Northeast Tri Pgs 46-47'!K8+'Okanogan Pgs 48-49'!K8+'Pacific Pgs 50-51'!K8+'San Juan Pgs 52-53'!K8+'Seattle-King Pgs 54-55'!K8+'Skagit Pgs 56-57'!K8+'Skamania Pgs 58-59'!K8+'Snohomish Pgs 60-61'!K8+'Spokane Pgs 62-63'!K8+'Tacoma-Pierce Pgs 64-65'!K8+'Thurston Pgs 66-67'!K8+'Wahkiakum Pgs 68-69'!K8+'Walla Walla Pgs 70-71'!K8+'Whatcom Pgs 72-73'!K8+'Whitman Pgs 74-75'!K8+'Yakima Pgs 76-77'!K8</f>
        <v>199745</v>
      </c>
      <c r="L8" s="223">
        <f t="shared" si="0"/>
        <v>473292</v>
      </c>
    </row>
    <row r="9" spans="1:13" s="224" customFormat="1" ht="14.45" customHeight="1" x14ac:dyDescent="0.2">
      <c r="A9" s="214">
        <v>562.14</v>
      </c>
      <c r="B9" s="215" t="s">
        <v>148</v>
      </c>
      <c r="C9" s="216">
        <f>'Adams Pgs 8-9'!C9+'Asotin Pgs 10-11'!C9+'Benton-Franklin Pgs 12-13'!C9+'Chelan-Douglas Pgs 14-15'!C9+'Clallam Pgs 16-17'!C9+'Clark Pgs 18-19'!C9+'Columbia Pgs 20-21'!C9+'Cowlitz Pgs 22-23'!C9+'Garfield Pgs 24-25'!C9+'Grant Pgs 26-27'!C9+'Grays Harbor Pgs 28-29'!C9+'Island Pgs 30-31'!C9+'Jefferson Pgs 32-33'!C9+'Kitsap Pgs 34-35'!C9+'Kittitas Pgs 36-37'!C9+'Klickitat Pgs 38-39'!C9+'Lewis Pgs 40-41'!C9+'Lincoln Pgs 42-43'!C9+'Mason Pgs 44-45'!C9+'Northeast Tri Pgs 46-47'!C9+'Okanogan Pgs 48-49'!C9+'Pacific Pgs 50-51'!C9+'San Juan Pgs 52-53'!C9+'Skagit Pgs 56-57'!C9+'Skamania Pgs 58-59'!C9+'Snohomish Pgs 60-61'!C9+'Spokane Pgs 62-63'!C9+'Tacoma-Pierce Pgs 64-65'!C9+'Thurston Pgs 66-67'!C9+'Wahkiakum Pgs 68-69'!C9+'Walla Walla Pgs 70-71'!C9+'Whatcom Pgs 72-73'!C9+'Whitman Pgs 74-75'!C9+'Yakima Pgs 76-77'!C9+'Seattle-King Pgs 54-55'!C9</f>
        <v>186640</v>
      </c>
      <c r="D9" s="225" t="s">
        <v>154</v>
      </c>
      <c r="E9" s="226" t="s">
        <v>154</v>
      </c>
      <c r="F9" s="219">
        <f>'Adams Pgs 8-9'!F9+'Asotin Pgs 10-11'!F9+'Benton-Franklin Pgs 12-13'!F9+'Chelan-Douglas Pgs 14-15'!F9+'Clallam Pgs 16-17'!F9+'Clark Pgs 18-19'!F9+'Columbia Pgs 20-21'!F9+'Cowlitz Pgs 22-23'!F9+'Garfield Pgs 24-25'!F9+'Grant Pgs 26-27'!F9+'Grays Harbor Pgs 28-29'!F9+'Island Pgs 30-31'!F9+'Jefferson Pgs 32-33'!F9+'Kitsap Pgs 34-35'!F9+'Kittitas Pgs 36-37'!F9+'Klickitat Pgs 38-39'!F9+'Lewis Pgs 40-41'!F9+'Lincoln Pgs 42-43'!F9+'Mason Pgs 44-45'!F9+'Northeast Tri Pgs 46-47'!F9+'Okanogan Pgs 48-49'!F9+'Pacific Pgs 50-51'!F9+'San Juan Pgs 52-53'!F9+'Seattle-King Pgs 54-55'!F9+'Skagit Pgs 56-57'!F9+'Skamania Pgs 58-59'!F9+'Snohomish Pgs 60-61'!F9+'Spokane Pgs 62-63'!F9+'Tacoma-Pierce Pgs 64-65'!F9+'Thurston Pgs 66-67'!F9+'Wahkiakum Pgs 68-69'!F9+'Walla Walla Pgs 70-71'!F9+'Whatcom Pgs 72-73'!F9+'Whitman Pgs 74-75'!F9+'Yakima Pgs 76-77'!F9</f>
        <v>14000</v>
      </c>
      <c r="G9" s="230" t="s">
        <v>154</v>
      </c>
      <c r="H9" s="227" t="s">
        <v>154</v>
      </c>
      <c r="I9" s="228" t="s">
        <v>154</v>
      </c>
      <c r="J9" s="225" t="s">
        <v>154</v>
      </c>
      <c r="K9" s="222">
        <f>'Adams Pgs 8-9'!K9+'Asotin Pgs 10-11'!K9+'Benton-Franklin Pgs 12-13'!K9+'Chelan-Douglas Pgs 14-15'!K9+'Clallam Pgs 16-17'!K9+'Clark Pgs 18-19'!K9+'Columbia Pgs 20-21'!K9+'Cowlitz Pgs 22-23'!K9+'Garfield Pgs 24-25'!K9+'Grant Pgs 26-27'!K9+'Grays Harbor Pgs 28-29'!K9+'Island Pgs 30-31'!K9+'Jefferson Pgs 32-33'!K9+'Kitsap Pgs 34-35'!K9+'Kittitas Pgs 36-37'!K9+'Klickitat Pgs 38-39'!K9+'Lewis Pgs 40-41'!K9+'Lincoln Pgs 42-43'!K9+'Mason Pgs 44-45'!K9+'Northeast Tri Pgs 46-47'!K9+'Okanogan Pgs 48-49'!K9+'Pacific Pgs 50-51'!K9+'San Juan Pgs 52-53'!K9+'Seattle-King Pgs 54-55'!K9+'Skagit Pgs 56-57'!K9+'Skamania Pgs 58-59'!K9+'Snohomish Pgs 60-61'!K9+'Spokane Pgs 62-63'!K9+'Tacoma-Pierce Pgs 64-65'!K9+'Thurston Pgs 66-67'!K9+'Wahkiakum Pgs 68-69'!K9+'Walla Walla Pgs 70-71'!K9+'Whatcom Pgs 72-73'!K9+'Whitman Pgs 74-75'!K9+'Yakima Pgs 76-77'!K9</f>
        <v>5996</v>
      </c>
      <c r="L9" s="223">
        <f t="shared" si="0"/>
        <v>206636</v>
      </c>
    </row>
    <row r="10" spans="1:13" s="224" customFormat="1" ht="14.45" customHeight="1" x14ac:dyDescent="0.2">
      <c r="A10" s="214">
        <v>562.15</v>
      </c>
      <c r="B10" s="215" t="s">
        <v>149</v>
      </c>
      <c r="C10" s="216">
        <f>'Adams Pgs 8-9'!C10+'Asotin Pgs 10-11'!C10+'Benton-Franklin Pgs 12-13'!C10+'Chelan-Douglas Pgs 14-15'!C10+'Clallam Pgs 16-17'!C10+'Clark Pgs 18-19'!C10+'Columbia Pgs 20-21'!C10+'Cowlitz Pgs 22-23'!C10+'Garfield Pgs 24-25'!C10+'Grant Pgs 26-27'!C10+'Grays Harbor Pgs 28-29'!C10+'Island Pgs 30-31'!C10+'Jefferson Pgs 32-33'!C10+'Kitsap Pgs 34-35'!C10+'Kittitas Pgs 36-37'!C10+'Klickitat Pgs 38-39'!C10+'Lewis Pgs 40-41'!C10+'Lincoln Pgs 42-43'!C10+'Mason Pgs 44-45'!C10+'Northeast Tri Pgs 46-47'!C10+'Okanogan Pgs 48-49'!C10+'Pacific Pgs 50-51'!C10+'San Juan Pgs 52-53'!C10+'Skagit Pgs 56-57'!C10+'Skamania Pgs 58-59'!C10+'Snohomish Pgs 60-61'!C10+'Spokane Pgs 62-63'!C10+'Tacoma-Pierce Pgs 64-65'!C10+'Thurston Pgs 66-67'!C10+'Wahkiakum Pgs 68-69'!C10+'Walla Walla Pgs 70-71'!C10+'Whatcom Pgs 72-73'!C10+'Whitman Pgs 74-75'!C10+'Yakima Pgs 76-77'!C10+'Seattle-King Pgs 54-55'!C10</f>
        <v>181538</v>
      </c>
      <c r="D10" s="225" t="s">
        <v>154</v>
      </c>
      <c r="E10" s="226" t="s">
        <v>154</v>
      </c>
      <c r="F10" s="219">
        <f>'Adams Pgs 8-9'!F10+'Asotin Pgs 10-11'!F10+'Benton-Franklin Pgs 12-13'!F10+'Chelan-Douglas Pgs 14-15'!F10+'Clallam Pgs 16-17'!F10+'Clark Pgs 18-19'!F10+'Columbia Pgs 20-21'!F10+'Cowlitz Pgs 22-23'!F10+'Garfield Pgs 24-25'!F10+'Grant Pgs 26-27'!F10+'Grays Harbor Pgs 28-29'!F10+'Island Pgs 30-31'!F10+'Jefferson Pgs 32-33'!F10+'Kitsap Pgs 34-35'!F10+'Kittitas Pgs 36-37'!F10+'Klickitat Pgs 38-39'!F10+'Lewis Pgs 40-41'!F10+'Lincoln Pgs 42-43'!F10+'Mason Pgs 44-45'!F10+'Northeast Tri Pgs 46-47'!F10+'Okanogan Pgs 48-49'!F10+'Pacific Pgs 50-51'!F10+'San Juan Pgs 52-53'!F10+'Seattle-King Pgs 54-55'!F10+'Skagit Pgs 56-57'!F10+'Skamania Pgs 58-59'!F10+'Snohomish Pgs 60-61'!F10+'Spokane Pgs 62-63'!F10+'Tacoma-Pierce Pgs 64-65'!F10+'Thurston Pgs 66-67'!F10+'Wahkiakum Pgs 68-69'!F10+'Walla Walla Pgs 70-71'!F10+'Whatcom Pgs 72-73'!F10+'Whitman Pgs 74-75'!F10+'Yakima Pgs 76-77'!F10</f>
        <v>22374</v>
      </c>
      <c r="G10" s="220">
        <f>'Adams Pgs 8-9'!G10+'Asotin Pgs 10-11'!G10+'Benton-Franklin Pgs 12-13'!G10+'Chelan-Douglas Pgs 14-15'!G10+'Clallam Pgs 16-17'!G10+'Clark Pgs 18-19'!G10+'Columbia Pgs 20-21'!G10+'Cowlitz Pgs 22-23'!G10+'Garfield Pgs 24-25'!G10+'Grant Pgs 26-27'!G10+'Grays Harbor Pgs 28-29'!G10+'Island Pgs 30-31'!G10+'Jefferson Pgs 32-33'!G10+'Kitsap Pgs 34-35'!G10+'Kittitas Pgs 36-37'!G10+'Klickitat Pgs 38-39'!G10+'Lewis Pgs 40-41'!G10+'Lincoln Pgs 42-43'!G10+'Mason Pgs 44-45'!G10+'Northeast Tri Pgs 46-47'!G10+'Okanogan Pgs 48-49'!G10+'Pacific Pgs 50-51'!G10+'San Juan Pgs 52-53'!G10+'Seattle-King Pgs 54-55'!G10+'Skagit Pgs 56-57'!G10+'Skamania Pgs 58-59'!G10+'Snohomish Pgs 60-61'!G10+'Spokane Pgs 62-63'!G10+'Tacoma-Pierce Pgs 64-65'!G10+'Thurston Pgs 66-67'!G10+'Wahkiakum Pgs 68-69'!G10+'Walla Walla Pgs 70-71'!G10+'Whatcom Pgs 72-73'!G10+'Whitman Pgs 74-75'!G10+'Yakima Pgs 76-77'!G10</f>
        <v>50796</v>
      </c>
      <c r="H10" s="227" t="s">
        <v>154</v>
      </c>
      <c r="I10" s="228" t="s">
        <v>154</v>
      </c>
      <c r="J10" s="225" t="s">
        <v>154</v>
      </c>
      <c r="K10" s="222">
        <f>'Adams Pgs 8-9'!K10+'Asotin Pgs 10-11'!K10+'Benton-Franklin Pgs 12-13'!K10+'Chelan-Douglas Pgs 14-15'!K10+'Clallam Pgs 16-17'!K10+'Clark Pgs 18-19'!K10+'Columbia Pgs 20-21'!K10+'Cowlitz Pgs 22-23'!K10+'Garfield Pgs 24-25'!K10+'Grant Pgs 26-27'!K10+'Grays Harbor Pgs 28-29'!K10+'Island Pgs 30-31'!K10+'Jefferson Pgs 32-33'!K10+'Kitsap Pgs 34-35'!K10+'Kittitas Pgs 36-37'!K10+'Klickitat Pgs 38-39'!K10+'Lewis Pgs 40-41'!K10+'Lincoln Pgs 42-43'!K10+'Mason Pgs 44-45'!K10+'Northeast Tri Pgs 46-47'!K10+'Okanogan Pgs 48-49'!K10+'Pacific Pgs 50-51'!K10+'San Juan Pgs 52-53'!K10+'Seattle-King Pgs 54-55'!K10+'Skagit Pgs 56-57'!K10+'Skamania Pgs 58-59'!K10+'Snohomish Pgs 60-61'!K10+'Spokane Pgs 62-63'!K10+'Tacoma-Pierce Pgs 64-65'!K10+'Thurston Pgs 66-67'!K10+'Wahkiakum Pgs 68-69'!K10+'Walla Walla Pgs 70-71'!K10+'Whatcom Pgs 72-73'!K10+'Whitman Pgs 74-75'!K10+'Yakima Pgs 76-77'!K10</f>
        <v>3132</v>
      </c>
      <c r="L10" s="223">
        <f t="shared" si="0"/>
        <v>257840</v>
      </c>
    </row>
    <row r="11" spans="1:13" s="224" customFormat="1" ht="14.45" customHeight="1" x14ac:dyDescent="0.2">
      <c r="A11" s="214">
        <v>562.22</v>
      </c>
      <c r="B11" s="215" t="s">
        <v>51</v>
      </c>
      <c r="C11" s="216">
        <f>'Adams Pgs 8-9'!C11+'Asotin Pgs 10-11'!C11+'Benton-Franklin Pgs 12-13'!C11+'Chelan-Douglas Pgs 14-15'!C11+'Clallam Pgs 16-17'!C11+'Clark Pgs 18-19'!C11+'Columbia Pgs 20-21'!C11+'Cowlitz Pgs 22-23'!C11+'Garfield Pgs 24-25'!C11+'Grant Pgs 26-27'!C11+'Grays Harbor Pgs 28-29'!C11+'Island Pgs 30-31'!C11+'Jefferson Pgs 32-33'!C11+'Kitsap Pgs 34-35'!C11+'Kittitas Pgs 36-37'!C11+'Klickitat Pgs 38-39'!C11+'Lewis Pgs 40-41'!C11+'Lincoln Pgs 42-43'!C11+'Mason Pgs 44-45'!C11+'Northeast Tri Pgs 46-47'!C11+'Okanogan Pgs 48-49'!C11+'Pacific Pgs 50-51'!C11+'San Juan Pgs 52-53'!C11+'Skagit Pgs 56-57'!C11+'Skamania Pgs 58-59'!C11+'Snohomish Pgs 60-61'!C11+'Spokane Pgs 62-63'!C11+'Tacoma-Pierce Pgs 64-65'!C11+'Thurston Pgs 66-67'!C11+'Wahkiakum Pgs 68-69'!C11+'Walla Walla Pgs 70-71'!C11+'Whatcom Pgs 72-73'!C11+'Whitman Pgs 74-75'!C11+'Yakima Pgs 76-77'!C11+'Seattle-King Pgs 54-55'!C11</f>
        <v>34029993</v>
      </c>
      <c r="D11" s="217">
        <f>'Adams Pgs 8-9'!D11+'Asotin Pgs 10-11'!D11+'Benton-Franklin Pgs 12-13'!D11+'Chelan-Douglas Pgs 14-15'!D11+'Clallam Pgs 16-17'!D11+'Clark Pgs 18-19'!D11+'Columbia Pgs 20-21'!D11+'Cowlitz Pgs 22-23'!D11+'Garfield Pgs 24-25'!D11+'Grant Pgs 26-27'!D11+'Grays Harbor Pgs 28-29'!D11+'Island Pgs 30-31'!D11+'Jefferson Pgs 32-33'!D11+'Kitsap Pgs 34-35'!D11+'Kittitas Pgs 36-37'!D11+'Klickitat Pgs 38-39'!D11+'Lewis Pgs 40-41'!D11+'Lincoln Pgs 42-43'!D11+'Mason Pgs 44-45'!D11+'Northeast Tri Pgs 46-47'!D11+'Okanogan Pgs 48-49'!D11+'Pacific Pgs 50-51'!D11+'San Juan Pgs 52-53'!D11+'Skagit Pgs 56-57'!D11+'Skamania Pgs 58-59'!D11+'Snohomish Pgs 60-61'!D11+'Spokane Pgs 62-63'!D11+'Tacoma-Pierce Pgs 64-65'!D11+'Thurston Pgs 66-67'!D11+'Wahkiakum Pgs 68-69'!D11+'Walla Walla Pgs 70-71'!D11+'Whatcom Pgs 72-73'!D11+'Whitman Pgs 74-75'!D11+'Yakima Pgs 76-77'!D11+'Seattle-King Pgs 54-55'!D11</f>
        <v>16465610</v>
      </c>
      <c r="E11" s="218">
        <f>'Adams Pgs 8-9'!E11+'Asotin Pgs 10-11'!E11+'Benton-Franklin Pgs 12-13'!E11+'Chelan-Douglas Pgs 14-15'!E11+'Clallam Pgs 16-17'!E11+'Clark Pgs 18-19'!E11+'Columbia Pgs 20-21'!E11+'Cowlitz Pgs 22-23'!E11+'Garfield Pgs 24-25'!E11+'Grant Pgs 26-27'!E11+'Grays Harbor Pgs 28-29'!E11+'Island Pgs 30-31'!E11+'Jefferson Pgs 32-33'!E11+'Kitsap Pgs 34-35'!E11+'Kittitas Pgs 36-37'!E11+'Klickitat Pgs 38-39'!E11+'Lewis Pgs 40-41'!E11+'Lincoln Pgs 42-43'!E11+'Mason Pgs 44-45'!E11+'Northeast Tri Pgs 46-47'!E11+'Okanogan Pgs 48-49'!E11+'Pacific Pgs 50-51'!E11+'San Juan Pgs 52-53'!E11+'Seattle-King Pgs 54-55'!E11+'Skagit Pgs 56-57'!E11+'Skamania Pgs 58-59'!E11+'Snohomish Pgs 60-61'!E11+'Spokane Pgs 62-63'!E11+'Tacoma-Pierce Pgs 64-65'!E11+'Thurston Pgs 66-67'!E11+'Wahkiakum Pgs 68-69'!E11+'Walla Walla Pgs 70-71'!E11+'Whatcom Pgs 72-73'!E11+'Whitman Pgs 74-75'!E11+'Yakima Pgs 76-77'!E11</f>
        <v>28292</v>
      </c>
      <c r="F11" s="227" t="s">
        <v>154</v>
      </c>
      <c r="G11" s="220">
        <f>'Adams Pgs 8-9'!G11+'Asotin Pgs 10-11'!G11+'Benton-Franklin Pgs 12-13'!G11+'Chelan-Douglas Pgs 14-15'!G11+'Clallam Pgs 16-17'!G11+'Clark Pgs 18-19'!G11+'Columbia Pgs 20-21'!G11+'Cowlitz Pgs 22-23'!G11+'Garfield Pgs 24-25'!G11+'Grant Pgs 26-27'!G11+'Grays Harbor Pgs 28-29'!G11+'Island Pgs 30-31'!G11+'Jefferson Pgs 32-33'!G11+'Kitsap Pgs 34-35'!G11+'Kittitas Pgs 36-37'!G11+'Klickitat Pgs 38-39'!G11+'Lewis Pgs 40-41'!G11+'Lincoln Pgs 42-43'!G11+'Mason Pgs 44-45'!G11+'Northeast Tri Pgs 46-47'!G11+'Okanogan Pgs 48-49'!G11+'Pacific Pgs 50-51'!G11+'San Juan Pgs 52-53'!G11+'Skagit Pgs 56-57'!G11+'Skamania Pgs 58-59'!G11+'Snohomish Pgs 60-61'!G11+'Spokane Pgs 62-63'!G11+'Tacoma-Pierce Pgs 64-65'!G11+'Thurston Pgs 66-67'!G11+'Wahkiakum Pgs 68-69'!G11+'Walla Walla Pgs 70-71'!G11+'Whatcom Pgs 72-73'!G11+'Whitman Pgs 74-75'!G11+'Yakima Pgs 76-77'!G11+'Seattle-King Pgs 54-55'!G11</f>
        <v>5236519</v>
      </c>
      <c r="H11" s="219">
        <f>'Adams Pgs 8-9'!H11+'Asotin Pgs 10-11'!H11+'Benton-Franklin Pgs 12-13'!H11+'Chelan-Douglas Pgs 14-15'!H11+'Clallam Pgs 16-17'!H11+'Clark Pgs 18-19'!H11+'Columbia Pgs 20-21'!H11+'Cowlitz Pgs 22-23'!H11+'Garfield Pgs 24-25'!H11+'Grant Pgs 26-27'!H11+'Grays Harbor Pgs 28-29'!H11+'Island Pgs 30-31'!H11+'Jefferson Pgs 32-33'!H11+'Kitsap Pgs 34-35'!H11+'Kittitas Pgs 36-37'!H11+'Klickitat Pgs 38-39'!H11+'Lewis Pgs 40-41'!H11+'Lincoln Pgs 42-43'!H11+'Mason Pgs 44-45'!H11+'Northeast Tri Pgs 46-47'!H11+'Okanogan Pgs 48-49'!H11+'Pacific Pgs 50-51'!H11+'San Juan Pgs 52-53'!H11+'Skagit Pgs 56-57'!H11+'Skamania Pgs 58-59'!H11+'Snohomish Pgs 60-61'!H11+'Spokane Pgs 62-63'!H11+'Tacoma-Pierce Pgs 64-65'!H11+'Thurston Pgs 66-67'!H11+'Wahkiakum Pgs 68-69'!H11+'Walla Walla Pgs 70-71'!H11+'Whatcom Pgs 72-73'!H11+'Whitman Pgs 74-75'!H11+'Yakima Pgs 76-77'!H11+'Seattle-King Pgs 54-55'!H11</f>
        <v>2316853</v>
      </c>
      <c r="I11" s="221">
        <f>'Adams Pgs 8-9'!I11+'Asotin Pgs 10-11'!I11+'Benton-Franklin Pgs 12-13'!I11+'Chelan-Douglas Pgs 14-15'!I11+'Clallam Pgs 16-17'!I11+'Clark Pgs 18-19'!I11+'Columbia Pgs 20-21'!I11+'Cowlitz Pgs 22-23'!I11+'Garfield Pgs 24-25'!I11+'Grant Pgs 26-27'!I11+'Grays Harbor Pgs 28-29'!I11+'Island Pgs 30-31'!I11+'Jefferson Pgs 32-33'!I11+'Kitsap Pgs 34-35'!I11+'Kittitas Pgs 36-37'!I11+'Klickitat Pgs 38-39'!I11+'Lewis Pgs 40-41'!I11+'Lincoln Pgs 42-43'!I11+'Mason Pgs 44-45'!I11+'Northeast Tri Pgs 46-47'!I11+'Okanogan Pgs 48-49'!I11+'Pacific Pgs 50-51'!I11+'San Juan Pgs 52-53'!I11+'Skagit Pgs 56-57'!I11+'Skamania Pgs 58-59'!I11+'Snohomish Pgs 60-61'!I11+'Spokane Pgs 62-63'!I11+'Tacoma-Pierce Pgs 64-65'!I11+'Thurston Pgs 66-67'!I11+'Wahkiakum Pgs 68-69'!I11+'Walla Walla Pgs 70-71'!I11+'Whatcom Pgs 72-73'!I11+'Whitman Pgs 74-75'!I11+'Yakima Pgs 76-77'!I11+'Seattle-King Pgs 54-55'!I11</f>
        <v>3214991</v>
      </c>
      <c r="J11" s="217">
        <f>'Adams Pgs 8-9'!J11+'Asotin Pgs 10-11'!J11+'Benton-Franklin Pgs 12-13'!J11+'Chelan-Douglas Pgs 14-15'!J11+'Clallam Pgs 16-17'!J11+'Clark Pgs 18-19'!J11+'Columbia Pgs 20-21'!J11+'Cowlitz Pgs 22-23'!J11+'Garfield Pgs 24-25'!J11+'Grant Pgs 26-27'!J11+'Grays Harbor Pgs 28-29'!J11+'Island Pgs 30-31'!J11+'Jefferson Pgs 32-33'!J11+'Kitsap Pgs 34-35'!J11+'Kittitas Pgs 36-37'!J11+'Klickitat Pgs 38-39'!J11+'Lewis Pgs 40-41'!J11+'Lincoln Pgs 42-43'!J11+'Mason Pgs 44-45'!J11+'Northeast Tri Pgs 46-47'!J11+'Okanogan Pgs 48-49'!J11+'Pacific Pgs 50-51'!J11+'San Juan Pgs 52-53'!J11+'Snohomish Pgs 60-61'!J11+'Spokane Pgs 62-63'!J11+'Tacoma-Pierce Pgs 64-65'!J11+'Thurston Pgs 66-67'!J11+'Wahkiakum Pgs 68-69'!J11+'Walla Walla Pgs 70-71'!J11+'Whatcom Pgs 72-73'!J11+'Whitman Pgs 74-75'!J11+'Yakima Pgs 76-77'!J11+'Seattle-King Pgs 54-55'!J11+'Skagit Pgs 56-57'!J11+'Skamania Pgs 58-59'!J11</f>
        <v>5384943</v>
      </c>
      <c r="K11" s="222">
        <f>'Adams Pgs 8-9'!K11+'Asotin Pgs 10-11'!K11+'Benton-Franklin Pgs 12-13'!K11+'Chelan-Douglas Pgs 14-15'!K11+'Clallam Pgs 16-17'!K11+'Clark Pgs 18-19'!K11+'Columbia Pgs 20-21'!K11+'Cowlitz Pgs 22-23'!K11+'Garfield Pgs 24-25'!K11+'Grant Pgs 26-27'!K11+'Grays Harbor Pgs 28-29'!K11+'Island Pgs 30-31'!K11+'Jefferson Pgs 32-33'!K11+'Kitsap Pgs 34-35'!K11+'Kittitas Pgs 36-37'!K11+'Klickitat Pgs 38-39'!K11+'Lewis Pgs 40-41'!K11+'Lincoln Pgs 42-43'!K11+'Mason Pgs 44-45'!K11+'Northeast Tri Pgs 46-47'!K11+'Okanogan Pgs 48-49'!K11+'Pacific Pgs 50-51'!K11+'San Juan Pgs 52-53'!K11+'Skagit Pgs 56-57'!K11+'Skamania Pgs 58-59'!K11+'Snohomish Pgs 60-61'!K11+'Spokane Pgs 62-63'!K11+'Tacoma-Pierce Pgs 64-65'!K11+'Thurston Pgs 66-67'!K11+'Wahkiakum Pgs 68-69'!K11+'Walla Walla Pgs 70-71'!K11+'Whatcom Pgs 72-73'!K11+'Whitman Pgs 74-75'!K11+'Yakima Pgs 76-77'!K11+'Seattle-King Pgs 54-55'!K11</f>
        <v>513238</v>
      </c>
      <c r="L11" s="223">
        <f t="shared" ref="L11:L47" si="1">SUM(C11:K11)</f>
        <v>67190439</v>
      </c>
    </row>
    <row r="12" spans="1:13" s="224" customFormat="1" ht="14.45" customHeight="1" x14ac:dyDescent="0.2">
      <c r="A12" s="214">
        <v>562.24</v>
      </c>
      <c r="B12" s="215" t="s">
        <v>10</v>
      </c>
      <c r="C12" s="216">
        <f>'Adams Pgs 8-9'!C12+'Asotin Pgs 10-11'!C12+'Benton-Franklin Pgs 12-13'!C12+'Chelan-Douglas Pgs 14-15'!C12+'Clallam Pgs 16-17'!C12+'Clark Pgs 18-19'!C12+'Columbia Pgs 20-21'!C12+'Cowlitz Pgs 22-23'!C12+'Garfield Pgs 24-25'!C12+'Grant Pgs 26-27'!C12+'Grays Harbor Pgs 28-29'!C12+'Island Pgs 30-31'!C12+'Jefferson Pgs 32-33'!C12+'Kitsap Pgs 34-35'!C12+'Kittitas Pgs 36-37'!C12+'Klickitat Pgs 38-39'!C12+'Lewis Pgs 40-41'!C12+'Lincoln Pgs 42-43'!C12+'Mason Pgs 44-45'!C12+'Northeast Tri Pgs 46-47'!C12+'Okanogan Pgs 48-49'!C12+'Pacific Pgs 50-51'!C12+'San Juan Pgs 52-53'!C12+'Skagit Pgs 56-57'!C12+'Skamania Pgs 58-59'!C12+'Snohomish Pgs 60-61'!C12+'Spokane Pgs 62-63'!C12+'Tacoma-Pierce Pgs 64-65'!C12+'Thurston Pgs 66-67'!C12+'Wahkiakum Pgs 68-69'!C12+'Walla Walla Pgs 70-71'!C12+'Whatcom Pgs 72-73'!C12+'Whitman Pgs 74-75'!C12+'Yakima Pgs 76-77'!C12+'Seattle-King Pgs 54-55'!C12</f>
        <v>2282941</v>
      </c>
      <c r="D12" s="217">
        <f>'Adams Pgs 8-9'!D12+'Asotin Pgs 10-11'!D12+'Benton-Franklin Pgs 12-13'!D12+'Chelan-Douglas Pgs 14-15'!D12+'Clallam Pgs 16-17'!D12+'Clark Pgs 18-19'!D12+'Columbia Pgs 20-21'!D12+'Cowlitz Pgs 22-23'!D12+'Garfield Pgs 24-25'!D12+'Grant Pgs 26-27'!D12+'Grays Harbor Pgs 28-29'!D12+'Island Pgs 30-31'!D12+'Jefferson Pgs 32-33'!D12+'Kitsap Pgs 34-35'!D12+'Kittitas Pgs 36-37'!D12+'Klickitat Pgs 38-39'!D12+'Lewis Pgs 40-41'!D12+'Lincoln Pgs 42-43'!D12+'Mason Pgs 44-45'!D12+'Northeast Tri Pgs 46-47'!D12+'Okanogan Pgs 48-49'!D12+'Pacific Pgs 50-51'!D12+'San Juan Pgs 52-53'!D12+'Skagit Pgs 56-57'!D12+'Skamania Pgs 58-59'!D12+'Snohomish Pgs 60-61'!D12+'Spokane Pgs 62-63'!D12+'Tacoma-Pierce Pgs 64-65'!D12+'Thurston Pgs 66-67'!D12+'Wahkiakum Pgs 68-69'!D12+'Walla Walla Pgs 70-71'!D12+'Whatcom Pgs 72-73'!D12+'Whitman Pgs 74-75'!D12+'Yakima Pgs 76-77'!D12+'Seattle-King Pgs 54-55'!D12</f>
        <v>11796388</v>
      </c>
      <c r="E12" s="218">
        <f>'Adams Pgs 8-9'!E12+'Asotin Pgs 10-11'!E12+'Benton-Franklin Pgs 12-13'!E12+'Chelan-Douglas Pgs 14-15'!E12+'Clallam Pgs 16-17'!E12+'Clark Pgs 18-19'!E12+'Columbia Pgs 20-21'!E12+'Cowlitz Pgs 22-23'!E12+'Garfield Pgs 24-25'!E12+'Grant Pgs 26-27'!E12+'Grays Harbor Pgs 28-29'!E12+'Island Pgs 30-31'!E12+'Jefferson Pgs 32-33'!E12+'Kitsap Pgs 34-35'!E12+'Kittitas Pgs 36-37'!E12+'Klickitat Pgs 38-39'!E12+'Lewis Pgs 40-41'!E12+'Lincoln Pgs 42-43'!E12+'Mason Pgs 44-45'!E12+'Northeast Tri Pgs 46-47'!E12+'Okanogan Pgs 48-49'!E12+'Pacific Pgs 50-51'!E12+'San Juan Pgs 52-53'!E12+'Skagit Pgs 56-57'!E12+'Skamania Pgs 58-59'!E12+'Snohomish Pgs 60-61'!E12+'Spokane Pgs 62-63'!E12+'Tacoma-Pierce Pgs 64-65'!E12+'Thurston Pgs 66-67'!E12+'Wahkiakum Pgs 68-69'!E12+'Walla Walla Pgs 70-71'!E12+'Whatcom Pgs 72-73'!E12+'Whitman Pgs 74-75'!E12+'Yakima Pgs 76-77'!E12+'Seattle-King Pgs 54-55'!E12</f>
        <v>9233</v>
      </c>
      <c r="F12" s="227" t="s">
        <v>154</v>
      </c>
      <c r="G12" s="220">
        <f>'Adams Pgs 8-9'!G12+'Asotin Pgs 10-11'!G12+'Benton-Franklin Pgs 12-13'!G12+'Chelan-Douglas Pgs 14-15'!G12+'Clallam Pgs 16-17'!G12+'Clark Pgs 18-19'!G12+'Columbia Pgs 20-21'!G12+'Cowlitz Pgs 22-23'!G12+'Garfield Pgs 24-25'!G12+'Grant Pgs 26-27'!G12+'Grays Harbor Pgs 28-29'!G12+'Island Pgs 30-31'!G12+'Jefferson Pgs 32-33'!G12+'Kitsap Pgs 34-35'!G12+'Kittitas Pgs 36-37'!G12+'Klickitat Pgs 38-39'!G12+'Lewis Pgs 40-41'!G12+'Lincoln Pgs 42-43'!G12+'Mason Pgs 44-45'!G12+'Northeast Tri Pgs 46-47'!G12+'Okanogan Pgs 48-49'!G12+'Pacific Pgs 50-51'!G12+'San Juan Pgs 52-53'!G12+'Skagit Pgs 56-57'!G12+'Skamania Pgs 58-59'!G12+'Snohomish Pgs 60-61'!G12+'Spokane Pgs 62-63'!G12+'Tacoma-Pierce Pgs 64-65'!G12+'Thurston Pgs 66-67'!G12+'Wahkiakum Pgs 68-69'!G12+'Walla Walla Pgs 70-71'!G12+'Whatcom Pgs 72-73'!G12+'Whitman Pgs 74-75'!G12+'Yakima Pgs 76-77'!G12+'Seattle-King Pgs 54-55'!G12</f>
        <v>159458</v>
      </c>
      <c r="H12" s="219">
        <f>'Adams Pgs 8-9'!H12+'Asotin Pgs 10-11'!H12+'Benton-Franklin Pgs 12-13'!H12+'Chelan-Douglas Pgs 14-15'!H12+'Clallam Pgs 16-17'!H12+'Clark Pgs 18-19'!H12+'Columbia Pgs 20-21'!H12+'Cowlitz Pgs 22-23'!H12+'Garfield Pgs 24-25'!H12+'Grant Pgs 26-27'!H12+'Grays Harbor Pgs 28-29'!H12+'Island Pgs 30-31'!H12+'Jefferson Pgs 32-33'!H12+'Kitsap Pgs 34-35'!H12+'Kittitas Pgs 36-37'!H12+'Klickitat Pgs 38-39'!H12+'Lewis Pgs 40-41'!H12+'Lincoln Pgs 42-43'!H12+'Mason Pgs 44-45'!H12+'Northeast Tri Pgs 46-47'!H12+'Okanogan Pgs 48-49'!H12+'Pacific Pgs 50-51'!H12+'San Juan Pgs 52-53'!H12+'Skagit Pgs 56-57'!H12+'Skamania Pgs 58-59'!H12+'Snohomish Pgs 60-61'!H12+'Spokane Pgs 62-63'!H12+'Tacoma-Pierce Pgs 64-65'!H12+'Thurston Pgs 66-67'!H12+'Wahkiakum Pgs 68-69'!H12+'Walla Walla Pgs 70-71'!H12+'Whatcom Pgs 72-73'!H12+'Whitman Pgs 74-75'!H12+'Yakima Pgs 76-77'!H12+'Seattle-King Pgs 54-55'!H12</f>
        <v>159661</v>
      </c>
      <c r="I12" s="231">
        <f>'Adams Pgs 8-9'!I12+'Asotin Pgs 10-11'!I12+'Benton-Franklin Pgs 12-13'!I12+'Chelan-Douglas Pgs 14-15'!I12+'Clallam Pgs 16-17'!I12+'Clark Pgs 18-19'!I12+'Columbia Pgs 20-21'!I12+'Cowlitz Pgs 22-23'!I12+'Garfield Pgs 24-25'!I12+'Grant Pgs 26-27'!I12+'Grays Harbor Pgs 28-29'!I12+'Island Pgs 30-31'!I12+'Jefferson Pgs 32-33'!I12+'Kitsap Pgs 34-35'!I12+'Kittitas Pgs 36-37'!I12+'Klickitat Pgs 38-39'!I12+'Lewis Pgs 40-41'!I12+'Lincoln Pgs 42-43'!I12+'Mason Pgs 44-45'!I12+'Northeast Tri Pgs 46-47'!I12+'Okanogan Pgs 48-49'!I12+'Pacific Pgs 50-51'!I12+'San Juan Pgs 52-53'!I12+'Skagit Pgs 56-57'!I12+'Skamania Pgs 58-59'!I12+'Snohomish Pgs 60-61'!I12+'Spokane Pgs 62-63'!I12+'Tacoma-Pierce Pgs 64-65'!I12+'Thurston Pgs 66-67'!I12+'Wahkiakum Pgs 68-69'!I12+'Walla Walla Pgs 70-71'!I12+'Whatcom Pgs 72-73'!I12+'Whitman Pgs 74-75'!I12+'Yakima Pgs 76-77'!I12+'Seattle-King Pgs 54-55'!I12</f>
        <v>86960</v>
      </c>
      <c r="J12" s="217">
        <f>'Adams Pgs 8-9'!J12+'Asotin Pgs 10-11'!J12+'Benton-Franklin Pgs 12-13'!J12+'Chelan-Douglas Pgs 14-15'!J12+'Clallam Pgs 16-17'!J12+'Clark Pgs 18-19'!J12+'Columbia Pgs 20-21'!J12+'Cowlitz Pgs 22-23'!J12+'Garfield Pgs 24-25'!J12+'Grant Pgs 26-27'!J12+'Grays Harbor Pgs 28-29'!J12+'Island Pgs 30-31'!J12+'Jefferson Pgs 32-33'!J12+'Kitsap Pgs 34-35'!J12+'Kittitas Pgs 36-37'!J12+'Klickitat Pgs 38-39'!J12+'Lewis Pgs 40-41'!J12+'Lincoln Pgs 42-43'!J12+'Mason Pgs 44-45'!J12+'Northeast Tri Pgs 46-47'!J12+'Okanogan Pgs 48-49'!J12+'Pacific Pgs 50-51'!J12+'San Juan Pgs 52-53'!J12+'Snohomish Pgs 60-61'!J12+'Spokane Pgs 62-63'!J12+'Tacoma-Pierce Pgs 64-65'!J12+'Thurston Pgs 66-67'!J12+'Wahkiakum Pgs 68-69'!J12+'Walla Walla Pgs 70-71'!J12+'Whatcom Pgs 72-73'!J12+'Whitman Pgs 74-75'!J12+'Yakima Pgs 76-77'!J12+'Seattle-King Pgs 54-55'!J12+'Skagit Pgs 56-57'!J12+'Skamania Pgs 58-59'!J12</f>
        <v>644178</v>
      </c>
      <c r="K12" s="222">
        <f>'Adams Pgs 8-9'!K12+'Asotin Pgs 10-11'!K12+'Benton-Franklin Pgs 12-13'!K12+'Chelan-Douglas Pgs 14-15'!K12+'Clallam Pgs 16-17'!K12+'Clark Pgs 18-19'!K12+'Columbia Pgs 20-21'!K12+'Cowlitz Pgs 22-23'!K12+'Garfield Pgs 24-25'!K12+'Grant Pgs 26-27'!K12+'Grays Harbor Pgs 28-29'!K12+'Island Pgs 30-31'!K12+'Jefferson Pgs 32-33'!K12+'Kitsap Pgs 34-35'!K12+'Kittitas Pgs 36-37'!K12+'Klickitat Pgs 38-39'!K12+'Lewis Pgs 40-41'!K12+'Lincoln Pgs 42-43'!K12+'Mason Pgs 44-45'!K12+'Northeast Tri Pgs 46-47'!K12+'Okanogan Pgs 48-49'!K12+'Pacific Pgs 50-51'!K12+'San Juan Pgs 52-53'!K12+'Skagit Pgs 56-57'!K12+'Skamania Pgs 58-59'!K12+'Snohomish Pgs 60-61'!K12+'Spokane Pgs 62-63'!K12+'Tacoma-Pierce Pgs 64-65'!K12+'Thurston Pgs 66-67'!K12+'Wahkiakum Pgs 68-69'!K12+'Walla Walla Pgs 70-71'!K12+'Whatcom Pgs 72-73'!K12+'Whitman Pgs 74-75'!K12+'Yakima Pgs 76-77'!K12+'Seattle-King Pgs 54-55'!K12</f>
        <v>54766</v>
      </c>
      <c r="L12" s="223">
        <f t="shared" si="1"/>
        <v>15193585</v>
      </c>
    </row>
    <row r="13" spans="1:13" s="224" customFormat="1" ht="14.45" customHeight="1" x14ac:dyDescent="0.2">
      <c r="A13" s="214">
        <v>562.25</v>
      </c>
      <c r="B13" s="215" t="s">
        <v>52</v>
      </c>
      <c r="C13" s="216">
        <f>'Adams Pgs 8-9'!C13+'Asotin Pgs 10-11'!C13+'Benton-Franklin Pgs 12-13'!C13+'Chelan-Douglas Pgs 14-15'!C13+'Clallam Pgs 16-17'!C13+'Clark Pgs 18-19'!C13+'Columbia Pgs 20-21'!C13+'Cowlitz Pgs 22-23'!C13+'Garfield Pgs 24-25'!C13+'Grant Pgs 26-27'!C13+'Grays Harbor Pgs 28-29'!C13+'Island Pgs 30-31'!C13+'Jefferson Pgs 32-33'!C13+'Kitsap Pgs 34-35'!C13+'Kittitas Pgs 36-37'!C13+'Klickitat Pgs 38-39'!C13+'Lewis Pgs 40-41'!C13+'Lincoln Pgs 42-43'!C13+'Mason Pgs 44-45'!C13+'Northeast Tri Pgs 46-47'!C13+'Okanogan Pgs 48-49'!C13+'Pacific Pgs 50-51'!C13+'San Juan Pgs 52-53'!C13+'Skagit Pgs 56-57'!C13+'Skamania Pgs 58-59'!C13+'Snohomish Pgs 60-61'!C13+'Spokane Pgs 62-63'!C13+'Tacoma-Pierce Pgs 64-65'!C13+'Thurston Pgs 66-67'!C13+'Wahkiakum Pgs 68-69'!C13+'Walla Walla Pgs 70-71'!C13+'Whatcom Pgs 72-73'!C13+'Whitman Pgs 74-75'!C13+'Yakima Pgs 76-77'!C13+'Seattle-King Pgs 54-55'!C13</f>
        <v>350584</v>
      </c>
      <c r="D13" s="217">
        <f>'Adams Pgs 8-9'!D13+'Asotin Pgs 10-11'!D13+'Benton-Franklin Pgs 12-13'!D13+'Chelan-Douglas Pgs 14-15'!D13+'Clallam Pgs 16-17'!D13+'Clark Pgs 18-19'!D13+'Columbia Pgs 20-21'!D13+'Cowlitz Pgs 22-23'!D13+'Garfield Pgs 24-25'!D13+'Grant Pgs 26-27'!D13+'Grays Harbor Pgs 28-29'!D13+'Island Pgs 30-31'!D13+'Jefferson Pgs 32-33'!D13+'Kitsap Pgs 34-35'!D13+'Kittitas Pgs 36-37'!D13+'Klickitat Pgs 38-39'!D13+'Lewis Pgs 40-41'!D13+'Lincoln Pgs 42-43'!D13+'Mason Pgs 44-45'!D13+'Northeast Tri Pgs 46-47'!D13+'Okanogan Pgs 48-49'!D13+'Pacific Pgs 50-51'!D13+'San Juan Pgs 52-53'!D13+'Skagit Pgs 56-57'!D13+'Skamania Pgs 58-59'!D13+'Snohomish Pgs 60-61'!D13+'Spokane Pgs 62-63'!D13+'Tacoma-Pierce Pgs 64-65'!D13+'Thurston Pgs 66-67'!D13+'Wahkiakum Pgs 68-69'!D13+'Walla Walla Pgs 70-71'!D13+'Whatcom Pgs 72-73'!D13+'Whitman Pgs 74-75'!D13+'Yakima Pgs 76-77'!D13+'Seattle-King Pgs 54-55'!D13</f>
        <v>240521</v>
      </c>
      <c r="E13" s="218">
        <f>'Adams Pgs 8-9'!E13+'Asotin Pgs 10-11'!E13+'Benton-Franklin Pgs 12-13'!E13+'Chelan-Douglas Pgs 14-15'!E13+'Clallam Pgs 16-17'!E13+'Clark Pgs 18-19'!E13+'Columbia Pgs 20-21'!E13+'Cowlitz Pgs 22-23'!E13+'Garfield Pgs 24-25'!E13+'Grant Pgs 26-27'!E13+'Grays Harbor Pgs 28-29'!E13+'Island Pgs 30-31'!E13+'Jefferson Pgs 32-33'!E13+'Kitsap Pgs 34-35'!E13+'Kittitas Pgs 36-37'!E13+'Klickitat Pgs 38-39'!E13+'Lewis Pgs 40-41'!E13+'Lincoln Pgs 42-43'!E13+'Mason Pgs 44-45'!E13+'Northeast Tri Pgs 46-47'!E13+'Okanogan Pgs 48-49'!E13+'Pacific Pgs 50-51'!E13+'San Juan Pgs 52-53'!E13+'Skagit Pgs 56-57'!E13+'Skamania Pgs 58-59'!E13+'Snohomish Pgs 60-61'!E13+'Spokane Pgs 62-63'!E13+'Tacoma-Pierce Pgs 64-65'!E13+'Thurston Pgs 66-67'!E13+'Wahkiakum Pgs 68-69'!E13+'Walla Walla Pgs 70-71'!E13+'Whatcom Pgs 72-73'!E13+'Whitman Pgs 74-75'!E13+'Yakima Pgs 76-77'!E13+'Seattle-King Pgs 54-55'!E13</f>
        <v>109195</v>
      </c>
      <c r="F13" s="219">
        <f>'Adams Pgs 8-9'!F13+'Asotin Pgs 10-11'!F13+'Benton-Franklin Pgs 12-13'!F13+'Chelan-Douglas Pgs 14-15'!F13+'Clallam Pgs 16-17'!F13+'Clark Pgs 18-19'!F13+'Columbia Pgs 20-21'!F13+'Cowlitz Pgs 22-23'!F13+'Garfield Pgs 24-25'!F13+'Grant Pgs 26-27'!F13+'Grays Harbor Pgs 28-29'!F13+'Island Pgs 30-31'!F13+'Jefferson Pgs 32-33'!F13+'Kitsap Pgs 34-35'!F13+'Kittitas Pgs 36-37'!F13+'Klickitat Pgs 38-39'!F13+'Lewis Pgs 40-41'!F13+'Lincoln Pgs 42-43'!F13+'Mason Pgs 44-45'!F13+'Northeast Tri Pgs 46-47'!F13+'Okanogan Pgs 48-49'!F13+'Pacific Pgs 50-51'!F13+'San Juan Pgs 52-53'!F13+'Seattle-King Pgs 54-55'!F13+'Skagit Pgs 56-57'!F13+'Skamania Pgs 58-59'!F13+'Snohomish Pgs 60-61'!F13+'Spokane Pgs 62-63'!F13+'Tacoma-Pierce Pgs 64-65'!F13+'Thurston Pgs 66-67'!F13+'Wahkiakum Pgs 68-69'!F13+'Walla Walla Pgs 70-71'!F13+'Whatcom Pgs 72-73'!F13+'Whitman Pgs 74-75'!F13+'Yakima Pgs 76-77'!F13</f>
        <v>456</v>
      </c>
      <c r="G13" s="220">
        <f>'Adams Pgs 8-9'!G13+'Asotin Pgs 10-11'!G13+'Benton-Franklin Pgs 12-13'!G13+'Chelan-Douglas Pgs 14-15'!G13+'Clallam Pgs 16-17'!G13+'Clark Pgs 18-19'!G13+'Columbia Pgs 20-21'!G13+'Cowlitz Pgs 22-23'!G13+'Garfield Pgs 24-25'!G13+'Grant Pgs 26-27'!G13+'Grays Harbor Pgs 28-29'!G13+'Island Pgs 30-31'!G13+'Jefferson Pgs 32-33'!G13+'Kitsap Pgs 34-35'!G13+'Kittitas Pgs 36-37'!G13+'Klickitat Pgs 38-39'!G13+'Lewis Pgs 40-41'!G13+'Lincoln Pgs 42-43'!G13+'Mason Pgs 44-45'!G13+'Northeast Tri Pgs 46-47'!G13+'Okanogan Pgs 48-49'!G13+'Pacific Pgs 50-51'!G13+'San Juan Pgs 52-53'!G13+'Skagit Pgs 56-57'!G13+'Skamania Pgs 58-59'!G13+'Snohomish Pgs 60-61'!G13+'Spokane Pgs 62-63'!G13+'Tacoma-Pierce Pgs 64-65'!G13+'Thurston Pgs 66-67'!G13+'Wahkiakum Pgs 68-69'!G13+'Walla Walla Pgs 70-71'!G13+'Whatcom Pgs 72-73'!G13+'Whitman Pgs 74-75'!G13+'Yakima Pgs 76-77'!G13+'Seattle-King Pgs 54-55'!G13</f>
        <v>183680</v>
      </c>
      <c r="H13" s="219">
        <f>'Adams Pgs 8-9'!H13+'Asotin Pgs 10-11'!H13+'Benton-Franklin Pgs 12-13'!H13+'Chelan-Douglas Pgs 14-15'!H13+'Clallam Pgs 16-17'!H13+'Clark Pgs 18-19'!H13+'Columbia Pgs 20-21'!H13+'Cowlitz Pgs 22-23'!H13+'Garfield Pgs 24-25'!H13+'Grant Pgs 26-27'!H13+'Grays Harbor Pgs 28-29'!H13+'Island Pgs 30-31'!H13+'Jefferson Pgs 32-33'!H13+'Kitsap Pgs 34-35'!H13+'Kittitas Pgs 36-37'!H13+'Klickitat Pgs 38-39'!H13+'Lewis Pgs 40-41'!H13+'Lincoln Pgs 42-43'!H13+'Mason Pgs 44-45'!H13+'Northeast Tri Pgs 46-47'!H13+'Okanogan Pgs 48-49'!H13+'Pacific Pgs 50-51'!H13+'San Juan Pgs 52-53'!H13+'Skagit Pgs 56-57'!H13+'Skamania Pgs 58-59'!H13+'Snohomish Pgs 60-61'!H13+'Spokane Pgs 62-63'!H13+'Tacoma-Pierce Pgs 64-65'!H13+'Thurston Pgs 66-67'!H13+'Wahkiakum Pgs 68-69'!H13+'Walla Walla Pgs 70-71'!H13+'Whatcom Pgs 72-73'!H13+'Whitman Pgs 74-75'!H13+'Yakima Pgs 76-77'!H13+'Seattle-King Pgs 54-55'!H13</f>
        <v>5536062</v>
      </c>
      <c r="I13" s="221">
        <f>'Adams Pgs 8-9'!I13+'Asotin Pgs 10-11'!I13+'Benton-Franklin Pgs 12-13'!I13+'Chelan-Douglas Pgs 14-15'!I13+'Clallam Pgs 16-17'!I13+'Clark Pgs 18-19'!I13+'Columbia Pgs 20-21'!I13+'Cowlitz Pgs 22-23'!I13+'Garfield Pgs 24-25'!I13+'Grant Pgs 26-27'!I13+'Grays Harbor Pgs 28-29'!I13+'Island Pgs 30-31'!I13+'Jefferson Pgs 32-33'!I13+'Kitsap Pgs 34-35'!I13+'Kittitas Pgs 36-37'!I13+'Klickitat Pgs 38-39'!I13+'Lewis Pgs 40-41'!I13+'Lincoln Pgs 42-43'!I13+'Mason Pgs 44-45'!I13+'Northeast Tri Pgs 46-47'!I13+'Okanogan Pgs 48-49'!I13+'Pacific Pgs 50-51'!I13+'San Juan Pgs 52-53'!I13+'Skagit Pgs 56-57'!I13+'Skamania Pgs 58-59'!I13+'Snohomish Pgs 60-61'!I13+'Spokane Pgs 62-63'!I13+'Tacoma-Pierce Pgs 64-65'!I13+'Thurston Pgs 66-67'!I13+'Wahkiakum Pgs 68-69'!I13+'Walla Walla Pgs 70-71'!I13+'Whatcom Pgs 72-73'!I13+'Whitman Pgs 74-75'!I13+'Yakima Pgs 76-77'!I13+'Seattle-King Pgs 54-55'!I13</f>
        <v>1517164</v>
      </c>
      <c r="J13" s="217">
        <f>'Adams Pgs 8-9'!J13+'Asotin Pgs 10-11'!J13+'Benton-Franklin Pgs 12-13'!J13+'Chelan-Douglas Pgs 14-15'!J13+'Clallam Pgs 16-17'!J13+'Clark Pgs 18-19'!J13+'Columbia Pgs 20-21'!J13+'Cowlitz Pgs 22-23'!J13+'Garfield Pgs 24-25'!J13+'Grant Pgs 26-27'!J13+'Grays Harbor Pgs 28-29'!J13+'Island Pgs 30-31'!J13+'Jefferson Pgs 32-33'!J13+'Kitsap Pgs 34-35'!J13+'Kittitas Pgs 36-37'!J13+'Klickitat Pgs 38-39'!J13+'Lewis Pgs 40-41'!J13+'Lincoln Pgs 42-43'!J13+'Mason Pgs 44-45'!J13+'Northeast Tri Pgs 46-47'!J13+'Okanogan Pgs 48-49'!J13+'Pacific Pgs 50-51'!J13+'San Juan Pgs 52-53'!J13+'Snohomish Pgs 60-61'!J13+'Spokane Pgs 62-63'!J13+'Tacoma-Pierce Pgs 64-65'!J13+'Thurston Pgs 66-67'!J13+'Wahkiakum Pgs 68-69'!J13+'Walla Walla Pgs 70-71'!J13+'Whatcom Pgs 72-73'!J13+'Whitman Pgs 74-75'!J13+'Yakima Pgs 76-77'!J13+'Seattle-King Pgs 54-55'!J13+'Skagit Pgs 56-57'!J13+'Skamania Pgs 58-59'!J13</f>
        <v>628134</v>
      </c>
      <c r="K13" s="222">
        <f>'Adams Pgs 8-9'!K13+'Asotin Pgs 10-11'!K13+'Benton-Franklin Pgs 12-13'!K13+'Chelan-Douglas Pgs 14-15'!K13+'Clallam Pgs 16-17'!K13+'Clark Pgs 18-19'!K13+'Columbia Pgs 20-21'!K13+'Cowlitz Pgs 22-23'!K13+'Garfield Pgs 24-25'!K13+'Grant Pgs 26-27'!K13+'Grays Harbor Pgs 28-29'!K13+'Island Pgs 30-31'!K13+'Jefferson Pgs 32-33'!K13+'Kitsap Pgs 34-35'!K13+'Kittitas Pgs 36-37'!K13+'Klickitat Pgs 38-39'!K13+'Lewis Pgs 40-41'!K13+'Lincoln Pgs 42-43'!K13+'Mason Pgs 44-45'!K13+'Northeast Tri Pgs 46-47'!K13+'Okanogan Pgs 48-49'!K13+'Pacific Pgs 50-51'!K13+'San Juan Pgs 52-53'!K13+'Skagit Pgs 56-57'!K13+'Skamania Pgs 58-59'!K13+'Snohomish Pgs 60-61'!K13+'Spokane Pgs 62-63'!K13+'Tacoma-Pierce Pgs 64-65'!K13+'Thurston Pgs 66-67'!K13+'Wahkiakum Pgs 68-69'!K13+'Walla Walla Pgs 70-71'!K13+'Whatcom Pgs 72-73'!K13+'Whitman Pgs 74-75'!K13+'Yakima Pgs 76-77'!K13+'Seattle-King Pgs 54-55'!K13</f>
        <v>10834</v>
      </c>
      <c r="L13" s="223">
        <f t="shared" si="1"/>
        <v>8576630</v>
      </c>
    </row>
    <row r="14" spans="1:13" s="224" customFormat="1" ht="14.45" customHeight="1" x14ac:dyDescent="0.2">
      <c r="A14" s="214">
        <v>562.26</v>
      </c>
      <c r="B14" s="215" t="s">
        <v>43</v>
      </c>
      <c r="C14" s="216">
        <f>'Adams Pgs 8-9'!C14+'Asotin Pgs 10-11'!C14+'Benton-Franklin Pgs 12-13'!C14+'Chelan-Douglas Pgs 14-15'!C14+'Clallam Pgs 16-17'!C14+'Clark Pgs 18-19'!C14+'Columbia Pgs 20-21'!C14+'Cowlitz Pgs 22-23'!C14+'Garfield Pgs 24-25'!C14+'Grant Pgs 26-27'!C14+'Grays Harbor Pgs 28-29'!C14+'Island Pgs 30-31'!C14+'Jefferson Pgs 32-33'!C14+'Kitsap Pgs 34-35'!C14+'Kittitas Pgs 36-37'!C14+'Klickitat Pgs 38-39'!C14+'Lewis Pgs 40-41'!C14+'Lincoln Pgs 42-43'!C14+'Mason Pgs 44-45'!C14+'Northeast Tri Pgs 46-47'!C14+'Okanogan Pgs 48-49'!C14+'Pacific Pgs 50-51'!C14+'San Juan Pgs 52-53'!C14+'Skagit Pgs 56-57'!C14+'Skamania Pgs 58-59'!C14+'Snohomish Pgs 60-61'!C14+'Spokane Pgs 62-63'!C14+'Tacoma-Pierce Pgs 64-65'!C14+'Thurston Pgs 66-67'!C14+'Wahkiakum Pgs 68-69'!C14+'Walla Walla Pgs 70-71'!C14+'Whatcom Pgs 72-73'!C14+'Whitman Pgs 74-75'!C14+'Yakima Pgs 76-77'!C14+'Seattle-King Pgs 54-55'!C14</f>
        <v>6299980</v>
      </c>
      <c r="D14" s="217">
        <f>'Adams Pgs 8-9'!D14+'Asotin Pgs 10-11'!D14+'Benton-Franklin Pgs 12-13'!D14+'Chelan-Douglas Pgs 14-15'!D14+'Clallam Pgs 16-17'!D14+'Clark Pgs 18-19'!D14+'Columbia Pgs 20-21'!D14+'Cowlitz Pgs 22-23'!D14+'Garfield Pgs 24-25'!D14+'Grant Pgs 26-27'!D14+'Grays Harbor Pgs 28-29'!D14+'Island Pgs 30-31'!D14+'Jefferson Pgs 32-33'!D14+'Kitsap Pgs 34-35'!D14+'Kittitas Pgs 36-37'!D14+'Klickitat Pgs 38-39'!D14+'Lewis Pgs 40-41'!D14+'Lincoln Pgs 42-43'!D14+'Mason Pgs 44-45'!D14+'Northeast Tri Pgs 46-47'!D14+'Okanogan Pgs 48-49'!D14+'Pacific Pgs 50-51'!D14+'San Juan Pgs 52-53'!D14+'Skagit Pgs 56-57'!D14+'Skamania Pgs 58-59'!D14+'Snohomish Pgs 60-61'!D14+'Spokane Pgs 62-63'!D14+'Tacoma-Pierce Pgs 64-65'!D14+'Thurston Pgs 66-67'!D14+'Wahkiakum Pgs 68-69'!D14+'Walla Walla Pgs 70-71'!D14+'Whatcom Pgs 72-73'!D14+'Whitman Pgs 74-75'!D14+'Yakima Pgs 76-77'!D14+'Seattle-King Pgs 54-55'!D14</f>
        <v>3219960</v>
      </c>
      <c r="E14" s="218">
        <f>'Adams Pgs 8-9'!E14+'Asotin Pgs 10-11'!E14+'Benton-Franklin Pgs 12-13'!E14+'Chelan-Douglas Pgs 14-15'!E14+'Clallam Pgs 16-17'!E14+'Clark Pgs 18-19'!E14+'Columbia Pgs 20-21'!E14+'Cowlitz Pgs 22-23'!E14+'Garfield Pgs 24-25'!E14+'Grant Pgs 26-27'!E14+'Grays Harbor Pgs 28-29'!E14+'Island Pgs 30-31'!E14+'Jefferson Pgs 32-33'!E14+'Kitsap Pgs 34-35'!E14+'Kittitas Pgs 36-37'!E14+'Klickitat Pgs 38-39'!E14+'Lewis Pgs 40-41'!E14+'Lincoln Pgs 42-43'!E14+'Mason Pgs 44-45'!E14+'Northeast Tri Pgs 46-47'!E14+'Okanogan Pgs 48-49'!E14+'Pacific Pgs 50-51'!E14+'San Juan Pgs 52-53'!E14+'Skagit Pgs 56-57'!E14+'Skamania Pgs 58-59'!E14+'Snohomish Pgs 60-61'!E14+'Spokane Pgs 62-63'!E14+'Tacoma-Pierce Pgs 64-65'!E14+'Thurston Pgs 66-67'!E14+'Wahkiakum Pgs 68-69'!E14+'Walla Walla Pgs 70-71'!E14+'Whatcom Pgs 72-73'!E14+'Whitman Pgs 74-75'!E14+'Yakima Pgs 76-77'!E14+'Seattle-King Pgs 54-55'!E14</f>
        <v>1095532</v>
      </c>
      <c r="F14" s="227" t="s">
        <v>154</v>
      </c>
      <c r="G14" s="220">
        <f>'Adams Pgs 8-9'!G14+'Asotin Pgs 10-11'!G14+'Benton-Franklin Pgs 12-13'!G14+'Chelan-Douglas Pgs 14-15'!G14+'Clallam Pgs 16-17'!G14+'Clark Pgs 18-19'!G14+'Columbia Pgs 20-21'!G14+'Cowlitz Pgs 22-23'!G14+'Garfield Pgs 24-25'!G14+'Grant Pgs 26-27'!G14+'Grays Harbor Pgs 28-29'!G14+'Island Pgs 30-31'!G14+'Jefferson Pgs 32-33'!G14+'Kitsap Pgs 34-35'!G14+'Kittitas Pgs 36-37'!G14+'Klickitat Pgs 38-39'!G14+'Lewis Pgs 40-41'!G14+'Lincoln Pgs 42-43'!G14+'Mason Pgs 44-45'!G14+'Northeast Tri Pgs 46-47'!G14+'Okanogan Pgs 48-49'!G14+'Pacific Pgs 50-51'!G14+'San Juan Pgs 52-53'!G14+'Skagit Pgs 56-57'!G14+'Skamania Pgs 58-59'!G14+'Snohomish Pgs 60-61'!G14+'Spokane Pgs 62-63'!G14+'Tacoma-Pierce Pgs 64-65'!G14+'Thurston Pgs 66-67'!G14+'Wahkiakum Pgs 68-69'!G14+'Walla Walla Pgs 70-71'!G14+'Whatcom Pgs 72-73'!G14+'Whitman Pgs 74-75'!G14+'Yakima Pgs 76-77'!G14+'Seattle-King Pgs 54-55'!G14</f>
        <v>1385544</v>
      </c>
      <c r="H14" s="227" t="s">
        <v>154</v>
      </c>
      <c r="I14" s="221">
        <f>'Adams Pgs 8-9'!I14+'Asotin Pgs 10-11'!I14+'Benton-Franklin Pgs 12-13'!I14+'Chelan-Douglas Pgs 14-15'!I14+'Clallam Pgs 16-17'!I14+'Clark Pgs 18-19'!I14+'Columbia Pgs 20-21'!I14+'Cowlitz Pgs 22-23'!I14+'Garfield Pgs 24-25'!I14+'Grant Pgs 26-27'!I14+'Grays Harbor Pgs 28-29'!I14+'Island Pgs 30-31'!I14+'Jefferson Pgs 32-33'!I14+'Kitsap Pgs 34-35'!I14+'Kittitas Pgs 36-37'!I14+'Klickitat Pgs 38-39'!I14+'Lewis Pgs 40-41'!I14+'Lincoln Pgs 42-43'!I14+'Mason Pgs 44-45'!I14+'Northeast Tri Pgs 46-47'!I14+'Okanogan Pgs 48-49'!I14+'Pacific Pgs 50-51'!I14+'San Juan Pgs 52-53'!I14+'Skagit Pgs 56-57'!I14+'Skamania Pgs 58-59'!I14+'Snohomish Pgs 60-61'!I14+'Spokane Pgs 62-63'!I14+'Tacoma-Pierce Pgs 64-65'!I14+'Thurston Pgs 66-67'!I14+'Wahkiakum Pgs 68-69'!I14+'Walla Walla Pgs 70-71'!I14+'Whatcom Pgs 72-73'!I14+'Whitman Pgs 74-75'!I14+'Yakima Pgs 76-77'!I14+'Seattle-King Pgs 54-55'!I14</f>
        <v>991665</v>
      </c>
      <c r="J14" s="217">
        <f>'Adams Pgs 8-9'!J14+'Asotin Pgs 10-11'!J14+'Benton-Franklin Pgs 12-13'!J14+'Chelan-Douglas Pgs 14-15'!J14+'Clallam Pgs 16-17'!J14+'Clark Pgs 18-19'!J14+'Columbia Pgs 20-21'!J14+'Cowlitz Pgs 22-23'!J14+'Garfield Pgs 24-25'!J14+'Grant Pgs 26-27'!J14+'Grays Harbor Pgs 28-29'!J14+'Island Pgs 30-31'!J14+'Jefferson Pgs 32-33'!J14+'Kitsap Pgs 34-35'!J14+'Kittitas Pgs 36-37'!J14+'Klickitat Pgs 38-39'!J14+'Lewis Pgs 40-41'!J14+'Lincoln Pgs 42-43'!J14+'Mason Pgs 44-45'!J14+'Northeast Tri Pgs 46-47'!J14+'Okanogan Pgs 48-49'!J14+'Pacific Pgs 50-51'!J14+'San Juan Pgs 52-53'!J14+'Snohomish Pgs 60-61'!J14+'Spokane Pgs 62-63'!J14+'Tacoma-Pierce Pgs 64-65'!J14+'Thurston Pgs 66-67'!J14+'Wahkiakum Pgs 68-69'!J14+'Walla Walla Pgs 70-71'!J14+'Whatcom Pgs 72-73'!J14+'Whitman Pgs 74-75'!J14+'Yakima Pgs 76-77'!J14+'Seattle-King Pgs 54-55'!J14+'Skagit Pgs 56-57'!J14+'Skamania Pgs 58-59'!J14</f>
        <v>1956763</v>
      </c>
      <c r="K14" s="222">
        <f>'Adams Pgs 8-9'!K14+'Asotin Pgs 10-11'!K14+'Benton-Franklin Pgs 12-13'!K14+'Chelan-Douglas Pgs 14-15'!K14+'Clallam Pgs 16-17'!K14+'Clark Pgs 18-19'!K14+'Columbia Pgs 20-21'!K14+'Cowlitz Pgs 22-23'!K14+'Garfield Pgs 24-25'!K14+'Grant Pgs 26-27'!K14+'Grays Harbor Pgs 28-29'!K14+'Island Pgs 30-31'!K14+'Jefferson Pgs 32-33'!K14+'Kitsap Pgs 34-35'!K14+'Kittitas Pgs 36-37'!K14+'Klickitat Pgs 38-39'!K14+'Lewis Pgs 40-41'!K14+'Lincoln Pgs 42-43'!K14+'Mason Pgs 44-45'!K14+'Northeast Tri Pgs 46-47'!K14+'Okanogan Pgs 48-49'!K14+'Pacific Pgs 50-51'!K14+'San Juan Pgs 52-53'!K14+'Skagit Pgs 56-57'!K14+'Skamania Pgs 58-59'!K14+'Snohomish Pgs 60-61'!K14+'Spokane Pgs 62-63'!K14+'Tacoma-Pierce Pgs 64-65'!K14+'Thurston Pgs 66-67'!K14+'Wahkiakum Pgs 68-69'!K14+'Walla Walla Pgs 70-71'!K14+'Whatcom Pgs 72-73'!K14+'Whitman Pgs 74-75'!K14+'Yakima Pgs 76-77'!K14+'Seattle-King Pgs 54-55'!K14</f>
        <v>416575</v>
      </c>
      <c r="L14" s="223">
        <f t="shared" si="1"/>
        <v>15366019</v>
      </c>
    </row>
    <row r="15" spans="1:13" s="224" customFormat="1" ht="14.45" customHeight="1" x14ac:dyDescent="0.2">
      <c r="A15" s="214">
        <v>562.27</v>
      </c>
      <c r="B15" s="215" t="s">
        <v>44</v>
      </c>
      <c r="C15" s="216">
        <f>'Adams Pgs 8-9'!C15+'Asotin Pgs 10-11'!C15+'Benton-Franklin Pgs 12-13'!C15+'Chelan-Douglas Pgs 14-15'!C15+'Clallam Pgs 16-17'!C15+'Clark Pgs 18-19'!C15+'Columbia Pgs 20-21'!C15+'Cowlitz Pgs 22-23'!C15+'Garfield Pgs 24-25'!C15+'Grant Pgs 26-27'!C15+'Grays Harbor Pgs 28-29'!C15+'Island Pgs 30-31'!C15+'Jefferson Pgs 32-33'!C15+'Kitsap Pgs 34-35'!C15+'Kittitas Pgs 36-37'!C15+'Klickitat Pgs 38-39'!C15+'Lewis Pgs 40-41'!C15+'Lincoln Pgs 42-43'!C15+'Mason Pgs 44-45'!C15+'Northeast Tri Pgs 46-47'!C15+'Okanogan Pgs 48-49'!C15+'Pacific Pgs 50-51'!C15+'San Juan Pgs 52-53'!C15+'Skagit Pgs 56-57'!C15+'Skamania Pgs 58-59'!C15+'Snohomish Pgs 60-61'!C15+'Spokane Pgs 62-63'!C15+'Tacoma-Pierce Pgs 64-65'!C15+'Thurston Pgs 66-67'!C15+'Wahkiakum Pgs 68-69'!C15+'Walla Walla Pgs 70-71'!C15+'Whatcom Pgs 72-73'!C15+'Whitman Pgs 74-75'!C15+'Yakima Pgs 76-77'!C15+'Seattle-King Pgs 54-55'!C15</f>
        <v>3106</v>
      </c>
      <c r="D15" s="217">
        <f>'Adams Pgs 8-9'!D15+'Asotin Pgs 10-11'!D15+'Benton-Franklin Pgs 12-13'!D15+'Chelan-Douglas Pgs 14-15'!D15+'Clallam Pgs 16-17'!D15+'Clark Pgs 18-19'!D15+'Columbia Pgs 20-21'!D15+'Cowlitz Pgs 22-23'!D15+'Garfield Pgs 24-25'!D15+'Grant Pgs 26-27'!D15+'Grays Harbor Pgs 28-29'!D15+'Island Pgs 30-31'!D15+'Jefferson Pgs 32-33'!D15+'Kitsap Pgs 34-35'!D15+'Kittitas Pgs 36-37'!D15+'Klickitat Pgs 38-39'!D15+'Lewis Pgs 40-41'!D15+'Lincoln Pgs 42-43'!D15+'Mason Pgs 44-45'!D15+'Northeast Tri Pgs 46-47'!D15+'Okanogan Pgs 48-49'!D15+'Pacific Pgs 50-51'!D15+'San Juan Pgs 52-53'!D15+'Skagit Pgs 56-57'!D15+'Skamania Pgs 58-59'!D15+'Snohomish Pgs 60-61'!D15+'Spokane Pgs 62-63'!D15+'Tacoma-Pierce Pgs 64-65'!D15+'Thurston Pgs 66-67'!D15+'Wahkiakum Pgs 68-69'!D15+'Walla Walla Pgs 70-71'!D15+'Whatcom Pgs 72-73'!D15+'Whitman Pgs 74-75'!D15+'Yakima Pgs 76-77'!D15+'Seattle-King Pgs 54-55'!D15</f>
        <v>277061</v>
      </c>
      <c r="E15" s="218">
        <f>'Adams Pgs 8-9'!E15+'Asotin Pgs 10-11'!E15+'Benton-Franklin Pgs 12-13'!E15+'Chelan-Douglas Pgs 14-15'!E15+'Clallam Pgs 16-17'!E15+'Clark Pgs 18-19'!E15+'Columbia Pgs 20-21'!E15+'Cowlitz Pgs 22-23'!E15+'Garfield Pgs 24-25'!E15+'Grant Pgs 26-27'!E15+'Grays Harbor Pgs 28-29'!E15+'Island Pgs 30-31'!E15+'Jefferson Pgs 32-33'!E15+'Kitsap Pgs 34-35'!E15+'Kittitas Pgs 36-37'!E15+'Klickitat Pgs 38-39'!E15+'Lewis Pgs 40-41'!E15+'Lincoln Pgs 42-43'!E15+'Mason Pgs 44-45'!E15+'Northeast Tri Pgs 46-47'!E15+'Okanogan Pgs 48-49'!E15+'Pacific Pgs 50-51'!E15+'San Juan Pgs 52-53'!E15+'Skagit Pgs 56-57'!E15+'Skamania Pgs 58-59'!E15+'Snohomish Pgs 60-61'!E15+'Spokane Pgs 62-63'!E15+'Tacoma-Pierce Pgs 64-65'!E15+'Thurston Pgs 66-67'!E15+'Wahkiakum Pgs 68-69'!E15+'Walla Walla Pgs 70-71'!E15+'Whatcom Pgs 72-73'!E15+'Whitman Pgs 74-75'!E15+'Yakima Pgs 76-77'!E15+'Seattle-King Pgs 54-55'!E15</f>
        <v>105744</v>
      </c>
      <c r="F15" s="227" t="s">
        <v>154</v>
      </c>
      <c r="G15" s="220">
        <f>'Adams Pgs 8-9'!G15+'Asotin Pgs 10-11'!G15+'Benton-Franklin Pgs 12-13'!G15+'Chelan-Douglas Pgs 14-15'!G15+'Clallam Pgs 16-17'!G15+'Clark Pgs 18-19'!G15+'Columbia Pgs 20-21'!G15+'Cowlitz Pgs 22-23'!G15+'Garfield Pgs 24-25'!G15+'Grant Pgs 26-27'!G15+'Grays Harbor Pgs 28-29'!G15+'Island Pgs 30-31'!G15+'Jefferson Pgs 32-33'!G15+'Kitsap Pgs 34-35'!G15+'Kittitas Pgs 36-37'!G15+'Klickitat Pgs 38-39'!G15+'Lewis Pgs 40-41'!G15+'Lincoln Pgs 42-43'!G15+'Mason Pgs 44-45'!G15+'Northeast Tri Pgs 46-47'!G15+'Okanogan Pgs 48-49'!G15+'Pacific Pgs 50-51'!G15+'San Juan Pgs 52-53'!G15+'Skagit Pgs 56-57'!G15+'Skamania Pgs 58-59'!G15+'Snohomish Pgs 60-61'!G15+'Spokane Pgs 62-63'!G15+'Tacoma-Pierce Pgs 64-65'!G15+'Thurston Pgs 66-67'!G15+'Wahkiakum Pgs 68-69'!G15+'Walla Walla Pgs 70-71'!G15+'Whatcom Pgs 72-73'!G15+'Whitman Pgs 74-75'!G15+'Yakima Pgs 76-77'!G15+'Seattle-King Pgs 54-55'!G15</f>
        <v>25133</v>
      </c>
      <c r="H15" s="227" t="s">
        <v>154</v>
      </c>
      <c r="I15" s="221">
        <f>'Adams Pgs 8-9'!I15+'Asotin Pgs 10-11'!I15+'Benton-Franklin Pgs 12-13'!I15+'Chelan-Douglas Pgs 14-15'!I15+'Clallam Pgs 16-17'!I15+'Clark Pgs 18-19'!I15+'Columbia Pgs 20-21'!I15+'Cowlitz Pgs 22-23'!I15+'Garfield Pgs 24-25'!I15+'Grant Pgs 26-27'!I15+'Grays Harbor Pgs 28-29'!I15+'Island Pgs 30-31'!I15+'Jefferson Pgs 32-33'!I15+'Kitsap Pgs 34-35'!I15+'Kittitas Pgs 36-37'!I15+'Klickitat Pgs 38-39'!I15+'Lewis Pgs 40-41'!I15+'Lincoln Pgs 42-43'!I15+'Mason Pgs 44-45'!I15+'Northeast Tri Pgs 46-47'!I15+'Okanogan Pgs 48-49'!I15+'Pacific Pgs 50-51'!I15+'San Juan Pgs 52-53'!I15+'Skagit Pgs 56-57'!I15+'Skamania Pgs 58-59'!I15+'Snohomish Pgs 60-61'!I15+'Spokane Pgs 62-63'!I15+'Tacoma-Pierce Pgs 64-65'!I15+'Thurston Pgs 66-67'!I15+'Wahkiakum Pgs 68-69'!I15+'Walla Walla Pgs 70-71'!I15+'Whatcom Pgs 72-73'!I15+'Whitman Pgs 74-75'!I15+'Yakima Pgs 76-77'!I15+'Seattle-King Pgs 54-55'!I15</f>
        <v>470528</v>
      </c>
      <c r="J15" s="217">
        <f>'Adams Pgs 8-9'!J15+'Asotin Pgs 10-11'!J15+'Benton-Franklin Pgs 12-13'!J15+'Chelan-Douglas Pgs 14-15'!J15+'Clallam Pgs 16-17'!J15+'Clark Pgs 18-19'!J15+'Columbia Pgs 20-21'!J15+'Cowlitz Pgs 22-23'!J15+'Garfield Pgs 24-25'!J15+'Grant Pgs 26-27'!J15+'Grays Harbor Pgs 28-29'!J15+'Island Pgs 30-31'!J15+'Jefferson Pgs 32-33'!J15+'Kitsap Pgs 34-35'!J15+'Kittitas Pgs 36-37'!J15+'Klickitat Pgs 38-39'!J15+'Lewis Pgs 40-41'!J15+'Lincoln Pgs 42-43'!J15+'Mason Pgs 44-45'!J15+'Northeast Tri Pgs 46-47'!J15+'Okanogan Pgs 48-49'!J15+'Pacific Pgs 50-51'!J15+'San Juan Pgs 52-53'!J15+'Snohomish Pgs 60-61'!J15+'Spokane Pgs 62-63'!J15+'Tacoma-Pierce Pgs 64-65'!J15+'Thurston Pgs 66-67'!J15+'Wahkiakum Pgs 68-69'!J15+'Walla Walla Pgs 70-71'!J15+'Whatcom Pgs 72-73'!J15+'Whitman Pgs 74-75'!J15+'Yakima Pgs 76-77'!J15+'Seattle-King Pgs 54-55'!J15+'Skagit Pgs 56-57'!J15+'Skamania Pgs 58-59'!J15</f>
        <v>17410</v>
      </c>
      <c r="K15" s="222">
        <f>'Adams Pgs 8-9'!K15+'Asotin Pgs 10-11'!K15+'Benton-Franklin Pgs 12-13'!K15+'Chelan-Douglas Pgs 14-15'!K15+'Clallam Pgs 16-17'!K15+'Clark Pgs 18-19'!K15+'Columbia Pgs 20-21'!K15+'Cowlitz Pgs 22-23'!K15+'Garfield Pgs 24-25'!K15+'Grant Pgs 26-27'!K15+'Grays Harbor Pgs 28-29'!K15+'Island Pgs 30-31'!K15+'Jefferson Pgs 32-33'!K15+'Kitsap Pgs 34-35'!K15+'Kittitas Pgs 36-37'!K15+'Klickitat Pgs 38-39'!K15+'Lewis Pgs 40-41'!K15+'Lincoln Pgs 42-43'!K15+'Mason Pgs 44-45'!K15+'Northeast Tri Pgs 46-47'!K15+'Okanogan Pgs 48-49'!K15+'Pacific Pgs 50-51'!K15+'San Juan Pgs 52-53'!K15+'Skagit Pgs 56-57'!K15+'Skamania Pgs 58-59'!K15+'Snohomish Pgs 60-61'!K15+'Spokane Pgs 62-63'!K15+'Tacoma-Pierce Pgs 64-65'!K15+'Thurston Pgs 66-67'!K15+'Wahkiakum Pgs 68-69'!K15+'Walla Walla Pgs 70-71'!K15+'Whatcom Pgs 72-73'!K15+'Whitman Pgs 74-75'!K15+'Yakima Pgs 76-77'!K15+'Seattle-King Pgs 54-55'!K15</f>
        <v>30340</v>
      </c>
      <c r="L15" s="223">
        <f t="shared" si="1"/>
        <v>929322</v>
      </c>
    </row>
    <row r="16" spans="1:13" s="224" customFormat="1" ht="14.45" customHeight="1" x14ac:dyDescent="0.2">
      <c r="A16" s="214">
        <v>562.28</v>
      </c>
      <c r="B16" s="215" t="s">
        <v>53</v>
      </c>
      <c r="C16" s="216">
        <f>'Adams Pgs 8-9'!C16+'Asotin Pgs 10-11'!C16+'Benton-Franklin Pgs 12-13'!C16+'Chelan-Douglas Pgs 14-15'!C16+'Clallam Pgs 16-17'!C16+'Clark Pgs 18-19'!C16+'Columbia Pgs 20-21'!C16+'Cowlitz Pgs 22-23'!C16+'Garfield Pgs 24-25'!C16+'Grant Pgs 26-27'!C16+'Grays Harbor Pgs 28-29'!C16+'Island Pgs 30-31'!C16+'Jefferson Pgs 32-33'!C16+'Kitsap Pgs 34-35'!C16+'Kittitas Pgs 36-37'!C16+'Klickitat Pgs 38-39'!C16+'Lewis Pgs 40-41'!C16+'Lincoln Pgs 42-43'!C16+'Mason Pgs 44-45'!C16+'Northeast Tri Pgs 46-47'!C16+'Okanogan Pgs 48-49'!C16+'Pacific Pgs 50-51'!C16+'San Juan Pgs 52-53'!C16+'Skagit Pgs 56-57'!C16+'Skamania Pgs 58-59'!C16+'Snohomish Pgs 60-61'!C16+'Spokane Pgs 62-63'!C16+'Tacoma-Pierce Pgs 64-65'!C16+'Thurston Pgs 66-67'!C16+'Wahkiakum Pgs 68-69'!C16+'Walla Walla Pgs 70-71'!C16+'Whatcom Pgs 72-73'!C16+'Whitman Pgs 74-75'!C16+'Yakima Pgs 76-77'!C16+'Seattle-King Pgs 54-55'!C16</f>
        <v>2529452</v>
      </c>
      <c r="D16" s="217">
        <f>'Adams Pgs 8-9'!D16+'Asotin Pgs 10-11'!D16+'Benton-Franklin Pgs 12-13'!D16+'Chelan-Douglas Pgs 14-15'!D16+'Clallam Pgs 16-17'!D16+'Clark Pgs 18-19'!D16+'Columbia Pgs 20-21'!D16+'Cowlitz Pgs 22-23'!D16+'Garfield Pgs 24-25'!D16+'Grant Pgs 26-27'!D16+'Grays Harbor Pgs 28-29'!D16+'Island Pgs 30-31'!D16+'Jefferson Pgs 32-33'!D16+'Kitsap Pgs 34-35'!D16+'Kittitas Pgs 36-37'!D16+'Klickitat Pgs 38-39'!D16+'Lewis Pgs 40-41'!D16+'Lincoln Pgs 42-43'!D16+'Mason Pgs 44-45'!D16+'Northeast Tri Pgs 46-47'!D16+'Okanogan Pgs 48-49'!D16+'Pacific Pgs 50-51'!D16+'San Juan Pgs 52-53'!D16+'Skagit Pgs 56-57'!D16+'Skamania Pgs 58-59'!D16+'Snohomish Pgs 60-61'!D16+'Spokane Pgs 62-63'!D16+'Tacoma-Pierce Pgs 64-65'!D16+'Thurston Pgs 66-67'!D16+'Wahkiakum Pgs 68-69'!D16+'Walla Walla Pgs 70-71'!D16+'Whatcom Pgs 72-73'!D16+'Whitman Pgs 74-75'!D16+'Yakima Pgs 76-77'!D16+'Seattle-King Pgs 54-55'!D16</f>
        <v>2695</v>
      </c>
      <c r="E16" s="226" t="s">
        <v>154</v>
      </c>
      <c r="F16" s="227" t="s">
        <v>154</v>
      </c>
      <c r="G16" s="220">
        <f>'Adams Pgs 8-9'!G16+'Asotin Pgs 10-11'!G16+'Benton-Franklin Pgs 12-13'!G16+'Chelan-Douglas Pgs 14-15'!G16+'Clallam Pgs 16-17'!G16+'Clark Pgs 18-19'!G16+'Columbia Pgs 20-21'!G16+'Cowlitz Pgs 22-23'!G16+'Garfield Pgs 24-25'!G16+'Grant Pgs 26-27'!G16+'Grays Harbor Pgs 28-29'!G16+'Island Pgs 30-31'!G16+'Jefferson Pgs 32-33'!G16+'Kitsap Pgs 34-35'!G16+'Kittitas Pgs 36-37'!G16+'Klickitat Pgs 38-39'!G16+'Lewis Pgs 40-41'!G16+'Lincoln Pgs 42-43'!G16+'Mason Pgs 44-45'!G16+'Northeast Tri Pgs 46-47'!G16+'Okanogan Pgs 48-49'!G16+'Pacific Pgs 50-51'!G16+'San Juan Pgs 52-53'!G16+'Skagit Pgs 56-57'!G16+'Skamania Pgs 58-59'!G16+'Snohomish Pgs 60-61'!G16+'Spokane Pgs 62-63'!G16+'Tacoma-Pierce Pgs 64-65'!G16+'Thurston Pgs 66-67'!G16+'Wahkiakum Pgs 68-69'!G16+'Walla Walla Pgs 70-71'!G16+'Whatcom Pgs 72-73'!G16+'Whitman Pgs 74-75'!G16+'Yakima Pgs 76-77'!G16+'Seattle-King Pgs 54-55'!G16</f>
        <v>1826166</v>
      </c>
      <c r="H16" s="227" t="s">
        <v>154</v>
      </c>
      <c r="I16" s="221">
        <f>'Adams Pgs 8-9'!I16+'Asotin Pgs 10-11'!I16+'Benton-Franklin Pgs 12-13'!I16+'Chelan-Douglas Pgs 14-15'!I16+'Clallam Pgs 16-17'!I16+'Clark Pgs 18-19'!I16+'Columbia Pgs 20-21'!I16+'Cowlitz Pgs 22-23'!I16+'Garfield Pgs 24-25'!I16+'Grant Pgs 26-27'!I16+'Grays Harbor Pgs 28-29'!I16+'Island Pgs 30-31'!I16+'Jefferson Pgs 32-33'!I16+'Kitsap Pgs 34-35'!I16+'Kittitas Pgs 36-37'!I16+'Klickitat Pgs 38-39'!I16+'Lewis Pgs 40-41'!I16+'Lincoln Pgs 42-43'!I16+'Mason Pgs 44-45'!I16+'Northeast Tri Pgs 46-47'!I16+'Okanogan Pgs 48-49'!I16+'Pacific Pgs 50-51'!I16+'San Juan Pgs 52-53'!I16+'Skagit Pgs 56-57'!I16+'Skamania Pgs 58-59'!I16+'Snohomish Pgs 60-61'!I16+'Spokane Pgs 62-63'!I16+'Tacoma-Pierce Pgs 64-65'!I16+'Thurston Pgs 66-67'!I16+'Wahkiakum Pgs 68-69'!I16+'Walla Walla Pgs 70-71'!I16+'Whatcom Pgs 72-73'!I16+'Whitman Pgs 74-75'!I16+'Yakima Pgs 76-77'!I16+'Seattle-King Pgs 54-55'!I16</f>
        <v>13439161</v>
      </c>
      <c r="J16" s="217">
        <f>'Adams Pgs 8-9'!J16+'Asotin Pgs 10-11'!J16+'Benton-Franklin Pgs 12-13'!J16+'Chelan-Douglas Pgs 14-15'!J16+'Clallam Pgs 16-17'!J16+'Clark Pgs 18-19'!J16+'Columbia Pgs 20-21'!J16+'Cowlitz Pgs 22-23'!J16+'Garfield Pgs 24-25'!J16+'Grant Pgs 26-27'!J16+'Grays Harbor Pgs 28-29'!J16+'Island Pgs 30-31'!J16+'Jefferson Pgs 32-33'!J16+'Kitsap Pgs 34-35'!J16+'Kittitas Pgs 36-37'!J16+'Klickitat Pgs 38-39'!J16+'Lewis Pgs 40-41'!J16+'Lincoln Pgs 42-43'!J16+'Mason Pgs 44-45'!J16+'Northeast Tri Pgs 46-47'!J16+'Okanogan Pgs 48-49'!J16+'Pacific Pgs 50-51'!J16+'San Juan Pgs 52-53'!J16+'Snohomish Pgs 60-61'!J16+'Spokane Pgs 62-63'!J16+'Tacoma-Pierce Pgs 64-65'!J16+'Thurston Pgs 66-67'!J16+'Wahkiakum Pgs 68-69'!J16+'Walla Walla Pgs 70-71'!J16+'Whatcom Pgs 72-73'!J16+'Whitman Pgs 74-75'!J16+'Yakima Pgs 76-77'!J16+'Seattle-King Pgs 54-55'!J16+'Skagit Pgs 56-57'!J16+'Skamania Pgs 58-59'!J16</f>
        <v>116097</v>
      </c>
      <c r="K16" s="222">
        <f>'Adams Pgs 8-9'!K16+'Asotin Pgs 10-11'!K16+'Benton-Franklin Pgs 12-13'!K16+'Chelan-Douglas Pgs 14-15'!K16+'Clallam Pgs 16-17'!K16+'Clark Pgs 18-19'!K16+'Columbia Pgs 20-21'!K16+'Cowlitz Pgs 22-23'!K16+'Garfield Pgs 24-25'!K16+'Grant Pgs 26-27'!K16+'Grays Harbor Pgs 28-29'!K16+'Island Pgs 30-31'!K16+'Jefferson Pgs 32-33'!K16+'Kitsap Pgs 34-35'!K16+'Kittitas Pgs 36-37'!K16+'Klickitat Pgs 38-39'!K16+'Lewis Pgs 40-41'!K16+'Lincoln Pgs 42-43'!K16+'Mason Pgs 44-45'!K16+'Northeast Tri Pgs 46-47'!K16+'Okanogan Pgs 48-49'!K16+'Pacific Pgs 50-51'!K16+'San Juan Pgs 52-53'!K16+'Skagit Pgs 56-57'!K16+'Skamania Pgs 58-59'!K16+'Snohomish Pgs 60-61'!K16+'Spokane Pgs 62-63'!K16+'Tacoma-Pierce Pgs 64-65'!K16+'Thurston Pgs 66-67'!K16+'Wahkiakum Pgs 68-69'!K16+'Walla Walla Pgs 70-71'!K16+'Whatcom Pgs 72-73'!K16+'Whitman Pgs 74-75'!K16+'Yakima Pgs 76-77'!K16+'Seattle-King Pgs 54-55'!K16</f>
        <v>232124</v>
      </c>
      <c r="L16" s="223">
        <f t="shared" si="1"/>
        <v>18145695</v>
      </c>
    </row>
    <row r="17" spans="1:12" s="224" customFormat="1" ht="14.45" customHeight="1" x14ac:dyDescent="0.2">
      <c r="A17" s="214">
        <v>562.29</v>
      </c>
      <c r="B17" s="215" t="s">
        <v>45</v>
      </c>
      <c r="C17" s="216">
        <f>'Adams Pgs 8-9'!C17+'Asotin Pgs 10-11'!C17+'Benton-Franklin Pgs 12-13'!C17+'Chelan-Douglas Pgs 14-15'!C17+'Clallam Pgs 16-17'!C17+'Clark Pgs 18-19'!C17+'Columbia Pgs 20-21'!C17+'Cowlitz Pgs 22-23'!C17+'Garfield Pgs 24-25'!C17+'Grant Pgs 26-27'!C17+'Grays Harbor Pgs 28-29'!C17+'Island Pgs 30-31'!C17+'Jefferson Pgs 32-33'!C17+'Kitsap Pgs 34-35'!C17+'Kittitas Pgs 36-37'!C17+'Klickitat Pgs 38-39'!C17+'Lewis Pgs 40-41'!C17+'Lincoln Pgs 42-43'!C17+'Mason Pgs 44-45'!C17+'Northeast Tri Pgs 46-47'!C17+'Okanogan Pgs 48-49'!C17+'Pacific Pgs 50-51'!C17+'San Juan Pgs 52-53'!C17+'Skagit Pgs 56-57'!C17+'Skamania Pgs 58-59'!C17+'Snohomish Pgs 60-61'!C17+'Spokane Pgs 62-63'!C17+'Tacoma-Pierce Pgs 64-65'!C17+'Thurston Pgs 66-67'!C17+'Wahkiakum Pgs 68-69'!C17+'Walla Walla Pgs 70-71'!C17+'Whatcom Pgs 72-73'!C17+'Whitman Pgs 74-75'!C17+'Yakima Pgs 76-77'!C17+'Seattle-King Pgs 54-55'!C17</f>
        <v>10314389</v>
      </c>
      <c r="D17" s="217">
        <f>'Adams Pgs 8-9'!D17+'Asotin Pgs 10-11'!D17+'Benton-Franklin Pgs 12-13'!D17+'Chelan-Douglas Pgs 14-15'!D17+'Clallam Pgs 16-17'!D17+'Clark Pgs 18-19'!D17+'Columbia Pgs 20-21'!D17+'Cowlitz Pgs 22-23'!D17+'Garfield Pgs 24-25'!D17+'Grant Pgs 26-27'!D17+'Grays Harbor Pgs 28-29'!D17+'Island Pgs 30-31'!D17+'Jefferson Pgs 32-33'!D17+'Kitsap Pgs 34-35'!D17+'Kittitas Pgs 36-37'!D17+'Klickitat Pgs 38-39'!D17+'Lewis Pgs 40-41'!D17+'Lincoln Pgs 42-43'!D17+'Mason Pgs 44-45'!D17+'Northeast Tri Pgs 46-47'!D17+'Okanogan Pgs 48-49'!D17+'Pacific Pgs 50-51'!D17+'San Juan Pgs 52-53'!D17+'Skagit Pgs 56-57'!D17+'Skamania Pgs 58-59'!D17+'Snohomish Pgs 60-61'!D17+'Spokane Pgs 62-63'!D17+'Tacoma-Pierce Pgs 64-65'!D17+'Thurston Pgs 66-67'!D17+'Wahkiakum Pgs 68-69'!D17+'Walla Walla Pgs 70-71'!D17+'Whatcom Pgs 72-73'!D17+'Whitman Pgs 74-75'!D17+'Yakima Pgs 76-77'!D17+'Seattle-King Pgs 54-55'!D17</f>
        <v>9274864</v>
      </c>
      <c r="E17" s="226" t="s">
        <v>154</v>
      </c>
      <c r="F17" s="227" t="s">
        <v>154</v>
      </c>
      <c r="G17" s="220">
        <f>'Adams Pgs 8-9'!G17+'Asotin Pgs 10-11'!G17+'Benton-Franklin Pgs 12-13'!G17+'Chelan-Douglas Pgs 14-15'!G17+'Clallam Pgs 16-17'!G17+'Clark Pgs 18-19'!G17+'Columbia Pgs 20-21'!G17+'Cowlitz Pgs 22-23'!G17+'Garfield Pgs 24-25'!G17+'Grant Pgs 26-27'!G17+'Grays Harbor Pgs 28-29'!G17+'Island Pgs 30-31'!G17+'Jefferson Pgs 32-33'!G17+'Kitsap Pgs 34-35'!G17+'Kittitas Pgs 36-37'!G17+'Klickitat Pgs 38-39'!G17+'Lewis Pgs 40-41'!G17+'Lincoln Pgs 42-43'!G17+'Mason Pgs 44-45'!G17+'Northeast Tri Pgs 46-47'!G17+'Okanogan Pgs 48-49'!G17+'Pacific Pgs 50-51'!G17+'San Juan Pgs 52-53'!G17+'Skagit Pgs 56-57'!G17+'Skamania Pgs 58-59'!G17+'Snohomish Pgs 60-61'!G17+'Spokane Pgs 62-63'!G17+'Tacoma-Pierce Pgs 64-65'!G17+'Thurston Pgs 66-67'!G17+'Wahkiakum Pgs 68-69'!G17+'Walla Walla Pgs 70-71'!G17+'Whatcom Pgs 72-73'!G17+'Whitman Pgs 74-75'!G17+'Yakima Pgs 76-77'!G17+'Seattle-King Pgs 54-55'!G17</f>
        <v>906270</v>
      </c>
      <c r="H17" s="219">
        <f>'Adams Pgs 8-9'!H17+'Asotin Pgs 10-11'!H17+'Benton-Franklin Pgs 12-13'!H17+'Chelan-Douglas Pgs 14-15'!H17+'Clallam Pgs 16-17'!H17+'Clark Pgs 18-19'!H17+'Columbia Pgs 20-21'!H17+'Cowlitz Pgs 22-23'!H17+'Garfield Pgs 24-25'!H17+'Grant Pgs 26-27'!H17+'Grays Harbor Pgs 28-29'!H17+'Island Pgs 30-31'!H17+'Jefferson Pgs 32-33'!H17+'Kitsap Pgs 34-35'!H17+'Kittitas Pgs 36-37'!H17+'Klickitat Pgs 38-39'!H17+'Lewis Pgs 40-41'!H17+'Lincoln Pgs 42-43'!H17+'Mason Pgs 44-45'!H17+'Northeast Tri Pgs 46-47'!H17+'Okanogan Pgs 48-49'!H17+'Pacific Pgs 50-51'!H17+'San Juan Pgs 52-53'!H17+'Skagit Pgs 56-57'!H17+'Skamania Pgs 58-59'!H17+'Snohomish Pgs 60-61'!H17+'Spokane Pgs 62-63'!H17+'Tacoma-Pierce Pgs 64-65'!H17+'Thurston Pgs 66-67'!H17+'Wahkiakum Pgs 68-69'!H17+'Walla Walla Pgs 70-71'!H17+'Whatcom Pgs 72-73'!H17+'Whitman Pgs 74-75'!H17+'Yakima Pgs 76-77'!H17+'Seattle-King Pgs 54-55'!H17</f>
        <v>329630</v>
      </c>
      <c r="I17" s="221">
        <f>'Adams Pgs 8-9'!I17+'Asotin Pgs 10-11'!I17+'Benton-Franklin Pgs 12-13'!I17+'Chelan-Douglas Pgs 14-15'!I17+'Clallam Pgs 16-17'!I17+'Clark Pgs 18-19'!I17+'Columbia Pgs 20-21'!I17+'Cowlitz Pgs 22-23'!I17+'Garfield Pgs 24-25'!I17+'Grant Pgs 26-27'!I17+'Grays Harbor Pgs 28-29'!I17+'Island Pgs 30-31'!I17+'Jefferson Pgs 32-33'!I17+'Kitsap Pgs 34-35'!I17+'Kittitas Pgs 36-37'!I17+'Klickitat Pgs 38-39'!I17+'Lewis Pgs 40-41'!I17+'Lincoln Pgs 42-43'!I17+'Mason Pgs 44-45'!I17+'Northeast Tri Pgs 46-47'!I17+'Okanogan Pgs 48-49'!I17+'Pacific Pgs 50-51'!I17+'San Juan Pgs 52-53'!I17+'Skagit Pgs 56-57'!I17+'Skamania Pgs 58-59'!I17+'Snohomish Pgs 60-61'!I17+'Spokane Pgs 62-63'!I17+'Tacoma-Pierce Pgs 64-65'!I17+'Thurston Pgs 66-67'!I17+'Wahkiakum Pgs 68-69'!I17+'Walla Walla Pgs 70-71'!I17+'Whatcom Pgs 72-73'!I17+'Whitman Pgs 74-75'!I17+'Yakima Pgs 76-77'!I17+'Seattle-King Pgs 54-55'!I17</f>
        <v>273361</v>
      </c>
      <c r="J17" s="217">
        <f>'Adams Pgs 8-9'!J17+'Asotin Pgs 10-11'!J17+'Benton-Franklin Pgs 12-13'!J17+'Chelan-Douglas Pgs 14-15'!J17+'Clallam Pgs 16-17'!J17+'Clark Pgs 18-19'!J17+'Columbia Pgs 20-21'!J17+'Cowlitz Pgs 22-23'!J17+'Garfield Pgs 24-25'!J17+'Grant Pgs 26-27'!J17+'Grays Harbor Pgs 28-29'!J17+'Island Pgs 30-31'!J17+'Jefferson Pgs 32-33'!J17+'Kitsap Pgs 34-35'!J17+'Kittitas Pgs 36-37'!J17+'Klickitat Pgs 38-39'!J17+'Lewis Pgs 40-41'!J17+'Lincoln Pgs 42-43'!J17+'Mason Pgs 44-45'!J17+'Northeast Tri Pgs 46-47'!J17+'Okanogan Pgs 48-49'!J17+'Pacific Pgs 50-51'!J17+'San Juan Pgs 52-53'!J17+'Snohomish Pgs 60-61'!J17+'Spokane Pgs 62-63'!J17+'Tacoma-Pierce Pgs 64-65'!J17+'Thurston Pgs 66-67'!J17+'Wahkiakum Pgs 68-69'!J17+'Walla Walla Pgs 70-71'!J17+'Whatcom Pgs 72-73'!J17+'Whitman Pgs 74-75'!J17+'Yakima Pgs 76-77'!J17+'Seattle-King Pgs 54-55'!J17+'Skagit Pgs 56-57'!J17+'Skamania Pgs 58-59'!J17</f>
        <v>5658350</v>
      </c>
      <c r="K17" s="222">
        <f>'Adams Pgs 8-9'!K17+'Asotin Pgs 10-11'!K17+'Benton-Franklin Pgs 12-13'!K17+'Chelan-Douglas Pgs 14-15'!K17+'Clallam Pgs 16-17'!K17+'Clark Pgs 18-19'!K17+'Columbia Pgs 20-21'!K17+'Cowlitz Pgs 22-23'!K17+'Garfield Pgs 24-25'!K17+'Grant Pgs 26-27'!K17+'Grays Harbor Pgs 28-29'!K17+'Island Pgs 30-31'!K17+'Jefferson Pgs 32-33'!K17+'Kitsap Pgs 34-35'!K17+'Kittitas Pgs 36-37'!K17+'Klickitat Pgs 38-39'!K17+'Lewis Pgs 40-41'!K17+'Lincoln Pgs 42-43'!K17+'Mason Pgs 44-45'!K17+'Northeast Tri Pgs 46-47'!K17+'Okanogan Pgs 48-49'!K17+'Pacific Pgs 50-51'!K17+'San Juan Pgs 52-53'!K17+'Skagit Pgs 56-57'!K17+'Skamania Pgs 58-59'!K17+'Snohomish Pgs 60-61'!K17+'Spokane Pgs 62-63'!K17+'Tacoma-Pierce Pgs 64-65'!K17+'Thurston Pgs 66-67'!K17+'Wahkiakum Pgs 68-69'!K17+'Walla Walla Pgs 70-71'!K17+'Whatcom Pgs 72-73'!K17+'Whitman Pgs 74-75'!K17+'Yakima Pgs 76-77'!K17+'Seattle-King Pgs 54-55'!K17</f>
        <v>6095270</v>
      </c>
      <c r="L17" s="223">
        <f t="shared" si="1"/>
        <v>32852134</v>
      </c>
    </row>
    <row r="18" spans="1:12" s="224" customFormat="1" ht="14.45" customHeight="1" x14ac:dyDescent="0.2">
      <c r="A18" s="214">
        <v>562.32000000000005</v>
      </c>
      <c r="B18" s="215" t="s">
        <v>11</v>
      </c>
      <c r="C18" s="216">
        <f>'Adams Pgs 8-9'!C18+'Asotin Pgs 10-11'!C18+'Benton-Franklin Pgs 12-13'!C18+'Chelan-Douglas Pgs 14-15'!C18+'Clallam Pgs 16-17'!C18+'Clark Pgs 18-19'!C18+'Columbia Pgs 20-21'!C18+'Cowlitz Pgs 22-23'!C18+'Garfield Pgs 24-25'!C18+'Grant Pgs 26-27'!C18+'Grays Harbor Pgs 28-29'!C18+'Island Pgs 30-31'!C18+'Jefferson Pgs 32-33'!C18+'Kitsap Pgs 34-35'!C18+'Kittitas Pgs 36-37'!C18+'Klickitat Pgs 38-39'!C18+'Lewis Pgs 40-41'!C18+'Lincoln Pgs 42-43'!C18+'Mason Pgs 44-45'!C18+'Northeast Tri Pgs 46-47'!C18+'Okanogan Pgs 48-49'!C18+'Pacific Pgs 50-51'!C18+'San Juan Pgs 52-53'!C18+'Skagit Pgs 56-57'!C18+'Skamania Pgs 58-59'!C18+'Snohomish Pgs 60-61'!C18+'Spokane Pgs 62-63'!C18+'Tacoma-Pierce Pgs 64-65'!C18+'Thurston Pgs 66-67'!C18+'Wahkiakum Pgs 68-69'!C18+'Walla Walla Pgs 70-71'!C18+'Whatcom Pgs 72-73'!C18+'Whitman Pgs 74-75'!C18+'Yakima Pgs 76-77'!C18+'Seattle-King Pgs 54-55'!C18</f>
        <v>1049520</v>
      </c>
      <c r="D18" s="217">
        <f>'Adams Pgs 8-9'!D18+'Asotin Pgs 10-11'!D18+'Benton-Franklin Pgs 12-13'!D18+'Chelan-Douglas Pgs 14-15'!D18+'Clallam Pgs 16-17'!D18+'Clark Pgs 18-19'!D18+'Columbia Pgs 20-21'!D18+'Cowlitz Pgs 22-23'!D18+'Garfield Pgs 24-25'!D18+'Grant Pgs 26-27'!D18+'Grays Harbor Pgs 28-29'!D18+'Island Pgs 30-31'!D18+'Jefferson Pgs 32-33'!D18+'Kitsap Pgs 34-35'!D18+'Kittitas Pgs 36-37'!D18+'Klickitat Pgs 38-39'!D18+'Lewis Pgs 40-41'!D18+'Lincoln Pgs 42-43'!D18+'Mason Pgs 44-45'!D18+'Northeast Tri Pgs 46-47'!D18+'Okanogan Pgs 48-49'!D18+'Pacific Pgs 50-51'!D18+'San Juan Pgs 52-53'!D18+'Skagit Pgs 56-57'!D18+'Skamania Pgs 58-59'!D18+'Snohomish Pgs 60-61'!D18+'Spokane Pgs 62-63'!D18+'Tacoma-Pierce Pgs 64-65'!D18+'Thurston Pgs 66-67'!D18+'Wahkiakum Pgs 68-69'!D18+'Walla Walla Pgs 70-71'!D18+'Whatcom Pgs 72-73'!D18+'Whitman Pgs 74-75'!D18+'Yakima Pgs 76-77'!D18+'Seattle-King Pgs 54-55'!D18</f>
        <v>1258781</v>
      </c>
      <c r="E18" s="218">
        <f>'Adams Pgs 8-9'!E18+'Asotin Pgs 10-11'!E18+'Benton-Franklin Pgs 12-13'!E18+'Chelan-Douglas Pgs 14-15'!E18+'Clallam Pgs 16-17'!E18+'Clark Pgs 18-19'!E18+'Columbia Pgs 20-21'!E18+'Cowlitz Pgs 22-23'!E18+'Garfield Pgs 24-25'!E18+'Grant Pgs 26-27'!E18+'Grays Harbor Pgs 28-29'!E18+'Island Pgs 30-31'!E18+'Jefferson Pgs 32-33'!E18+'Kitsap Pgs 34-35'!E18+'Kittitas Pgs 36-37'!E18+'Klickitat Pgs 38-39'!E18+'Lewis Pgs 40-41'!E18+'Lincoln Pgs 42-43'!E18+'Mason Pgs 44-45'!E18+'Northeast Tri Pgs 46-47'!E18+'Okanogan Pgs 48-49'!E18+'Pacific Pgs 50-51'!E18+'San Juan Pgs 52-53'!E18+'Skagit Pgs 56-57'!E18+'Skamania Pgs 58-59'!E18+'Snohomish Pgs 60-61'!E18+'Spokane Pgs 62-63'!E18+'Tacoma-Pierce Pgs 64-65'!E18+'Thurston Pgs 66-67'!E18+'Wahkiakum Pgs 68-69'!E18+'Walla Walla Pgs 70-71'!E18+'Whatcom Pgs 72-73'!E18+'Whitman Pgs 74-75'!E18+'Yakima Pgs 76-77'!E18+'Seattle-King Pgs 54-55'!E18</f>
        <v>988</v>
      </c>
      <c r="F18" s="219">
        <f>'Adams Pgs 8-9'!F18+'Asotin Pgs 10-11'!F18+'Benton-Franklin Pgs 12-13'!F18+'Chelan-Douglas Pgs 14-15'!F18+'Clallam Pgs 16-17'!F18+'Clark Pgs 18-19'!F18+'Columbia Pgs 20-21'!F18+'Cowlitz Pgs 22-23'!F18+'Garfield Pgs 24-25'!F18+'Grant Pgs 26-27'!F18+'Grays Harbor Pgs 28-29'!F18+'Island Pgs 30-31'!F18+'Jefferson Pgs 32-33'!F18+'Kitsap Pgs 34-35'!F18+'Kittitas Pgs 36-37'!F18+'Klickitat Pgs 38-39'!F18+'Lewis Pgs 40-41'!F18+'Lincoln Pgs 42-43'!F18+'Mason Pgs 44-45'!F18+'Northeast Tri Pgs 46-47'!F18+'Okanogan Pgs 48-49'!F18+'Pacific Pgs 50-51'!F18+'San Juan Pgs 52-53'!F18+'Seattle-King Pgs 54-55'!F18+'Skagit Pgs 56-57'!F18+'Skamania Pgs 58-59'!F18+'Snohomish Pgs 60-61'!F18+'Spokane Pgs 62-63'!F18+'Tacoma-Pierce Pgs 64-65'!F18+'Thurston Pgs 66-67'!F18+'Wahkiakum Pgs 68-69'!F18+'Walla Walla Pgs 70-71'!F18+'Whatcom Pgs 72-73'!F18+'Whitman Pgs 74-75'!F18+'Yakima Pgs 76-77'!F18</f>
        <v>91427</v>
      </c>
      <c r="G18" s="220">
        <f>'Adams Pgs 8-9'!G18+'Asotin Pgs 10-11'!G18+'Benton-Franklin Pgs 12-13'!G18+'Chelan-Douglas Pgs 14-15'!G18+'Clallam Pgs 16-17'!G18+'Clark Pgs 18-19'!G18+'Columbia Pgs 20-21'!G18+'Cowlitz Pgs 22-23'!G18+'Garfield Pgs 24-25'!G18+'Grant Pgs 26-27'!G18+'Grays Harbor Pgs 28-29'!G18+'Island Pgs 30-31'!G18+'Jefferson Pgs 32-33'!G18+'Kitsap Pgs 34-35'!G18+'Kittitas Pgs 36-37'!G18+'Klickitat Pgs 38-39'!G18+'Lewis Pgs 40-41'!G18+'Lincoln Pgs 42-43'!G18+'Mason Pgs 44-45'!G18+'Northeast Tri Pgs 46-47'!G18+'Okanogan Pgs 48-49'!G18+'Pacific Pgs 50-51'!G18+'San Juan Pgs 52-53'!G18+'Skagit Pgs 56-57'!G18+'Skamania Pgs 58-59'!G18+'Snohomish Pgs 60-61'!G18+'Spokane Pgs 62-63'!G18+'Tacoma-Pierce Pgs 64-65'!G18+'Thurston Pgs 66-67'!G18+'Wahkiakum Pgs 68-69'!G18+'Walla Walla Pgs 70-71'!G18+'Whatcom Pgs 72-73'!G18+'Whitman Pgs 74-75'!G18+'Yakima Pgs 76-77'!G18+'Seattle-King Pgs 54-55'!G18</f>
        <v>1374796</v>
      </c>
      <c r="H18" s="219">
        <f>'Adams Pgs 8-9'!H18+'Asotin Pgs 10-11'!H18+'Benton-Franklin Pgs 12-13'!H18+'Chelan-Douglas Pgs 14-15'!H18+'Clallam Pgs 16-17'!H18+'Clark Pgs 18-19'!H18+'Columbia Pgs 20-21'!H18+'Cowlitz Pgs 22-23'!H18+'Garfield Pgs 24-25'!H18+'Grant Pgs 26-27'!H18+'Grays Harbor Pgs 28-29'!H18+'Island Pgs 30-31'!H18+'Jefferson Pgs 32-33'!H18+'Kitsap Pgs 34-35'!H18+'Kittitas Pgs 36-37'!H18+'Klickitat Pgs 38-39'!H18+'Lewis Pgs 40-41'!H18+'Lincoln Pgs 42-43'!H18+'Mason Pgs 44-45'!H18+'Northeast Tri Pgs 46-47'!H18+'Okanogan Pgs 48-49'!H18+'Pacific Pgs 50-51'!H18+'San Juan Pgs 52-53'!H18+'Skagit Pgs 56-57'!H18+'Skamania Pgs 58-59'!H18+'Snohomish Pgs 60-61'!H18+'Spokane Pgs 62-63'!H18+'Tacoma-Pierce Pgs 64-65'!H18+'Thurston Pgs 66-67'!H18+'Wahkiakum Pgs 68-69'!H18+'Walla Walla Pgs 70-71'!H18+'Whatcom Pgs 72-73'!H18+'Whitman Pgs 74-75'!H18+'Yakima Pgs 76-77'!H18+'Seattle-King Pgs 54-55'!H18</f>
        <v>84</v>
      </c>
      <c r="I18" s="221">
        <f>'Adams Pgs 8-9'!I18+'Asotin Pgs 10-11'!I18+'Benton-Franklin Pgs 12-13'!I18+'Chelan-Douglas Pgs 14-15'!I18+'Clallam Pgs 16-17'!I18+'Clark Pgs 18-19'!I18+'Columbia Pgs 20-21'!I18+'Cowlitz Pgs 22-23'!I18+'Garfield Pgs 24-25'!I18+'Grant Pgs 26-27'!I18+'Grays Harbor Pgs 28-29'!I18+'Island Pgs 30-31'!I18+'Jefferson Pgs 32-33'!I18+'Kitsap Pgs 34-35'!I18+'Kittitas Pgs 36-37'!I18+'Klickitat Pgs 38-39'!I18+'Lewis Pgs 40-41'!I18+'Lincoln Pgs 42-43'!I18+'Mason Pgs 44-45'!I18+'Northeast Tri Pgs 46-47'!I18+'Okanogan Pgs 48-49'!I18+'Pacific Pgs 50-51'!I18+'San Juan Pgs 52-53'!I18+'Skagit Pgs 56-57'!I18+'Skamania Pgs 58-59'!I18+'Snohomish Pgs 60-61'!I18+'Spokane Pgs 62-63'!I18+'Tacoma-Pierce Pgs 64-65'!I18+'Thurston Pgs 66-67'!I18+'Wahkiakum Pgs 68-69'!I18+'Walla Walla Pgs 70-71'!I18+'Whatcom Pgs 72-73'!I18+'Whitman Pgs 74-75'!I18+'Yakima Pgs 76-77'!I18+'Seattle-King Pgs 54-55'!I18</f>
        <v>1348161</v>
      </c>
      <c r="J18" s="217">
        <f>'Adams Pgs 8-9'!J18+'Asotin Pgs 10-11'!J18+'Benton-Franklin Pgs 12-13'!J18+'Chelan-Douglas Pgs 14-15'!J18+'Clallam Pgs 16-17'!J18+'Clark Pgs 18-19'!J18+'Columbia Pgs 20-21'!J18+'Cowlitz Pgs 22-23'!J18+'Garfield Pgs 24-25'!J18+'Grant Pgs 26-27'!J18+'Grays Harbor Pgs 28-29'!J18+'Island Pgs 30-31'!J18+'Jefferson Pgs 32-33'!J18+'Kitsap Pgs 34-35'!J18+'Kittitas Pgs 36-37'!J18+'Klickitat Pgs 38-39'!J18+'Lewis Pgs 40-41'!J18+'Lincoln Pgs 42-43'!J18+'Mason Pgs 44-45'!J18+'Northeast Tri Pgs 46-47'!J18+'Okanogan Pgs 48-49'!J18+'Pacific Pgs 50-51'!J18+'San Juan Pgs 52-53'!J18+'Snohomish Pgs 60-61'!J18+'Spokane Pgs 62-63'!J18+'Tacoma-Pierce Pgs 64-65'!J18+'Thurston Pgs 66-67'!J18+'Wahkiakum Pgs 68-69'!J18+'Walla Walla Pgs 70-71'!J18+'Whatcom Pgs 72-73'!J18+'Whitman Pgs 74-75'!J18+'Yakima Pgs 76-77'!J18+'Seattle-King Pgs 54-55'!J18+'Skagit Pgs 56-57'!J18+'Skamania Pgs 58-59'!J18</f>
        <v>331162</v>
      </c>
      <c r="K18" s="222">
        <f>'Adams Pgs 8-9'!K18+'Asotin Pgs 10-11'!K18+'Benton-Franklin Pgs 12-13'!K18+'Chelan-Douglas Pgs 14-15'!K18+'Clallam Pgs 16-17'!K18+'Clark Pgs 18-19'!K18+'Columbia Pgs 20-21'!K18+'Cowlitz Pgs 22-23'!K18+'Garfield Pgs 24-25'!K18+'Grant Pgs 26-27'!K18+'Grays Harbor Pgs 28-29'!K18+'Island Pgs 30-31'!K18+'Jefferson Pgs 32-33'!K18+'Kitsap Pgs 34-35'!K18+'Kittitas Pgs 36-37'!K18+'Klickitat Pgs 38-39'!K18+'Lewis Pgs 40-41'!K18+'Lincoln Pgs 42-43'!K18+'Mason Pgs 44-45'!K18+'Northeast Tri Pgs 46-47'!K18+'Okanogan Pgs 48-49'!K18+'Pacific Pgs 50-51'!K18+'San Juan Pgs 52-53'!K18+'Skagit Pgs 56-57'!K18+'Skamania Pgs 58-59'!K18+'Snohomish Pgs 60-61'!K18+'Spokane Pgs 62-63'!K18+'Tacoma-Pierce Pgs 64-65'!K18+'Thurston Pgs 66-67'!K18+'Wahkiakum Pgs 68-69'!K18+'Walla Walla Pgs 70-71'!K18+'Whatcom Pgs 72-73'!K18+'Whitman Pgs 74-75'!K18+'Yakima Pgs 76-77'!K18+'Seattle-King Pgs 54-55'!K18</f>
        <v>190565</v>
      </c>
      <c r="L18" s="223">
        <f t="shared" si="1"/>
        <v>5645484</v>
      </c>
    </row>
    <row r="19" spans="1:12" s="224" customFormat="1" ht="14.45" customHeight="1" x14ac:dyDescent="0.2">
      <c r="A19" s="214">
        <v>562.33000000000004</v>
      </c>
      <c r="B19" s="215" t="s">
        <v>54</v>
      </c>
      <c r="C19" s="216">
        <f>'Adams Pgs 8-9'!C19+'Asotin Pgs 10-11'!C19+'Benton-Franklin Pgs 12-13'!C19+'Chelan-Douglas Pgs 14-15'!C19+'Clallam Pgs 16-17'!C19+'Clark Pgs 18-19'!C19+'Columbia Pgs 20-21'!C19+'Cowlitz Pgs 22-23'!C19+'Garfield Pgs 24-25'!C19+'Grant Pgs 26-27'!C19+'Grays Harbor Pgs 28-29'!C19+'Island Pgs 30-31'!C19+'Jefferson Pgs 32-33'!C19+'Kitsap Pgs 34-35'!C19+'Kittitas Pgs 36-37'!C19+'Klickitat Pgs 38-39'!C19+'Lewis Pgs 40-41'!C19+'Lincoln Pgs 42-43'!C19+'Mason Pgs 44-45'!C19+'Northeast Tri Pgs 46-47'!C19+'Okanogan Pgs 48-49'!C19+'Pacific Pgs 50-51'!C19+'San Juan Pgs 52-53'!C19+'Skagit Pgs 56-57'!C19+'Skamania Pgs 58-59'!C19+'Snohomish Pgs 60-61'!C19+'Spokane Pgs 62-63'!C19+'Tacoma-Pierce Pgs 64-65'!C19+'Thurston Pgs 66-67'!C19+'Wahkiakum Pgs 68-69'!C19+'Walla Walla Pgs 70-71'!C19+'Whatcom Pgs 72-73'!C19+'Whitman Pgs 74-75'!C19+'Yakima Pgs 76-77'!C19+'Seattle-King Pgs 54-55'!C19</f>
        <v>1340208</v>
      </c>
      <c r="D19" s="217">
        <f>'Adams Pgs 8-9'!D19+'Asotin Pgs 10-11'!D19+'Benton-Franklin Pgs 12-13'!D19+'Chelan-Douglas Pgs 14-15'!D19+'Clallam Pgs 16-17'!D19+'Clark Pgs 18-19'!D19+'Columbia Pgs 20-21'!D19+'Cowlitz Pgs 22-23'!D19+'Garfield Pgs 24-25'!D19+'Grant Pgs 26-27'!D19+'Grays Harbor Pgs 28-29'!D19+'Island Pgs 30-31'!D19+'Jefferson Pgs 32-33'!D19+'Kitsap Pgs 34-35'!D19+'Kittitas Pgs 36-37'!D19+'Klickitat Pgs 38-39'!D19+'Lewis Pgs 40-41'!D19+'Lincoln Pgs 42-43'!D19+'Mason Pgs 44-45'!D19+'Northeast Tri Pgs 46-47'!D19+'Okanogan Pgs 48-49'!D19+'Pacific Pgs 50-51'!D19+'San Juan Pgs 52-53'!D19+'Skagit Pgs 56-57'!D19+'Skamania Pgs 58-59'!D19+'Snohomish Pgs 60-61'!D19+'Spokane Pgs 62-63'!D19+'Tacoma-Pierce Pgs 64-65'!D19+'Thurston Pgs 66-67'!D19+'Wahkiakum Pgs 68-69'!D19+'Walla Walla Pgs 70-71'!D19+'Whatcom Pgs 72-73'!D19+'Whitman Pgs 74-75'!D19+'Yakima Pgs 76-77'!D19+'Seattle-King Pgs 54-55'!D19</f>
        <v>983652</v>
      </c>
      <c r="E19" s="218">
        <f>'Adams Pgs 8-9'!E19+'Asotin Pgs 10-11'!E19+'Benton-Franklin Pgs 12-13'!E19+'Chelan-Douglas Pgs 14-15'!E19+'Clallam Pgs 16-17'!E19+'Clark Pgs 18-19'!E19+'Columbia Pgs 20-21'!E19+'Cowlitz Pgs 22-23'!E19+'Garfield Pgs 24-25'!E19+'Grant Pgs 26-27'!E19+'Grays Harbor Pgs 28-29'!E19+'Island Pgs 30-31'!E19+'Jefferson Pgs 32-33'!E19+'Kitsap Pgs 34-35'!E19+'Kittitas Pgs 36-37'!E19+'Klickitat Pgs 38-39'!E19+'Lewis Pgs 40-41'!E19+'Lincoln Pgs 42-43'!E19+'Mason Pgs 44-45'!E19+'Northeast Tri Pgs 46-47'!E19+'Okanogan Pgs 48-49'!E19+'Pacific Pgs 50-51'!E19+'San Juan Pgs 52-53'!E19+'Skagit Pgs 56-57'!E19+'Skamania Pgs 58-59'!E19+'Snohomish Pgs 60-61'!E19+'Spokane Pgs 62-63'!E19+'Tacoma-Pierce Pgs 64-65'!E19+'Thurston Pgs 66-67'!E19+'Wahkiakum Pgs 68-69'!E19+'Walla Walla Pgs 70-71'!E19+'Whatcom Pgs 72-73'!E19+'Whitman Pgs 74-75'!E19+'Yakima Pgs 76-77'!E19+'Seattle-King Pgs 54-55'!E19</f>
        <v>1418716</v>
      </c>
      <c r="F19" s="219">
        <f>'Adams Pgs 8-9'!F19+'Asotin Pgs 10-11'!F19+'Benton-Franklin Pgs 12-13'!F19+'Chelan-Douglas Pgs 14-15'!F19+'Clallam Pgs 16-17'!F19+'Clark Pgs 18-19'!F19+'Columbia Pgs 20-21'!F19+'Cowlitz Pgs 22-23'!F19+'Garfield Pgs 24-25'!F19+'Grant Pgs 26-27'!F19+'Grays Harbor Pgs 28-29'!F19+'Island Pgs 30-31'!F19+'Jefferson Pgs 32-33'!F19+'Kitsap Pgs 34-35'!F19+'Kittitas Pgs 36-37'!F19+'Klickitat Pgs 38-39'!F19+'Lewis Pgs 40-41'!F19+'Lincoln Pgs 42-43'!F19+'Mason Pgs 44-45'!F19+'Northeast Tri Pgs 46-47'!F19+'Okanogan Pgs 48-49'!F19+'Pacific Pgs 50-51'!F19+'San Juan Pgs 52-53'!F19+'Seattle-King Pgs 54-55'!F19+'Skagit Pgs 56-57'!F19+'Skamania Pgs 58-59'!F19+'Snohomish Pgs 60-61'!F19+'Spokane Pgs 62-63'!F19+'Tacoma-Pierce Pgs 64-65'!F19+'Thurston Pgs 66-67'!F19+'Wahkiakum Pgs 68-69'!F19+'Walla Walla Pgs 70-71'!F19+'Whatcom Pgs 72-73'!F19+'Whitman Pgs 74-75'!F19+'Yakima Pgs 76-77'!F19</f>
        <v>251773</v>
      </c>
      <c r="G19" s="220">
        <f>'Adams Pgs 8-9'!G19+'Asotin Pgs 10-11'!G19+'Benton-Franklin Pgs 12-13'!G19+'Chelan-Douglas Pgs 14-15'!G19+'Clallam Pgs 16-17'!G19+'Clark Pgs 18-19'!G19+'Columbia Pgs 20-21'!G19+'Cowlitz Pgs 22-23'!G19+'Garfield Pgs 24-25'!G19+'Grant Pgs 26-27'!G19+'Grays Harbor Pgs 28-29'!G19+'Island Pgs 30-31'!G19+'Jefferson Pgs 32-33'!G19+'Kitsap Pgs 34-35'!G19+'Kittitas Pgs 36-37'!G19+'Klickitat Pgs 38-39'!G19+'Lewis Pgs 40-41'!G19+'Lincoln Pgs 42-43'!G19+'Mason Pgs 44-45'!G19+'Northeast Tri Pgs 46-47'!G19+'Okanogan Pgs 48-49'!G19+'Pacific Pgs 50-51'!G19+'San Juan Pgs 52-53'!G19+'Skagit Pgs 56-57'!G19+'Skamania Pgs 58-59'!G19+'Snohomish Pgs 60-61'!G19+'Spokane Pgs 62-63'!G19+'Tacoma-Pierce Pgs 64-65'!G19+'Thurston Pgs 66-67'!G19+'Wahkiakum Pgs 68-69'!G19+'Walla Walla Pgs 70-71'!G19+'Whatcom Pgs 72-73'!G19+'Whitman Pgs 74-75'!G19+'Yakima Pgs 76-77'!G19+'Seattle-King Pgs 54-55'!G19</f>
        <v>695916</v>
      </c>
      <c r="H19" s="227" t="s">
        <v>154</v>
      </c>
      <c r="I19" s="221">
        <f>'Adams Pgs 8-9'!I19+'Asotin Pgs 10-11'!I19+'Benton-Franklin Pgs 12-13'!I19+'Chelan-Douglas Pgs 14-15'!I19+'Clallam Pgs 16-17'!I19+'Clark Pgs 18-19'!I19+'Columbia Pgs 20-21'!I19+'Cowlitz Pgs 22-23'!I19+'Garfield Pgs 24-25'!I19+'Grant Pgs 26-27'!I19+'Grays Harbor Pgs 28-29'!I19+'Island Pgs 30-31'!I19+'Jefferson Pgs 32-33'!I19+'Kitsap Pgs 34-35'!I19+'Kittitas Pgs 36-37'!I19+'Klickitat Pgs 38-39'!I19+'Lewis Pgs 40-41'!I19+'Lincoln Pgs 42-43'!I19+'Mason Pgs 44-45'!I19+'Northeast Tri Pgs 46-47'!I19+'Okanogan Pgs 48-49'!I19+'Pacific Pgs 50-51'!I19+'San Juan Pgs 52-53'!I19+'Skagit Pgs 56-57'!I19+'Skamania Pgs 58-59'!I19+'Snohomish Pgs 60-61'!I19+'Spokane Pgs 62-63'!I19+'Tacoma-Pierce Pgs 64-65'!I19+'Thurston Pgs 66-67'!I19+'Wahkiakum Pgs 68-69'!I19+'Walla Walla Pgs 70-71'!I19+'Whatcom Pgs 72-73'!I19+'Whitman Pgs 74-75'!I19+'Yakima Pgs 76-77'!I19+'Seattle-King Pgs 54-55'!I19</f>
        <v>3073074</v>
      </c>
      <c r="J19" s="217">
        <f>'Adams Pgs 8-9'!J19+'Asotin Pgs 10-11'!J19+'Benton-Franklin Pgs 12-13'!J19+'Chelan-Douglas Pgs 14-15'!J19+'Clallam Pgs 16-17'!J19+'Clark Pgs 18-19'!J19+'Columbia Pgs 20-21'!J19+'Cowlitz Pgs 22-23'!J19+'Garfield Pgs 24-25'!J19+'Grant Pgs 26-27'!J19+'Grays Harbor Pgs 28-29'!J19+'Island Pgs 30-31'!J19+'Jefferson Pgs 32-33'!J19+'Kitsap Pgs 34-35'!J19+'Kittitas Pgs 36-37'!J19+'Klickitat Pgs 38-39'!J19+'Lewis Pgs 40-41'!J19+'Lincoln Pgs 42-43'!J19+'Mason Pgs 44-45'!J19+'Northeast Tri Pgs 46-47'!J19+'Okanogan Pgs 48-49'!J19+'Pacific Pgs 50-51'!J19+'San Juan Pgs 52-53'!J19+'Snohomish Pgs 60-61'!J19+'Spokane Pgs 62-63'!J19+'Tacoma-Pierce Pgs 64-65'!J19+'Thurston Pgs 66-67'!J19+'Wahkiakum Pgs 68-69'!J19+'Walla Walla Pgs 70-71'!J19+'Whatcom Pgs 72-73'!J19+'Whitman Pgs 74-75'!J19+'Yakima Pgs 76-77'!J19+'Seattle-King Pgs 54-55'!J19+'Skagit Pgs 56-57'!J19+'Skamania Pgs 58-59'!J19</f>
        <v>183833</v>
      </c>
      <c r="K19" s="222">
        <f>'Adams Pgs 8-9'!K19+'Asotin Pgs 10-11'!K19+'Benton-Franklin Pgs 12-13'!K19+'Chelan-Douglas Pgs 14-15'!K19+'Clallam Pgs 16-17'!K19+'Clark Pgs 18-19'!K19+'Columbia Pgs 20-21'!K19+'Cowlitz Pgs 22-23'!K19+'Garfield Pgs 24-25'!K19+'Grant Pgs 26-27'!K19+'Grays Harbor Pgs 28-29'!K19+'Island Pgs 30-31'!K19+'Jefferson Pgs 32-33'!K19+'Kitsap Pgs 34-35'!K19+'Kittitas Pgs 36-37'!K19+'Klickitat Pgs 38-39'!K19+'Lewis Pgs 40-41'!K19+'Lincoln Pgs 42-43'!K19+'Mason Pgs 44-45'!K19+'Northeast Tri Pgs 46-47'!K19+'Okanogan Pgs 48-49'!K19+'Pacific Pgs 50-51'!K19+'San Juan Pgs 52-53'!K19+'Skagit Pgs 56-57'!K19+'Skamania Pgs 58-59'!K19+'Snohomish Pgs 60-61'!K19+'Spokane Pgs 62-63'!K19+'Tacoma-Pierce Pgs 64-65'!K19+'Thurston Pgs 66-67'!K19+'Wahkiakum Pgs 68-69'!K19+'Walla Walla Pgs 70-71'!K19+'Whatcom Pgs 72-73'!K19+'Whitman Pgs 74-75'!K19+'Yakima Pgs 76-77'!K19+'Seattle-King Pgs 54-55'!K19</f>
        <v>10196</v>
      </c>
      <c r="L19" s="223">
        <f t="shared" si="1"/>
        <v>7957368</v>
      </c>
    </row>
    <row r="20" spans="1:12" s="224" customFormat="1" ht="14.45" customHeight="1" x14ac:dyDescent="0.2">
      <c r="A20" s="214">
        <v>562.34</v>
      </c>
      <c r="B20" s="215" t="s">
        <v>12</v>
      </c>
      <c r="C20" s="216">
        <f>'Adams Pgs 8-9'!C20+'Asotin Pgs 10-11'!C20+'Benton-Franklin Pgs 12-13'!C20+'Chelan-Douglas Pgs 14-15'!C20+'Clallam Pgs 16-17'!C20+'Clark Pgs 18-19'!C20+'Columbia Pgs 20-21'!C20+'Cowlitz Pgs 22-23'!C20+'Garfield Pgs 24-25'!C20+'Grant Pgs 26-27'!C20+'Grays Harbor Pgs 28-29'!C20+'Island Pgs 30-31'!C20+'Jefferson Pgs 32-33'!C20+'Kitsap Pgs 34-35'!C20+'Kittitas Pgs 36-37'!C20+'Klickitat Pgs 38-39'!C20+'Lewis Pgs 40-41'!C20+'Lincoln Pgs 42-43'!C20+'Mason Pgs 44-45'!C20+'Northeast Tri Pgs 46-47'!C20+'Okanogan Pgs 48-49'!C20+'Pacific Pgs 50-51'!C20+'San Juan Pgs 52-53'!C20+'Skagit Pgs 56-57'!C20+'Skamania Pgs 58-59'!C20+'Snohomish Pgs 60-61'!C20+'Spokane Pgs 62-63'!C20+'Tacoma-Pierce Pgs 64-65'!C20+'Thurston Pgs 66-67'!C20+'Wahkiakum Pgs 68-69'!C20+'Walla Walla Pgs 70-71'!C20+'Whatcom Pgs 72-73'!C20+'Whitman Pgs 74-75'!C20+'Yakima Pgs 76-77'!C20+'Seattle-King Pgs 54-55'!C20</f>
        <v>5888275</v>
      </c>
      <c r="D20" s="217">
        <f>'Adams Pgs 8-9'!D20+'Asotin Pgs 10-11'!D20+'Benton-Franklin Pgs 12-13'!D20+'Chelan-Douglas Pgs 14-15'!D20+'Clallam Pgs 16-17'!D20+'Clark Pgs 18-19'!D20+'Columbia Pgs 20-21'!D20+'Cowlitz Pgs 22-23'!D20+'Garfield Pgs 24-25'!D20+'Grant Pgs 26-27'!D20+'Grays Harbor Pgs 28-29'!D20+'Island Pgs 30-31'!D20+'Jefferson Pgs 32-33'!D20+'Kitsap Pgs 34-35'!D20+'Kittitas Pgs 36-37'!D20+'Klickitat Pgs 38-39'!D20+'Lewis Pgs 40-41'!D20+'Lincoln Pgs 42-43'!D20+'Mason Pgs 44-45'!D20+'Northeast Tri Pgs 46-47'!D20+'Okanogan Pgs 48-49'!D20+'Pacific Pgs 50-51'!D20+'San Juan Pgs 52-53'!D20+'Skagit Pgs 56-57'!D20+'Skamania Pgs 58-59'!D20+'Snohomish Pgs 60-61'!D20+'Spokane Pgs 62-63'!D20+'Tacoma-Pierce Pgs 64-65'!D20+'Thurston Pgs 66-67'!D20+'Wahkiakum Pgs 68-69'!D20+'Walla Walla Pgs 70-71'!D20+'Whatcom Pgs 72-73'!D20+'Whitman Pgs 74-75'!D20+'Yakima Pgs 76-77'!D20+'Seattle-King Pgs 54-55'!D20</f>
        <v>860273</v>
      </c>
      <c r="E20" s="218">
        <f>'Adams Pgs 8-9'!E20+'Asotin Pgs 10-11'!E20+'Benton-Franklin Pgs 12-13'!E20+'Chelan-Douglas Pgs 14-15'!E20+'Clallam Pgs 16-17'!E20+'Clark Pgs 18-19'!E20+'Columbia Pgs 20-21'!E20+'Cowlitz Pgs 22-23'!E20+'Garfield Pgs 24-25'!E20+'Grant Pgs 26-27'!E20+'Grays Harbor Pgs 28-29'!E20+'Island Pgs 30-31'!E20+'Jefferson Pgs 32-33'!E20+'Kitsap Pgs 34-35'!E20+'Kittitas Pgs 36-37'!E20+'Klickitat Pgs 38-39'!E20+'Lewis Pgs 40-41'!E20+'Lincoln Pgs 42-43'!E20+'Mason Pgs 44-45'!E20+'Northeast Tri Pgs 46-47'!E20+'Okanogan Pgs 48-49'!E20+'Pacific Pgs 50-51'!E20+'San Juan Pgs 52-53'!E20+'Skagit Pgs 56-57'!E20+'Skamania Pgs 58-59'!E20+'Snohomish Pgs 60-61'!E20+'Spokane Pgs 62-63'!E20+'Tacoma-Pierce Pgs 64-65'!E20+'Thurston Pgs 66-67'!E20+'Wahkiakum Pgs 68-69'!E20+'Walla Walla Pgs 70-71'!E20+'Whatcom Pgs 72-73'!E20+'Whitman Pgs 74-75'!E20+'Yakima Pgs 76-77'!E20+'Seattle-King Pgs 54-55'!E20</f>
        <v>106485</v>
      </c>
      <c r="F20" s="219">
        <f>'Adams Pgs 8-9'!F20+'Asotin Pgs 10-11'!F20+'Benton-Franklin Pgs 12-13'!F20+'Chelan-Douglas Pgs 14-15'!F20+'Clallam Pgs 16-17'!F20+'Clark Pgs 18-19'!F20+'Columbia Pgs 20-21'!F20+'Cowlitz Pgs 22-23'!F20+'Garfield Pgs 24-25'!F20+'Grant Pgs 26-27'!F20+'Grays Harbor Pgs 28-29'!F20+'Island Pgs 30-31'!F20+'Jefferson Pgs 32-33'!F20+'Kitsap Pgs 34-35'!F20+'Kittitas Pgs 36-37'!F20+'Klickitat Pgs 38-39'!F20+'Lewis Pgs 40-41'!F20+'Lincoln Pgs 42-43'!F20+'Mason Pgs 44-45'!F20+'Northeast Tri Pgs 46-47'!F20+'Okanogan Pgs 48-49'!F20+'Pacific Pgs 50-51'!F20+'San Juan Pgs 52-53'!F20+'Seattle-King Pgs 54-55'!F20+'Skagit Pgs 56-57'!F20+'Skamania Pgs 58-59'!F20+'Snohomish Pgs 60-61'!F20+'Spokane Pgs 62-63'!F20+'Tacoma-Pierce Pgs 64-65'!F20+'Thurston Pgs 66-67'!F20+'Wahkiakum Pgs 68-69'!F20+'Walla Walla Pgs 70-71'!F20+'Whatcom Pgs 72-73'!F20+'Whitman Pgs 74-75'!F20+'Yakima Pgs 76-77'!F20</f>
        <v>981545</v>
      </c>
      <c r="G20" s="220">
        <f>'Adams Pgs 8-9'!G20+'Asotin Pgs 10-11'!G20+'Benton-Franklin Pgs 12-13'!G20+'Chelan-Douglas Pgs 14-15'!G20+'Clallam Pgs 16-17'!G20+'Clark Pgs 18-19'!G20+'Columbia Pgs 20-21'!G20+'Cowlitz Pgs 22-23'!G20+'Garfield Pgs 24-25'!G20+'Grant Pgs 26-27'!G20+'Grays Harbor Pgs 28-29'!G20+'Island Pgs 30-31'!G20+'Jefferson Pgs 32-33'!G20+'Kitsap Pgs 34-35'!G20+'Kittitas Pgs 36-37'!G20+'Klickitat Pgs 38-39'!G20+'Lewis Pgs 40-41'!G20+'Lincoln Pgs 42-43'!G20+'Mason Pgs 44-45'!G20+'Northeast Tri Pgs 46-47'!G20+'Okanogan Pgs 48-49'!G20+'Pacific Pgs 50-51'!G20+'San Juan Pgs 52-53'!G20+'Skagit Pgs 56-57'!G20+'Skamania Pgs 58-59'!G20+'Snohomish Pgs 60-61'!G20+'Spokane Pgs 62-63'!G20+'Tacoma-Pierce Pgs 64-65'!G20+'Thurston Pgs 66-67'!G20+'Wahkiakum Pgs 68-69'!G20+'Walla Walla Pgs 70-71'!G20+'Whatcom Pgs 72-73'!G20+'Whitman Pgs 74-75'!G20+'Yakima Pgs 76-77'!G20+'Seattle-King Pgs 54-55'!G20</f>
        <v>1490263</v>
      </c>
      <c r="H20" s="227" t="s">
        <v>154</v>
      </c>
      <c r="I20" s="221">
        <f>'Adams Pgs 8-9'!I20+'Asotin Pgs 10-11'!I20+'Benton-Franklin Pgs 12-13'!I20+'Chelan-Douglas Pgs 14-15'!I20+'Clallam Pgs 16-17'!I20+'Clark Pgs 18-19'!I20+'Columbia Pgs 20-21'!I20+'Cowlitz Pgs 22-23'!I20+'Garfield Pgs 24-25'!I20+'Grant Pgs 26-27'!I20+'Grays Harbor Pgs 28-29'!I20+'Island Pgs 30-31'!I20+'Jefferson Pgs 32-33'!I20+'Kitsap Pgs 34-35'!I20+'Kittitas Pgs 36-37'!I20+'Klickitat Pgs 38-39'!I20+'Lewis Pgs 40-41'!I20+'Lincoln Pgs 42-43'!I20+'Mason Pgs 44-45'!I20+'Northeast Tri Pgs 46-47'!I20+'Okanogan Pgs 48-49'!I20+'Pacific Pgs 50-51'!I20+'San Juan Pgs 52-53'!I20+'Skagit Pgs 56-57'!I20+'Skamania Pgs 58-59'!I20+'Snohomish Pgs 60-61'!I20+'Spokane Pgs 62-63'!I20+'Tacoma-Pierce Pgs 64-65'!I20+'Thurston Pgs 66-67'!I20+'Wahkiakum Pgs 68-69'!I20+'Walla Walla Pgs 70-71'!I20+'Whatcom Pgs 72-73'!I20+'Whitman Pgs 74-75'!I20+'Yakima Pgs 76-77'!I20+'Seattle-King Pgs 54-55'!I20</f>
        <v>609337</v>
      </c>
      <c r="J20" s="217">
        <f>'Adams Pgs 8-9'!J20+'Asotin Pgs 10-11'!J20+'Benton-Franklin Pgs 12-13'!J20+'Chelan-Douglas Pgs 14-15'!J20+'Clallam Pgs 16-17'!J20+'Clark Pgs 18-19'!J20+'Columbia Pgs 20-21'!J20+'Cowlitz Pgs 22-23'!J20+'Garfield Pgs 24-25'!J20+'Grant Pgs 26-27'!J20+'Grays Harbor Pgs 28-29'!J20+'Island Pgs 30-31'!J20+'Jefferson Pgs 32-33'!J20+'Kitsap Pgs 34-35'!J20+'Kittitas Pgs 36-37'!J20+'Klickitat Pgs 38-39'!J20+'Lewis Pgs 40-41'!J20+'Lincoln Pgs 42-43'!J20+'Mason Pgs 44-45'!J20+'Northeast Tri Pgs 46-47'!J20+'Okanogan Pgs 48-49'!J20+'Pacific Pgs 50-51'!J20+'San Juan Pgs 52-53'!J20+'Snohomish Pgs 60-61'!J20+'Spokane Pgs 62-63'!J20+'Tacoma-Pierce Pgs 64-65'!J20+'Thurston Pgs 66-67'!J20+'Wahkiakum Pgs 68-69'!J20+'Walla Walla Pgs 70-71'!J20+'Whatcom Pgs 72-73'!J20+'Whitman Pgs 74-75'!J20+'Yakima Pgs 76-77'!J20+'Seattle-King Pgs 54-55'!J20+'Skagit Pgs 56-57'!J20+'Skamania Pgs 58-59'!J20</f>
        <v>684418</v>
      </c>
      <c r="K20" s="222">
        <f>'Adams Pgs 8-9'!K20+'Asotin Pgs 10-11'!K20+'Benton-Franklin Pgs 12-13'!K20+'Chelan-Douglas Pgs 14-15'!K20+'Clallam Pgs 16-17'!K20+'Clark Pgs 18-19'!K20+'Columbia Pgs 20-21'!K20+'Cowlitz Pgs 22-23'!K20+'Garfield Pgs 24-25'!K20+'Grant Pgs 26-27'!K20+'Grays Harbor Pgs 28-29'!K20+'Island Pgs 30-31'!K20+'Jefferson Pgs 32-33'!K20+'Kitsap Pgs 34-35'!K20+'Kittitas Pgs 36-37'!K20+'Klickitat Pgs 38-39'!K20+'Lewis Pgs 40-41'!K20+'Lincoln Pgs 42-43'!K20+'Mason Pgs 44-45'!K20+'Northeast Tri Pgs 46-47'!K20+'Okanogan Pgs 48-49'!K20+'Pacific Pgs 50-51'!K20+'San Juan Pgs 52-53'!K20+'Skagit Pgs 56-57'!K20+'Skamania Pgs 58-59'!K20+'Snohomish Pgs 60-61'!K20+'Spokane Pgs 62-63'!K20+'Tacoma-Pierce Pgs 64-65'!K20+'Thurston Pgs 66-67'!K20+'Wahkiakum Pgs 68-69'!K20+'Walla Walla Pgs 70-71'!K20+'Whatcom Pgs 72-73'!K20+'Whitman Pgs 74-75'!K20+'Yakima Pgs 76-77'!K20+'Seattle-King Pgs 54-55'!K20</f>
        <v>1830</v>
      </c>
      <c r="L20" s="223">
        <f t="shared" si="1"/>
        <v>10622426</v>
      </c>
    </row>
    <row r="21" spans="1:12" s="224" customFormat="1" ht="14.45" customHeight="1" x14ac:dyDescent="0.2">
      <c r="A21" s="214">
        <v>562.35</v>
      </c>
      <c r="B21" s="215" t="s">
        <v>13</v>
      </c>
      <c r="C21" s="216">
        <f>'Adams Pgs 8-9'!C21+'Asotin Pgs 10-11'!C21+'Benton-Franklin Pgs 12-13'!C21+'Chelan-Douglas Pgs 14-15'!C21+'Clallam Pgs 16-17'!C21+'Clark Pgs 18-19'!C21+'Columbia Pgs 20-21'!C21+'Cowlitz Pgs 22-23'!C21+'Garfield Pgs 24-25'!C21+'Grant Pgs 26-27'!C21+'Grays Harbor Pgs 28-29'!C21+'Island Pgs 30-31'!C21+'Jefferson Pgs 32-33'!C21+'Kitsap Pgs 34-35'!C21+'Kittitas Pgs 36-37'!C21+'Klickitat Pgs 38-39'!C21+'Lewis Pgs 40-41'!C21+'Lincoln Pgs 42-43'!C21+'Mason Pgs 44-45'!C21+'Northeast Tri Pgs 46-47'!C21+'Okanogan Pgs 48-49'!C21+'Pacific Pgs 50-51'!C21+'San Juan Pgs 52-53'!C21+'Skagit Pgs 56-57'!C21+'Skamania Pgs 58-59'!C21+'Snohomish Pgs 60-61'!C21+'Spokane Pgs 62-63'!C21+'Tacoma-Pierce Pgs 64-65'!C21+'Thurston Pgs 66-67'!C21+'Wahkiakum Pgs 68-69'!C21+'Walla Walla Pgs 70-71'!C21+'Whatcom Pgs 72-73'!C21+'Whitman Pgs 74-75'!C21+'Yakima Pgs 76-77'!C21+'Seattle-King Pgs 54-55'!C21</f>
        <v>3100375</v>
      </c>
      <c r="D21" s="217">
        <f>'Adams Pgs 8-9'!D21+'Asotin Pgs 10-11'!D21+'Benton-Franklin Pgs 12-13'!D21+'Chelan-Douglas Pgs 14-15'!D21+'Clallam Pgs 16-17'!D21+'Clark Pgs 18-19'!D21+'Columbia Pgs 20-21'!D21+'Cowlitz Pgs 22-23'!D21+'Garfield Pgs 24-25'!D21+'Grant Pgs 26-27'!D21+'Grays Harbor Pgs 28-29'!D21+'Island Pgs 30-31'!D21+'Jefferson Pgs 32-33'!D21+'Kitsap Pgs 34-35'!D21+'Kittitas Pgs 36-37'!D21+'Klickitat Pgs 38-39'!D21+'Lewis Pgs 40-41'!D21+'Lincoln Pgs 42-43'!D21+'Mason Pgs 44-45'!D21+'Northeast Tri Pgs 46-47'!D21+'Okanogan Pgs 48-49'!D21+'Pacific Pgs 50-51'!D21+'San Juan Pgs 52-53'!D21+'Skagit Pgs 56-57'!D21+'Skamania Pgs 58-59'!D21+'Snohomish Pgs 60-61'!D21+'Spokane Pgs 62-63'!D21+'Tacoma-Pierce Pgs 64-65'!D21+'Thurston Pgs 66-67'!D21+'Wahkiakum Pgs 68-69'!D21+'Walla Walla Pgs 70-71'!D21+'Whatcom Pgs 72-73'!D21+'Whitman Pgs 74-75'!D21+'Yakima Pgs 76-77'!D21+'Seattle-King Pgs 54-55'!D21</f>
        <v>308805</v>
      </c>
      <c r="E21" s="218">
        <f>'Adams Pgs 8-9'!E21+'Asotin Pgs 10-11'!E21+'Benton-Franklin Pgs 12-13'!E21+'Chelan-Douglas Pgs 14-15'!E21+'Clallam Pgs 16-17'!E21+'Clark Pgs 18-19'!E21+'Columbia Pgs 20-21'!E21+'Cowlitz Pgs 22-23'!E21+'Garfield Pgs 24-25'!E21+'Grant Pgs 26-27'!E21+'Grays Harbor Pgs 28-29'!E21+'Island Pgs 30-31'!E21+'Jefferson Pgs 32-33'!E21+'Kitsap Pgs 34-35'!E21+'Kittitas Pgs 36-37'!E21+'Klickitat Pgs 38-39'!E21+'Lewis Pgs 40-41'!E21+'Lincoln Pgs 42-43'!E21+'Mason Pgs 44-45'!E21+'Northeast Tri Pgs 46-47'!E21+'Okanogan Pgs 48-49'!E21+'Pacific Pgs 50-51'!E21+'San Juan Pgs 52-53'!E21+'Skagit Pgs 56-57'!E21+'Skamania Pgs 58-59'!E21+'Snohomish Pgs 60-61'!E21+'Spokane Pgs 62-63'!E21+'Tacoma-Pierce Pgs 64-65'!E21+'Thurston Pgs 66-67'!E21+'Wahkiakum Pgs 68-69'!E21+'Walla Walla Pgs 70-71'!E21+'Whatcom Pgs 72-73'!E21+'Whitman Pgs 74-75'!E21+'Yakima Pgs 76-77'!E21+'Seattle-King Pgs 54-55'!E21</f>
        <v>3608675</v>
      </c>
      <c r="F21" s="227" t="s">
        <v>154</v>
      </c>
      <c r="G21" s="220">
        <f>'Adams Pgs 8-9'!G21+'Asotin Pgs 10-11'!G21+'Benton-Franklin Pgs 12-13'!G21+'Chelan-Douglas Pgs 14-15'!G21+'Clallam Pgs 16-17'!G21+'Clark Pgs 18-19'!G21+'Columbia Pgs 20-21'!G21+'Cowlitz Pgs 22-23'!G21+'Garfield Pgs 24-25'!G21+'Grant Pgs 26-27'!G21+'Grays Harbor Pgs 28-29'!G21+'Island Pgs 30-31'!G21+'Jefferson Pgs 32-33'!G21+'Kitsap Pgs 34-35'!G21+'Kittitas Pgs 36-37'!G21+'Klickitat Pgs 38-39'!G21+'Lewis Pgs 40-41'!G21+'Lincoln Pgs 42-43'!G21+'Mason Pgs 44-45'!G21+'Northeast Tri Pgs 46-47'!G21+'Okanogan Pgs 48-49'!G21+'Pacific Pgs 50-51'!G21+'San Juan Pgs 52-53'!G21+'Skagit Pgs 56-57'!G21+'Skamania Pgs 58-59'!G21+'Snohomish Pgs 60-61'!G21+'Spokane Pgs 62-63'!G21+'Tacoma-Pierce Pgs 64-65'!G21+'Thurston Pgs 66-67'!G21+'Wahkiakum Pgs 68-69'!G21+'Walla Walla Pgs 70-71'!G21+'Whatcom Pgs 72-73'!G21+'Whitman Pgs 74-75'!G21+'Yakima Pgs 76-77'!G21+'Seattle-King Pgs 54-55'!G21</f>
        <v>710101</v>
      </c>
      <c r="H21" s="219">
        <f>'Adams Pgs 8-9'!H21+'Asotin Pgs 10-11'!H21+'Benton-Franklin Pgs 12-13'!H21+'Chelan-Douglas Pgs 14-15'!H21+'Clallam Pgs 16-17'!H21+'Clark Pgs 18-19'!H21+'Columbia Pgs 20-21'!H21+'Cowlitz Pgs 22-23'!H21+'Garfield Pgs 24-25'!H21+'Grant Pgs 26-27'!H21+'Grays Harbor Pgs 28-29'!H21+'Island Pgs 30-31'!H21+'Jefferson Pgs 32-33'!H21+'Kitsap Pgs 34-35'!H21+'Kittitas Pgs 36-37'!H21+'Klickitat Pgs 38-39'!H21+'Lewis Pgs 40-41'!H21+'Lincoln Pgs 42-43'!H21+'Mason Pgs 44-45'!H21+'Northeast Tri Pgs 46-47'!H21+'Okanogan Pgs 48-49'!H21+'Pacific Pgs 50-51'!H21+'San Juan Pgs 52-53'!H21+'Skagit Pgs 56-57'!H21+'Skamania Pgs 58-59'!H21+'Snohomish Pgs 60-61'!H21+'Spokane Pgs 62-63'!H21+'Tacoma-Pierce Pgs 64-65'!H21+'Thurston Pgs 66-67'!H21+'Wahkiakum Pgs 68-69'!H21+'Walla Walla Pgs 70-71'!H21+'Whatcom Pgs 72-73'!H21+'Whitman Pgs 74-75'!H21+'Yakima Pgs 76-77'!H21+'Seattle-King Pgs 54-55'!H21</f>
        <v>5848</v>
      </c>
      <c r="I21" s="221">
        <f>'Adams Pgs 8-9'!I21+'Asotin Pgs 10-11'!I21+'Benton-Franklin Pgs 12-13'!I21+'Chelan-Douglas Pgs 14-15'!I21+'Clallam Pgs 16-17'!I21+'Clark Pgs 18-19'!I21+'Columbia Pgs 20-21'!I21+'Cowlitz Pgs 22-23'!I21+'Garfield Pgs 24-25'!I21+'Grant Pgs 26-27'!I21+'Grays Harbor Pgs 28-29'!I21+'Island Pgs 30-31'!I21+'Jefferson Pgs 32-33'!I21+'Kitsap Pgs 34-35'!I21+'Kittitas Pgs 36-37'!I21+'Klickitat Pgs 38-39'!I21+'Lewis Pgs 40-41'!I21+'Lincoln Pgs 42-43'!I21+'Mason Pgs 44-45'!I21+'Northeast Tri Pgs 46-47'!I21+'Okanogan Pgs 48-49'!I21+'Pacific Pgs 50-51'!I21+'San Juan Pgs 52-53'!I21+'Skagit Pgs 56-57'!I21+'Skamania Pgs 58-59'!I21+'Snohomish Pgs 60-61'!I21+'Spokane Pgs 62-63'!I21+'Tacoma-Pierce Pgs 64-65'!I21+'Thurston Pgs 66-67'!I21+'Wahkiakum Pgs 68-69'!I21+'Walla Walla Pgs 70-71'!I21+'Whatcom Pgs 72-73'!I21+'Whitman Pgs 74-75'!I21+'Yakima Pgs 76-77'!I21+'Seattle-King Pgs 54-55'!I21</f>
        <v>2279178</v>
      </c>
      <c r="J21" s="217">
        <f>'Adams Pgs 8-9'!J21+'Asotin Pgs 10-11'!J21+'Benton-Franklin Pgs 12-13'!J21+'Chelan-Douglas Pgs 14-15'!J21+'Clallam Pgs 16-17'!J21+'Clark Pgs 18-19'!J21+'Columbia Pgs 20-21'!J21+'Cowlitz Pgs 22-23'!J21+'Garfield Pgs 24-25'!J21+'Grant Pgs 26-27'!J21+'Grays Harbor Pgs 28-29'!J21+'Island Pgs 30-31'!J21+'Jefferson Pgs 32-33'!J21+'Kitsap Pgs 34-35'!J21+'Kittitas Pgs 36-37'!J21+'Klickitat Pgs 38-39'!J21+'Lewis Pgs 40-41'!J21+'Lincoln Pgs 42-43'!J21+'Mason Pgs 44-45'!J21+'Northeast Tri Pgs 46-47'!J21+'Okanogan Pgs 48-49'!J21+'Pacific Pgs 50-51'!J21+'San Juan Pgs 52-53'!J21+'Snohomish Pgs 60-61'!J21+'Spokane Pgs 62-63'!J21+'Tacoma-Pierce Pgs 64-65'!J21+'Thurston Pgs 66-67'!J21+'Wahkiakum Pgs 68-69'!J21+'Walla Walla Pgs 70-71'!J21+'Whatcom Pgs 72-73'!J21+'Whitman Pgs 74-75'!J21+'Yakima Pgs 76-77'!J21+'Seattle-King Pgs 54-55'!J21+'Skagit Pgs 56-57'!J21+'Skamania Pgs 58-59'!J21</f>
        <v>6444611</v>
      </c>
      <c r="K21" s="222">
        <f>'Adams Pgs 8-9'!K21+'Asotin Pgs 10-11'!K21+'Benton-Franklin Pgs 12-13'!K21+'Chelan-Douglas Pgs 14-15'!K21+'Clallam Pgs 16-17'!K21+'Clark Pgs 18-19'!K21+'Columbia Pgs 20-21'!K21+'Cowlitz Pgs 22-23'!K21+'Garfield Pgs 24-25'!K21+'Grant Pgs 26-27'!K21+'Grays Harbor Pgs 28-29'!K21+'Island Pgs 30-31'!K21+'Jefferson Pgs 32-33'!K21+'Kitsap Pgs 34-35'!K21+'Kittitas Pgs 36-37'!K21+'Klickitat Pgs 38-39'!K21+'Lewis Pgs 40-41'!K21+'Lincoln Pgs 42-43'!K21+'Mason Pgs 44-45'!K21+'Northeast Tri Pgs 46-47'!K21+'Okanogan Pgs 48-49'!K21+'Pacific Pgs 50-51'!K21+'San Juan Pgs 52-53'!K21+'Skagit Pgs 56-57'!K21+'Skamania Pgs 58-59'!K21+'Snohomish Pgs 60-61'!K21+'Spokane Pgs 62-63'!K21+'Tacoma-Pierce Pgs 64-65'!K21+'Thurston Pgs 66-67'!K21+'Wahkiakum Pgs 68-69'!K21+'Walla Walla Pgs 70-71'!K21+'Whatcom Pgs 72-73'!K21+'Whitman Pgs 74-75'!K21+'Yakima Pgs 76-77'!K21+'Seattle-King Pgs 54-55'!K21</f>
        <v>133321</v>
      </c>
      <c r="L21" s="223">
        <f t="shared" si="1"/>
        <v>16590914</v>
      </c>
    </row>
    <row r="22" spans="1:12" s="224" customFormat="1" ht="14.45" customHeight="1" x14ac:dyDescent="0.2">
      <c r="A22" s="214">
        <v>562.39</v>
      </c>
      <c r="B22" s="215" t="s">
        <v>14</v>
      </c>
      <c r="C22" s="216">
        <f>'Adams Pgs 8-9'!C22+'Asotin Pgs 10-11'!C22+'Benton-Franklin Pgs 12-13'!C22+'Chelan-Douglas Pgs 14-15'!C22+'Clallam Pgs 16-17'!C22+'Clark Pgs 18-19'!C22+'Columbia Pgs 20-21'!C22+'Cowlitz Pgs 22-23'!C22+'Garfield Pgs 24-25'!C22+'Grant Pgs 26-27'!C22+'Grays Harbor Pgs 28-29'!C22+'Island Pgs 30-31'!C22+'Jefferson Pgs 32-33'!C22+'Kitsap Pgs 34-35'!C22+'Kittitas Pgs 36-37'!C22+'Klickitat Pgs 38-39'!C22+'Lewis Pgs 40-41'!C22+'Lincoln Pgs 42-43'!C22+'Mason Pgs 44-45'!C22+'Northeast Tri Pgs 46-47'!C22+'Okanogan Pgs 48-49'!C22+'Pacific Pgs 50-51'!C22+'San Juan Pgs 52-53'!C22+'Skagit Pgs 56-57'!C22+'Skamania Pgs 58-59'!C22+'Snohomish Pgs 60-61'!C22+'Spokane Pgs 62-63'!C22+'Tacoma-Pierce Pgs 64-65'!C22+'Thurston Pgs 66-67'!C22+'Wahkiakum Pgs 68-69'!C22+'Walla Walla Pgs 70-71'!C22+'Whatcom Pgs 72-73'!C22+'Whitman Pgs 74-75'!C22+'Yakima Pgs 76-77'!C22+'Seattle-King Pgs 54-55'!C22</f>
        <v>2353231</v>
      </c>
      <c r="D22" s="217">
        <f>'Adams Pgs 8-9'!D22+'Asotin Pgs 10-11'!D22+'Benton-Franklin Pgs 12-13'!D22+'Chelan-Douglas Pgs 14-15'!D22+'Clallam Pgs 16-17'!D22+'Clark Pgs 18-19'!D22+'Columbia Pgs 20-21'!D22+'Cowlitz Pgs 22-23'!D22+'Garfield Pgs 24-25'!D22+'Grant Pgs 26-27'!D22+'Grays Harbor Pgs 28-29'!D22+'Island Pgs 30-31'!D22+'Jefferson Pgs 32-33'!D22+'Kitsap Pgs 34-35'!D22+'Kittitas Pgs 36-37'!D22+'Klickitat Pgs 38-39'!D22+'Lewis Pgs 40-41'!D22+'Lincoln Pgs 42-43'!D22+'Mason Pgs 44-45'!D22+'Northeast Tri Pgs 46-47'!D22+'Okanogan Pgs 48-49'!D22+'Pacific Pgs 50-51'!D22+'San Juan Pgs 52-53'!D22+'Skagit Pgs 56-57'!D22+'Skamania Pgs 58-59'!D22+'Snohomish Pgs 60-61'!D22+'Spokane Pgs 62-63'!D22+'Tacoma-Pierce Pgs 64-65'!D22+'Thurston Pgs 66-67'!D22+'Wahkiakum Pgs 68-69'!D22+'Walla Walla Pgs 70-71'!D22+'Whatcom Pgs 72-73'!D22+'Whitman Pgs 74-75'!D22+'Yakima Pgs 76-77'!D22+'Seattle-King Pgs 54-55'!D22</f>
        <v>2331</v>
      </c>
      <c r="E22" s="218">
        <f>'Adams Pgs 8-9'!E22+'Asotin Pgs 10-11'!E22+'Benton-Franklin Pgs 12-13'!E22+'Chelan-Douglas Pgs 14-15'!E22+'Clallam Pgs 16-17'!E22+'Clark Pgs 18-19'!E22+'Columbia Pgs 20-21'!E22+'Cowlitz Pgs 22-23'!E22+'Garfield Pgs 24-25'!E22+'Grant Pgs 26-27'!E22+'Grays Harbor Pgs 28-29'!E22+'Island Pgs 30-31'!E22+'Jefferson Pgs 32-33'!E22+'Kitsap Pgs 34-35'!E22+'Kittitas Pgs 36-37'!E22+'Klickitat Pgs 38-39'!E22+'Lewis Pgs 40-41'!E22+'Lincoln Pgs 42-43'!E22+'Mason Pgs 44-45'!E22+'Northeast Tri Pgs 46-47'!E22+'Okanogan Pgs 48-49'!E22+'Pacific Pgs 50-51'!E22+'San Juan Pgs 52-53'!E22+'Skagit Pgs 56-57'!E22+'Skamania Pgs 58-59'!E22+'Snohomish Pgs 60-61'!E22+'Spokane Pgs 62-63'!E22+'Tacoma-Pierce Pgs 64-65'!E22+'Thurston Pgs 66-67'!E22+'Wahkiakum Pgs 68-69'!E22+'Walla Walla Pgs 70-71'!E22+'Whatcom Pgs 72-73'!E22+'Whitman Pgs 74-75'!E22+'Yakima Pgs 76-77'!E22+'Seattle-King Pgs 54-55'!E22</f>
        <v>52852</v>
      </c>
      <c r="F22" s="219">
        <f>'Adams Pgs 8-9'!F22+'Asotin Pgs 10-11'!F22+'Benton-Franklin Pgs 12-13'!F22+'Chelan-Douglas Pgs 14-15'!F22+'Clallam Pgs 16-17'!F22+'Clark Pgs 18-19'!F22+'Columbia Pgs 20-21'!F22+'Cowlitz Pgs 22-23'!F22+'Garfield Pgs 24-25'!F22+'Grant Pgs 26-27'!F22+'Grays Harbor Pgs 28-29'!F22+'Island Pgs 30-31'!F22+'Jefferson Pgs 32-33'!F22+'Kitsap Pgs 34-35'!F22+'Kittitas Pgs 36-37'!F22+'Klickitat Pgs 38-39'!F22+'Lewis Pgs 40-41'!F22+'Lincoln Pgs 42-43'!F22+'Mason Pgs 44-45'!F22+'Northeast Tri Pgs 46-47'!F22+'Okanogan Pgs 48-49'!F22+'Pacific Pgs 50-51'!F22+'San Juan Pgs 52-53'!F22+'Seattle-King Pgs 54-55'!F22+'Skagit Pgs 56-57'!F22+'Skamania Pgs 58-59'!F22+'Snohomish Pgs 60-61'!F22+'Spokane Pgs 62-63'!F22+'Tacoma-Pierce Pgs 64-65'!F22+'Thurston Pgs 66-67'!F22+'Wahkiakum Pgs 68-69'!F22+'Walla Walla Pgs 70-71'!F22+'Whatcom Pgs 72-73'!F22+'Whitman Pgs 74-75'!F22+'Yakima Pgs 76-77'!F22</f>
        <v>1185492</v>
      </c>
      <c r="G22" s="220">
        <f>'Adams Pgs 8-9'!G22+'Asotin Pgs 10-11'!G22+'Benton-Franklin Pgs 12-13'!G22+'Chelan-Douglas Pgs 14-15'!G22+'Clallam Pgs 16-17'!G22+'Clark Pgs 18-19'!G22+'Columbia Pgs 20-21'!G22+'Cowlitz Pgs 22-23'!G22+'Garfield Pgs 24-25'!G22+'Grant Pgs 26-27'!G22+'Grays Harbor Pgs 28-29'!G22+'Island Pgs 30-31'!G22+'Jefferson Pgs 32-33'!G22+'Kitsap Pgs 34-35'!G22+'Kittitas Pgs 36-37'!G22+'Klickitat Pgs 38-39'!G22+'Lewis Pgs 40-41'!G22+'Lincoln Pgs 42-43'!G22+'Mason Pgs 44-45'!G22+'Northeast Tri Pgs 46-47'!G22+'Okanogan Pgs 48-49'!G22+'Pacific Pgs 50-51'!G22+'San Juan Pgs 52-53'!G22+'Skagit Pgs 56-57'!G22+'Skamania Pgs 58-59'!G22+'Snohomish Pgs 60-61'!G22+'Spokane Pgs 62-63'!G22+'Tacoma-Pierce Pgs 64-65'!G22+'Thurston Pgs 66-67'!G22+'Wahkiakum Pgs 68-69'!G22+'Walla Walla Pgs 70-71'!G22+'Whatcom Pgs 72-73'!G22+'Whitman Pgs 74-75'!G22+'Yakima Pgs 76-77'!G22+'Seattle-King Pgs 54-55'!G22</f>
        <v>2433023</v>
      </c>
      <c r="H22" s="227" t="s">
        <v>154</v>
      </c>
      <c r="I22" s="221">
        <f>'Adams Pgs 8-9'!I22+'Asotin Pgs 10-11'!I22+'Benton-Franklin Pgs 12-13'!I22+'Chelan-Douglas Pgs 14-15'!I22+'Clallam Pgs 16-17'!I22+'Clark Pgs 18-19'!I22+'Columbia Pgs 20-21'!I22+'Cowlitz Pgs 22-23'!I22+'Garfield Pgs 24-25'!I22+'Grant Pgs 26-27'!I22+'Grays Harbor Pgs 28-29'!I22+'Island Pgs 30-31'!I22+'Jefferson Pgs 32-33'!I22+'Kitsap Pgs 34-35'!I22+'Kittitas Pgs 36-37'!I22+'Klickitat Pgs 38-39'!I22+'Lewis Pgs 40-41'!I22+'Lincoln Pgs 42-43'!I22+'Mason Pgs 44-45'!I22+'Northeast Tri Pgs 46-47'!I22+'Okanogan Pgs 48-49'!I22+'Pacific Pgs 50-51'!I22+'San Juan Pgs 52-53'!I22+'Skagit Pgs 56-57'!I22+'Skamania Pgs 58-59'!I22+'Snohomish Pgs 60-61'!I22+'Spokane Pgs 62-63'!I22+'Tacoma-Pierce Pgs 64-65'!I22+'Thurston Pgs 66-67'!I22+'Wahkiakum Pgs 68-69'!I22+'Walla Walla Pgs 70-71'!I22+'Whatcom Pgs 72-73'!I22+'Whitman Pgs 74-75'!I22+'Yakima Pgs 76-77'!I22+'Seattle-King Pgs 54-55'!I22</f>
        <v>156806</v>
      </c>
      <c r="J22" s="217">
        <f>'Adams Pgs 8-9'!J22+'Asotin Pgs 10-11'!J22+'Benton-Franklin Pgs 12-13'!J22+'Chelan-Douglas Pgs 14-15'!J22+'Clallam Pgs 16-17'!J22+'Clark Pgs 18-19'!J22+'Columbia Pgs 20-21'!J22+'Cowlitz Pgs 22-23'!J22+'Garfield Pgs 24-25'!J22+'Grant Pgs 26-27'!J22+'Grays Harbor Pgs 28-29'!J22+'Island Pgs 30-31'!J22+'Jefferson Pgs 32-33'!J22+'Kitsap Pgs 34-35'!J22+'Kittitas Pgs 36-37'!J22+'Klickitat Pgs 38-39'!J22+'Lewis Pgs 40-41'!J22+'Lincoln Pgs 42-43'!J22+'Mason Pgs 44-45'!J22+'Northeast Tri Pgs 46-47'!J22+'Okanogan Pgs 48-49'!J22+'Pacific Pgs 50-51'!J22+'San Juan Pgs 52-53'!J22+'Snohomish Pgs 60-61'!J22+'Spokane Pgs 62-63'!J22+'Tacoma-Pierce Pgs 64-65'!J22+'Thurston Pgs 66-67'!J22+'Wahkiakum Pgs 68-69'!J22+'Walla Walla Pgs 70-71'!J22+'Whatcom Pgs 72-73'!J22+'Whitman Pgs 74-75'!J22+'Yakima Pgs 76-77'!J22+'Seattle-King Pgs 54-55'!J22+'Skagit Pgs 56-57'!J22+'Skamania Pgs 58-59'!J22</f>
        <v>1740171</v>
      </c>
      <c r="K22" s="222">
        <f>'Adams Pgs 8-9'!K22+'Asotin Pgs 10-11'!K22+'Benton-Franklin Pgs 12-13'!K22+'Chelan-Douglas Pgs 14-15'!K22+'Clallam Pgs 16-17'!K22+'Clark Pgs 18-19'!K22+'Columbia Pgs 20-21'!K22+'Cowlitz Pgs 22-23'!K22+'Garfield Pgs 24-25'!K22+'Grant Pgs 26-27'!K22+'Grays Harbor Pgs 28-29'!K22+'Island Pgs 30-31'!K22+'Jefferson Pgs 32-33'!K22+'Kitsap Pgs 34-35'!K22+'Kittitas Pgs 36-37'!K22+'Klickitat Pgs 38-39'!K22+'Lewis Pgs 40-41'!K22+'Lincoln Pgs 42-43'!K22+'Mason Pgs 44-45'!K22+'Northeast Tri Pgs 46-47'!K22+'Okanogan Pgs 48-49'!K22+'Pacific Pgs 50-51'!K22+'San Juan Pgs 52-53'!K22+'Skagit Pgs 56-57'!K22+'Skamania Pgs 58-59'!K22+'Snohomish Pgs 60-61'!K22+'Spokane Pgs 62-63'!K22+'Tacoma-Pierce Pgs 64-65'!K22+'Thurston Pgs 66-67'!K22+'Wahkiakum Pgs 68-69'!K22+'Walla Walla Pgs 70-71'!K22+'Whatcom Pgs 72-73'!K22+'Whitman Pgs 74-75'!K22+'Yakima Pgs 76-77'!K22+'Seattle-King Pgs 54-55'!K22</f>
        <v>70547</v>
      </c>
      <c r="L22" s="223">
        <f t="shared" si="1"/>
        <v>7994453</v>
      </c>
    </row>
    <row r="23" spans="1:12" s="224" customFormat="1" ht="14.45" customHeight="1" x14ac:dyDescent="0.2">
      <c r="A23" s="214">
        <v>562.41</v>
      </c>
      <c r="B23" s="215" t="s">
        <v>15</v>
      </c>
      <c r="C23" s="232" t="s">
        <v>154</v>
      </c>
      <c r="D23" s="225" t="s">
        <v>154</v>
      </c>
      <c r="E23" s="226" t="s">
        <v>154</v>
      </c>
      <c r="F23" s="227" t="s">
        <v>154</v>
      </c>
      <c r="G23" s="220">
        <f>'Adams Pgs 8-9'!G23+'Asotin Pgs 10-11'!G23+'Benton-Franklin Pgs 12-13'!G23+'Chelan-Douglas Pgs 14-15'!G23+'Clallam Pgs 16-17'!G23+'Clark Pgs 18-19'!G23+'Columbia Pgs 20-21'!G23+'Cowlitz Pgs 22-23'!G23+'Garfield Pgs 24-25'!G23+'Grant Pgs 26-27'!G23+'Grays Harbor Pgs 28-29'!G23+'Island Pgs 30-31'!G23+'Jefferson Pgs 32-33'!G23+'Kitsap Pgs 34-35'!G23+'Kittitas Pgs 36-37'!G23+'Klickitat Pgs 38-39'!G23+'Lewis Pgs 40-41'!G23+'Lincoln Pgs 42-43'!G23+'Mason Pgs 44-45'!G23+'Northeast Tri Pgs 46-47'!G23+'Okanogan Pgs 48-49'!G23+'Pacific Pgs 50-51'!G23+'San Juan Pgs 52-53'!G23+'Skagit Pgs 56-57'!G23+'Skamania Pgs 58-59'!G23+'Snohomish Pgs 60-61'!G23+'Spokane Pgs 62-63'!G23+'Tacoma-Pierce Pgs 64-65'!G23+'Thurston Pgs 66-67'!G23+'Wahkiakum Pgs 68-69'!G23+'Walla Walla Pgs 70-71'!G23+'Whatcom Pgs 72-73'!G23+'Whitman Pgs 74-75'!G23+'Yakima Pgs 76-77'!G23+'Seattle-King Pgs 54-55'!G23</f>
        <v>35576</v>
      </c>
      <c r="H23" s="227" t="s">
        <v>154</v>
      </c>
      <c r="I23" s="221">
        <f>'Adams Pgs 8-9'!I23+'Asotin Pgs 10-11'!I23+'Benton-Franklin Pgs 12-13'!I23+'Chelan-Douglas Pgs 14-15'!I23+'Clallam Pgs 16-17'!I23+'Clark Pgs 18-19'!I23+'Columbia Pgs 20-21'!I23+'Cowlitz Pgs 22-23'!I23+'Garfield Pgs 24-25'!I23+'Grant Pgs 26-27'!I23+'Grays Harbor Pgs 28-29'!I23+'Island Pgs 30-31'!I23+'Jefferson Pgs 32-33'!I23+'Kitsap Pgs 34-35'!I23+'Kittitas Pgs 36-37'!I23+'Klickitat Pgs 38-39'!I23+'Lewis Pgs 40-41'!I23+'Lincoln Pgs 42-43'!I23+'Mason Pgs 44-45'!I23+'Northeast Tri Pgs 46-47'!I23+'Okanogan Pgs 48-49'!I23+'Pacific Pgs 50-51'!I23+'San Juan Pgs 52-53'!I23+'Skagit Pgs 56-57'!I23+'Skamania Pgs 58-59'!I23+'Snohomish Pgs 60-61'!I23+'Spokane Pgs 62-63'!I23+'Tacoma-Pierce Pgs 64-65'!I23+'Thurston Pgs 66-67'!I23+'Wahkiakum Pgs 68-69'!I23+'Walla Walla Pgs 70-71'!I23+'Whatcom Pgs 72-73'!I23+'Whitman Pgs 74-75'!I23+'Yakima Pgs 76-77'!I23+'Seattle-King Pgs 54-55'!I23</f>
        <v>332663</v>
      </c>
      <c r="J23" s="217">
        <f>'Adams Pgs 8-9'!J23+'Asotin Pgs 10-11'!J23+'Benton-Franklin Pgs 12-13'!J23+'Chelan-Douglas Pgs 14-15'!J23+'Clallam Pgs 16-17'!J23+'Clark Pgs 18-19'!J23+'Columbia Pgs 20-21'!J23+'Cowlitz Pgs 22-23'!J23+'Garfield Pgs 24-25'!J23+'Grant Pgs 26-27'!J23+'Grays Harbor Pgs 28-29'!J23+'Island Pgs 30-31'!J23+'Jefferson Pgs 32-33'!J23+'Kitsap Pgs 34-35'!J23+'Kittitas Pgs 36-37'!J23+'Klickitat Pgs 38-39'!J23+'Lewis Pgs 40-41'!J23+'Lincoln Pgs 42-43'!J23+'Mason Pgs 44-45'!J23+'Northeast Tri Pgs 46-47'!J23+'Okanogan Pgs 48-49'!J23+'Pacific Pgs 50-51'!J23+'San Juan Pgs 52-53'!J23+'Snohomish Pgs 60-61'!J23+'Spokane Pgs 62-63'!J23+'Tacoma-Pierce Pgs 64-65'!J23+'Thurston Pgs 66-67'!J23+'Wahkiakum Pgs 68-69'!J23+'Walla Walla Pgs 70-71'!J23+'Whatcom Pgs 72-73'!J23+'Whitman Pgs 74-75'!J23+'Yakima Pgs 76-77'!J23+'Seattle-King Pgs 54-55'!J23+'Skagit Pgs 56-57'!J23+'Skamania Pgs 58-59'!J23</f>
        <v>28248</v>
      </c>
      <c r="K23" s="229" t="s">
        <v>154</v>
      </c>
      <c r="L23" s="223">
        <f t="shared" si="1"/>
        <v>396487</v>
      </c>
    </row>
    <row r="24" spans="1:12" s="224" customFormat="1" ht="14.45" customHeight="1" x14ac:dyDescent="0.2">
      <c r="A24" s="214">
        <v>562.41999999999996</v>
      </c>
      <c r="B24" s="215" t="s">
        <v>16</v>
      </c>
      <c r="C24" s="216">
        <f>'Adams Pgs 8-9'!C24+'Asotin Pgs 10-11'!C24+'Benton-Franklin Pgs 12-13'!C24+'Chelan-Douglas Pgs 14-15'!C24+'Clallam Pgs 16-17'!C24+'Clark Pgs 18-19'!C24+'Columbia Pgs 20-21'!C24+'Cowlitz Pgs 22-23'!C24+'Garfield Pgs 24-25'!C24+'Grant Pgs 26-27'!C24+'Grays Harbor Pgs 28-29'!C24+'Island Pgs 30-31'!C24+'Jefferson Pgs 32-33'!C24+'Kitsap Pgs 34-35'!C24+'Kittitas Pgs 36-37'!C24+'Klickitat Pgs 38-39'!C24+'Lewis Pgs 40-41'!C24+'Lincoln Pgs 42-43'!C24+'Mason Pgs 44-45'!C24+'Northeast Tri Pgs 46-47'!C24+'Okanogan Pgs 48-49'!C24+'Pacific Pgs 50-51'!C24+'San Juan Pgs 52-53'!C24+'Skagit Pgs 56-57'!C24+'Skamania Pgs 58-59'!C24+'Snohomish Pgs 60-61'!C24+'Spokane Pgs 62-63'!C24+'Tacoma-Pierce Pgs 64-65'!C24+'Thurston Pgs 66-67'!C24+'Wahkiakum Pgs 68-69'!C24+'Walla Walla Pgs 70-71'!C24+'Whatcom Pgs 72-73'!C24+'Whitman Pgs 74-75'!C24+'Yakima Pgs 76-77'!C24+'Seattle-King Pgs 54-55'!C24</f>
        <v>250576</v>
      </c>
      <c r="D24" s="217">
        <f>'Adams Pgs 8-9'!D24+'Asotin Pgs 10-11'!D24+'Benton-Franklin Pgs 12-13'!D24+'Chelan-Douglas Pgs 14-15'!D24+'Clallam Pgs 16-17'!D24+'Clark Pgs 18-19'!D24+'Columbia Pgs 20-21'!D24+'Cowlitz Pgs 22-23'!D24+'Garfield Pgs 24-25'!D24+'Grant Pgs 26-27'!D24+'Grays Harbor Pgs 28-29'!D24+'Island Pgs 30-31'!D24+'Jefferson Pgs 32-33'!D24+'Kitsap Pgs 34-35'!D24+'Kittitas Pgs 36-37'!D24+'Klickitat Pgs 38-39'!D24+'Lewis Pgs 40-41'!D24+'Lincoln Pgs 42-43'!D24+'Mason Pgs 44-45'!D24+'Northeast Tri Pgs 46-47'!D24+'Okanogan Pgs 48-49'!D24+'Pacific Pgs 50-51'!D24+'San Juan Pgs 52-53'!D24+'Skagit Pgs 56-57'!D24+'Skamania Pgs 58-59'!D24+'Snohomish Pgs 60-61'!D24+'Spokane Pgs 62-63'!D24+'Tacoma-Pierce Pgs 64-65'!D24+'Thurston Pgs 66-67'!D24+'Wahkiakum Pgs 68-69'!D24+'Walla Walla Pgs 70-71'!D24+'Whatcom Pgs 72-73'!D24+'Whitman Pgs 74-75'!D24+'Yakima Pgs 76-77'!D24+'Seattle-King Pgs 54-55'!D24</f>
        <v>6500</v>
      </c>
      <c r="E24" s="226" t="s">
        <v>154</v>
      </c>
      <c r="F24" s="227" t="s">
        <v>154</v>
      </c>
      <c r="G24" s="220">
        <f>'Adams Pgs 8-9'!G24+'Asotin Pgs 10-11'!G24+'Benton-Franklin Pgs 12-13'!G24+'Chelan-Douglas Pgs 14-15'!G24+'Clallam Pgs 16-17'!G24+'Clark Pgs 18-19'!G24+'Columbia Pgs 20-21'!G24+'Cowlitz Pgs 22-23'!G24+'Garfield Pgs 24-25'!G24+'Grant Pgs 26-27'!G24+'Grays Harbor Pgs 28-29'!G24+'Island Pgs 30-31'!G24+'Jefferson Pgs 32-33'!G24+'Kitsap Pgs 34-35'!G24+'Kittitas Pgs 36-37'!G24+'Klickitat Pgs 38-39'!G24+'Lewis Pgs 40-41'!G24+'Lincoln Pgs 42-43'!G24+'Mason Pgs 44-45'!G24+'Northeast Tri Pgs 46-47'!G24+'Okanogan Pgs 48-49'!G24+'Pacific Pgs 50-51'!G24+'San Juan Pgs 52-53'!G24+'Skagit Pgs 56-57'!G24+'Skamania Pgs 58-59'!G24+'Snohomish Pgs 60-61'!G24+'Spokane Pgs 62-63'!G24+'Tacoma-Pierce Pgs 64-65'!G24+'Thurston Pgs 66-67'!G24+'Wahkiakum Pgs 68-69'!G24+'Walla Walla Pgs 70-71'!G24+'Whatcom Pgs 72-73'!G24+'Whitman Pgs 74-75'!G24+'Yakima Pgs 76-77'!G24+'Seattle-King Pgs 54-55'!G24</f>
        <v>1186624</v>
      </c>
      <c r="H24" s="219">
        <f>'Adams Pgs 8-9'!H24+'Asotin Pgs 10-11'!H24+'Benton-Franklin Pgs 12-13'!H24+'Chelan-Douglas Pgs 14-15'!H24+'Clallam Pgs 16-17'!H24+'Clark Pgs 18-19'!H24+'Columbia Pgs 20-21'!H24+'Cowlitz Pgs 22-23'!H24+'Garfield Pgs 24-25'!H24+'Grant Pgs 26-27'!H24+'Grays Harbor Pgs 28-29'!H24+'Island Pgs 30-31'!H24+'Jefferson Pgs 32-33'!H24+'Kitsap Pgs 34-35'!H24+'Kittitas Pgs 36-37'!H24+'Klickitat Pgs 38-39'!H24+'Lewis Pgs 40-41'!H24+'Lincoln Pgs 42-43'!H24+'Mason Pgs 44-45'!H24+'Northeast Tri Pgs 46-47'!H24+'Okanogan Pgs 48-49'!H24+'Pacific Pgs 50-51'!H24+'San Juan Pgs 52-53'!H24+'Skagit Pgs 56-57'!H24+'Skamania Pgs 58-59'!H24+'Snohomish Pgs 60-61'!H24+'Spokane Pgs 62-63'!H24+'Tacoma-Pierce Pgs 64-65'!H24+'Thurston Pgs 66-67'!H24+'Wahkiakum Pgs 68-69'!H24+'Walla Walla Pgs 70-71'!H24+'Whatcom Pgs 72-73'!H24+'Whitman Pgs 74-75'!H24+'Yakima Pgs 76-77'!H24+'Seattle-King Pgs 54-55'!H24</f>
        <v>744</v>
      </c>
      <c r="I24" s="221">
        <f>'Adams Pgs 8-9'!I24+'Asotin Pgs 10-11'!I24+'Benton-Franklin Pgs 12-13'!I24+'Chelan-Douglas Pgs 14-15'!I24+'Clallam Pgs 16-17'!I24+'Clark Pgs 18-19'!I24+'Columbia Pgs 20-21'!I24+'Cowlitz Pgs 22-23'!I24+'Garfield Pgs 24-25'!I24+'Grant Pgs 26-27'!I24+'Grays Harbor Pgs 28-29'!I24+'Island Pgs 30-31'!I24+'Jefferson Pgs 32-33'!I24+'Kitsap Pgs 34-35'!I24+'Kittitas Pgs 36-37'!I24+'Klickitat Pgs 38-39'!I24+'Lewis Pgs 40-41'!I24+'Lincoln Pgs 42-43'!I24+'Mason Pgs 44-45'!I24+'Northeast Tri Pgs 46-47'!I24+'Okanogan Pgs 48-49'!I24+'Pacific Pgs 50-51'!I24+'San Juan Pgs 52-53'!I24+'Skagit Pgs 56-57'!I24+'Skamania Pgs 58-59'!I24+'Snohomish Pgs 60-61'!I24+'Spokane Pgs 62-63'!I24+'Tacoma-Pierce Pgs 64-65'!I24+'Thurston Pgs 66-67'!I24+'Wahkiakum Pgs 68-69'!I24+'Walla Walla Pgs 70-71'!I24+'Whatcom Pgs 72-73'!I24+'Whitman Pgs 74-75'!I24+'Yakima Pgs 76-77'!I24+'Seattle-King Pgs 54-55'!I24</f>
        <v>318571</v>
      </c>
      <c r="J24" s="217">
        <f>'Adams Pgs 8-9'!J24+'Asotin Pgs 10-11'!J24+'Benton-Franklin Pgs 12-13'!J24+'Chelan-Douglas Pgs 14-15'!J24+'Clallam Pgs 16-17'!J24+'Clark Pgs 18-19'!J24+'Columbia Pgs 20-21'!J24+'Cowlitz Pgs 22-23'!J24+'Garfield Pgs 24-25'!J24+'Grant Pgs 26-27'!J24+'Grays Harbor Pgs 28-29'!J24+'Island Pgs 30-31'!J24+'Jefferson Pgs 32-33'!J24+'Kitsap Pgs 34-35'!J24+'Kittitas Pgs 36-37'!J24+'Klickitat Pgs 38-39'!J24+'Lewis Pgs 40-41'!J24+'Lincoln Pgs 42-43'!J24+'Mason Pgs 44-45'!J24+'Northeast Tri Pgs 46-47'!J24+'Okanogan Pgs 48-49'!J24+'Pacific Pgs 50-51'!J24+'San Juan Pgs 52-53'!J24+'Snohomish Pgs 60-61'!J24+'Spokane Pgs 62-63'!J24+'Tacoma-Pierce Pgs 64-65'!J24+'Thurston Pgs 66-67'!J24+'Wahkiakum Pgs 68-69'!J24+'Walla Walla Pgs 70-71'!J24+'Whatcom Pgs 72-73'!J24+'Whitman Pgs 74-75'!J24+'Yakima Pgs 76-77'!J24+'Seattle-King Pgs 54-55'!J24+'Skagit Pgs 56-57'!J24+'Skamania Pgs 58-59'!J24</f>
        <v>172163</v>
      </c>
      <c r="K24" s="222">
        <f>'Adams Pgs 8-9'!K24+'Asotin Pgs 10-11'!K24+'Benton-Franklin Pgs 12-13'!K24+'Chelan-Douglas Pgs 14-15'!K24+'Clallam Pgs 16-17'!K24+'Clark Pgs 18-19'!K24+'Columbia Pgs 20-21'!K24+'Cowlitz Pgs 22-23'!K24+'Garfield Pgs 24-25'!K24+'Grant Pgs 26-27'!K24+'Grays Harbor Pgs 28-29'!K24+'Island Pgs 30-31'!K24+'Jefferson Pgs 32-33'!K24+'Kitsap Pgs 34-35'!K24+'Kittitas Pgs 36-37'!K24+'Klickitat Pgs 38-39'!K24+'Lewis Pgs 40-41'!K24+'Lincoln Pgs 42-43'!K24+'Mason Pgs 44-45'!K24+'Northeast Tri Pgs 46-47'!K24+'Okanogan Pgs 48-49'!K24+'Pacific Pgs 50-51'!K24+'San Juan Pgs 52-53'!K24+'Skagit Pgs 56-57'!K24+'Skamania Pgs 58-59'!K24+'Snohomish Pgs 60-61'!K24+'Spokane Pgs 62-63'!K24+'Tacoma-Pierce Pgs 64-65'!K24+'Thurston Pgs 66-67'!K24+'Wahkiakum Pgs 68-69'!K24+'Walla Walla Pgs 70-71'!K24+'Whatcom Pgs 72-73'!K24+'Whitman Pgs 74-75'!K24+'Yakima Pgs 76-77'!K24+'Seattle-King Pgs 54-55'!K24</f>
        <v>2483</v>
      </c>
      <c r="L24" s="223">
        <f t="shared" si="1"/>
        <v>1937661</v>
      </c>
    </row>
    <row r="25" spans="1:12" s="224" customFormat="1" ht="14.45" customHeight="1" x14ac:dyDescent="0.2">
      <c r="A25" s="214">
        <v>562.42999999999995</v>
      </c>
      <c r="B25" s="215" t="s">
        <v>55</v>
      </c>
      <c r="C25" s="216">
        <f>'Adams Pgs 8-9'!C25+'Asotin Pgs 10-11'!C25+'Benton-Franklin Pgs 12-13'!C25+'Chelan-Douglas Pgs 14-15'!C25+'Clallam Pgs 16-17'!C25+'Clark Pgs 18-19'!C25+'Columbia Pgs 20-21'!C25+'Cowlitz Pgs 22-23'!C25+'Garfield Pgs 24-25'!C25+'Grant Pgs 26-27'!C25+'Grays Harbor Pgs 28-29'!C25+'Island Pgs 30-31'!C25+'Jefferson Pgs 32-33'!C25+'Kitsap Pgs 34-35'!C25+'Kittitas Pgs 36-37'!C25+'Klickitat Pgs 38-39'!C25+'Lewis Pgs 40-41'!C25+'Lincoln Pgs 42-43'!C25+'Mason Pgs 44-45'!C25+'Northeast Tri Pgs 46-47'!C25+'Okanogan Pgs 48-49'!C25+'Pacific Pgs 50-51'!C25+'San Juan Pgs 52-53'!C25+'Skagit Pgs 56-57'!C25+'Skamania Pgs 58-59'!C25+'Snohomish Pgs 60-61'!C25+'Spokane Pgs 62-63'!C25+'Tacoma-Pierce Pgs 64-65'!C25+'Thurston Pgs 66-67'!C25+'Wahkiakum Pgs 68-69'!C25+'Walla Walla Pgs 70-71'!C25+'Whatcom Pgs 72-73'!C25+'Whitman Pgs 74-75'!C25+'Yakima Pgs 76-77'!C25+'Seattle-King Pgs 54-55'!C25</f>
        <v>2451</v>
      </c>
      <c r="D25" s="225" t="s">
        <v>154</v>
      </c>
      <c r="E25" s="218">
        <f>'Adams Pgs 8-9'!E25+'Asotin Pgs 10-11'!E25+'Benton-Franklin Pgs 12-13'!E25+'Chelan-Douglas Pgs 14-15'!E25+'Clallam Pgs 16-17'!E25+'Clark Pgs 18-19'!E25+'Columbia Pgs 20-21'!E25+'Cowlitz Pgs 22-23'!E25+'Garfield Pgs 24-25'!E25+'Grant Pgs 26-27'!E25+'Grays Harbor Pgs 28-29'!E25+'Island Pgs 30-31'!E25+'Jefferson Pgs 32-33'!E25+'Kitsap Pgs 34-35'!E25+'Kittitas Pgs 36-37'!E25+'Klickitat Pgs 38-39'!E25+'Lewis Pgs 40-41'!E25+'Lincoln Pgs 42-43'!E25+'Mason Pgs 44-45'!E25+'Northeast Tri Pgs 46-47'!E25+'Okanogan Pgs 48-49'!E25+'Pacific Pgs 50-51'!E25+'San Juan Pgs 52-53'!E25+'Skagit Pgs 56-57'!E25+'Skamania Pgs 58-59'!E25+'Snohomish Pgs 60-61'!E25+'Spokane Pgs 62-63'!E25+'Tacoma-Pierce Pgs 64-65'!E25+'Thurston Pgs 66-67'!E25+'Wahkiakum Pgs 68-69'!E25+'Walla Walla Pgs 70-71'!E25+'Whatcom Pgs 72-73'!E25+'Whitman Pgs 74-75'!E25+'Yakima Pgs 76-77'!E25+'Seattle-King Pgs 54-55'!E25</f>
        <v>210780</v>
      </c>
      <c r="F25" s="227" t="s">
        <v>154</v>
      </c>
      <c r="G25" s="220">
        <f>'Adams Pgs 8-9'!G25+'Asotin Pgs 10-11'!G25+'Benton-Franklin Pgs 12-13'!G25+'Chelan-Douglas Pgs 14-15'!G25+'Clallam Pgs 16-17'!G25+'Clark Pgs 18-19'!G25+'Columbia Pgs 20-21'!G25+'Cowlitz Pgs 22-23'!G25+'Garfield Pgs 24-25'!G25+'Grant Pgs 26-27'!G25+'Grays Harbor Pgs 28-29'!G25+'Island Pgs 30-31'!G25+'Jefferson Pgs 32-33'!G25+'Kitsap Pgs 34-35'!G25+'Kittitas Pgs 36-37'!G25+'Klickitat Pgs 38-39'!G25+'Lewis Pgs 40-41'!G25+'Lincoln Pgs 42-43'!G25+'Mason Pgs 44-45'!G25+'Northeast Tri Pgs 46-47'!G25+'Okanogan Pgs 48-49'!G25+'Pacific Pgs 50-51'!G25+'San Juan Pgs 52-53'!G25+'Skagit Pgs 56-57'!G25+'Skamania Pgs 58-59'!G25+'Snohomish Pgs 60-61'!G25+'Spokane Pgs 62-63'!G25+'Tacoma-Pierce Pgs 64-65'!G25+'Thurston Pgs 66-67'!G25+'Wahkiakum Pgs 68-69'!G25+'Walla Walla Pgs 70-71'!G25+'Whatcom Pgs 72-73'!G25+'Whitman Pgs 74-75'!G25+'Yakima Pgs 76-77'!G25+'Seattle-King Pgs 54-55'!G25</f>
        <v>55102</v>
      </c>
      <c r="H25" s="227" t="s">
        <v>154</v>
      </c>
      <c r="I25" s="221">
        <f>'Adams Pgs 8-9'!I25+'Asotin Pgs 10-11'!I25+'Benton-Franklin Pgs 12-13'!I25+'Chelan-Douglas Pgs 14-15'!I25+'Clallam Pgs 16-17'!I25+'Clark Pgs 18-19'!I25+'Columbia Pgs 20-21'!I25+'Cowlitz Pgs 22-23'!I25+'Garfield Pgs 24-25'!I25+'Grant Pgs 26-27'!I25+'Grays Harbor Pgs 28-29'!I25+'Island Pgs 30-31'!I25+'Jefferson Pgs 32-33'!I25+'Kitsap Pgs 34-35'!I25+'Kittitas Pgs 36-37'!I25+'Klickitat Pgs 38-39'!I25+'Lewis Pgs 40-41'!I25+'Lincoln Pgs 42-43'!I25+'Mason Pgs 44-45'!I25+'Northeast Tri Pgs 46-47'!I25+'Okanogan Pgs 48-49'!I25+'Pacific Pgs 50-51'!I25+'San Juan Pgs 52-53'!I25+'Skagit Pgs 56-57'!I25+'Skamania Pgs 58-59'!I25+'Snohomish Pgs 60-61'!I25+'Spokane Pgs 62-63'!I25+'Tacoma-Pierce Pgs 64-65'!I25+'Thurston Pgs 66-67'!I25+'Wahkiakum Pgs 68-69'!I25+'Walla Walla Pgs 70-71'!I25+'Whatcom Pgs 72-73'!I25+'Whitman Pgs 74-75'!I25+'Yakima Pgs 76-77'!I25+'Seattle-King Pgs 54-55'!I25</f>
        <v>670937</v>
      </c>
      <c r="J25" s="217">
        <f>'Adams Pgs 8-9'!J25+'Asotin Pgs 10-11'!J25+'Benton-Franklin Pgs 12-13'!J25+'Chelan-Douglas Pgs 14-15'!J25+'Clallam Pgs 16-17'!J25+'Clark Pgs 18-19'!J25+'Columbia Pgs 20-21'!J25+'Cowlitz Pgs 22-23'!J25+'Garfield Pgs 24-25'!J25+'Grant Pgs 26-27'!J25+'Grays Harbor Pgs 28-29'!J25+'Island Pgs 30-31'!J25+'Jefferson Pgs 32-33'!J25+'Kitsap Pgs 34-35'!J25+'Kittitas Pgs 36-37'!J25+'Klickitat Pgs 38-39'!J25+'Lewis Pgs 40-41'!J25+'Lincoln Pgs 42-43'!J25+'Mason Pgs 44-45'!J25+'Northeast Tri Pgs 46-47'!J25+'Okanogan Pgs 48-49'!J25+'Pacific Pgs 50-51'!J25+'San Juan Pgs 52-53'!J25+'Snohomish Pgs 60-61'!J25+'Spokane Pgs 62-63'!J25+'Tacoma-Pierce Pgs 64-65'!J25+'Thurston Pgs 66-67'!J25+'Wahkiakum Pgs 68-69'!J25+'Walla Walla Pgs 70-71'!J25+'Whatcom Pgs 72-73'!J25+'Whitman Pgs 74-75'!J25+'Yakima Pgs 76-77'!J25+'Seattle-King Pgs 54-55'!J25+'Skagit Pgs 56-57'!J25+'Skamania Pgs 58-59'!J25</f>
        <v>1727</v>
      </c>
      <c r="K25" s="222">
        <f>'Adams Pgs 8-9'!K25+'Asotin Pgs 10-11'!K25+'Benton-Franklin Pgs 12-13'!K25+'Chelan-Douglas Pgs 14-15'!K25+'Clallam Pgs 16-17'!K25+'Clark Pgs 18-19'!K25+'Columbia Pgs 20-21'!K25+'Cowlitz Pgs 22-23'!K25+'Garfield Pgs 24-25'!K25+'Grant Pgs 26-27'!K25+'Grays Harbor Pgs 28-29'!K25+'Island Pgs 30-31'!K25+'Jefferson Pgs 32-33'!K25+'Kitsap Pgs 34-35'!K25+'Kittitas Pgs 36-37'!K25+'Klickitat Pgs 38-39'!K25+'Lewis Pgs 40-41'!K25+'Lincoln Pgs 42-43'!K25+'Mason Pgs 44-45'!K25+'Northeast Tri Pgs 46-47'!K25+'Okanogan Pgs 48-49'!K25+'Pacific Pgs 50-51'!K25+'San Juan Pgs 52-53'!K25+'Skagit Pgs 56-57'!K25+'Skamania Pgs 58-59'!K25+'Snohomish Pgs 60-61'!K25+'Spokane Pgs 62-63'!K25+'Tacoma-Pierce Pgs 64-65'!K25+'Thurston Pgs 66-67'!K25+'Wahkiakum Pgs 68-69'!K25+'Walla Walla Pgs 70-71'!K25+'Whatcom Pgs 72-73'!K25+'Whitman Pgs 74-75'!K25+'Yakima Pgs 76-77'!K25+'Seattle-King Pgs 54-55'!K25</f>
        <v>10919</v>
      </c>
      <c r="L25" s="223">
        <f t="shared" si="1"/>
        <v>951916</v>
      </c>
    </row>
    <row r="26" spans="1:12" s="224" customFormat="1" ht="14.45" customHeight="1" x14ac:dyDescent="0.2">
      <c r="A26" s="214">
        <v>562.44000000000005</v>
      </c>
      <c r="B26" s="215" t="s">
        <v>56</v>
      </c>
      <c r="C26" s="216">
        <f>'Adams Pgs 8-9'!C26+'Asotin Pgs 10-11'!C26+'Benton-Franklin Pgs 12-13'!C26+'Chelan-Douglas Pgs 14-15'!C26+'Clallam Pgs 16-17'!C26+'Clark Pgs 18-19'!C26+'Columbia Pgs 20-21'!C26+'Cowlitz Pgs 22-23'!C26+'Garfield Pgs 24-25'!C26+'Grant Pgs 26-27'!C26+'Grays Harbor Pgs 28-29'!C26+'Island Pgs 30-31'!C26+'Jefferson Pgs 32-33'!C26+'Kitsap Pgs 34-35'!C26+'Kittitas Pgs 36-37'!C26+'Klickitat Pgs 38-39'!C26+'Lewis Pgs 40-41'!C26+'Lincoln Pgs 42-43'!C26+'Mason Pgs 44-45'!C26+'Northeast Tri Pgs 46-47'!C26+'Okanogan Pgs 48-49'!C26+'Pacific Pgs 50-51'!C26+'San Juan Pgs 52-53'!C26+'Skagit Pgs 56-57'!C26+'Skamania Pgs 58-59'!C26+'Snohomish Pgs 60-61'!C26+'Spokane Pgs 62-63'!C26+'Tacoma-Pierce Pgs 64-65'!C26+'Thurston Pgs 66-67'!C26+'Wahkiakum Pgs 68-69'!C26+'Walla Walla Pgs 70-71'!C26+'Whatcom Pgs 72-73'!C26+'Whitman Pgs 74-75'!C26+'Yakima Pgs 76-77'!C26+'Seattle-King Pgs 54-55'!C26</f>
        <v>449184</v>
      </c>
      <c r="D26" s="217">
        <f>'Adams Pgs 8-9'!D26+'Asotin Pgs 10-11'!D26+'Benton-Franklin Pgs 12-13'!D26+'Chelan-Douglas Pgs 14-15'!D26+'Clallam Pgs 16-17'!D26+'Clark Pgs 18-19'!D26+'Columbia Pgs 20-21'!D26+'Cowlitz Pgs 22-23'!D26+'Garfield Pgs 24-25'!D26+'Grant Pgs 26-27'!D26+'Grays Harbor Pgs 28-29'!D26+'Island Pgs 30-31'!D26+'Jefferson Pgs 32-33'!D26+'Kitsap Pgs 34-35'!D26+'Kittitas Pgs 36-37'!D26+'Klickitat Pgs 38-39'!D26+'Lewis Pgs 40-41'!D26+'Lincoln Pgs 42-43'!D26+'Mason Pgs 44-45'!D26+'Northeast Tri Pgs 46-47'!D26+'Okanogan Pgs 48-49'!D26+'Pacific Pgs 50-51'!D26+'San Juan Pgs 52-53'!D26+'Skagit Pgs 56-57'!D26+'Skamania Pgs 58-59'!D26+'Snohomish Pgs 60-61'!D26+'Spokane Pgs 62-63'!D26+'Tacoma-Pierce Pgs 64-65'!D26+'Thurston Pgs 66-67'!D26+'Wahkiakum Pgs 68-69'!D26+'Walla Walla Pgs 70-71'!D26+'Whatcom Pgs 72-73'!D26+'Whitman Pgs 74-75'!D26+'Yakima Pgs 76-77'!D26+'Seattle-King Pgs 54-55'!D26</f>
        <v>8080</v>
      </c>
      <c r="E26" s="218">
        <f>'Adams Pgs 8-9'!E26+'Asotin Pgs 10-11'!E26+'Benton-Franklin Pgs 12-13'!E26+'Chelan-Douglas Pgs 14-15'!E26+'Clallam Pgs 16-17'!E26+'Clark Pgs 18-19'!E26+'Columbia Pgs 20-21'!E26+'Cowlitz Pgs 22-23'!E26+'Garfield Pgs 24-25'!E26+'Grant Pgs 26-27'!E26+'Grays Harbor Pgs 28-29'!E26+'Island Pgs 30-31'!E26+'Jefferson Pgs 32-33'!E26+'Kitsap Pgs 34-35'!E26+'Kittitas Pgs 36-37'!E26+'Klickitat Pgs 38-39'!E26+'Lewis Pgs 40-41'!E26+'Lincoln Pgs 42-43'!E26+'Mason Pgs 44-45'!E26+'Northeast Tri Pgs 46-47'!E26+'Okanogan Pgs 48-49'!E26+'Pacific Pgs 50-51'!E26+'San Juan Pgs 52-53'!E26+'Skagit Pgs 56-57'!E26+'Skamania Pgs 58-59'!E26+'Snohomish Pgs 60-61'!E26+'Spokane Pgs 62-63'!E26+'Tacoma-Pierce Pgs 64-65'!E26+'Thurston Pgs 66-67'!E26+'Wahkiakum Pgs 68-69'!E26+'Walla Walla Pgs 70-71'!E26+'Whatcom Pgs 72-73'!E26+'Whitman Pgs 74-75'!E26+'Yakima Pgs 76-77'!E26+'Seattle-King Pgs 54-55'!E26</f>
        <v>1557459</v>
      </c>
      <c r="F26" s="227" t="s">
        <v>154</v>
      </c>
      <c r="G26" s="220">
        <f>'Adams Pgs 8-9'!G26+'Asotin Pgs 10-11'!G26+'Benton-Franklin Pgs 12-13'!G26+'Chelan-Douglas Pgs 14-15'!G26+'Clallam Pgs 16-17'!G26+'Clark Pgs 18-19'!G26+'Columbia Pgs 20-21'!G26+'Cowlitz Pgs 22-23'!G26+'Garfield Pgs 24-25'!G26+'Grant Pgs 26-27'!G26+'Grays Harbor Pgs 28-29'!G26+'Island Pgs 30-31'!G26+'Jefferson Pgs 32-33'!G26+'Kitsap Pgs 34-35'!G26+'Kittitas Pgs 36-37'!G26+'Klickitat Pgs 38-39'!G26+'Lewis Pgs 40-41'!G26+'Lincoln Pgs 42-43'!G26+'Mason Pgs 44-45'!G26+'Northeast Tri Pgs 46-47'!G26+'Okanogan Pgs 48-49'!G26+'Pacific Pgs 50-51'!G26+'San Juan Pgs 52-53'!G26+'Skagit Pgs 56-57'!G26+'Skamania Pgs 58-59'!G26+'Snohomish Pgs 60-61'!G26+'Spokane Pgs 62-63'!G26+'Tacoma-Pierce Pgs 64-65'!G26+'Thurston Pgs 66-67'!G26+'Wahkiakum Pgs 68-69'!G26+'Walla Walla Pgs 70-71'!G26+'Whatcom Pgs 72-73'!G26+'Whitman Pgs 74-75'!G26+'Yakima Pgs 76-77'!G26+'Seattle-King Pgs 54-55'!G26</f>
        <v>1165401</v>
      </c>
      <c r="H26" s="219">
        <f>'Adams Pgs 8-9'!H26+'Asotin Pgs 10-11'!H26+'Benton-Franklin Pgs 12-13'!H26+'Chelan-Douglas Pgs 14-15'!H26+'Clallam Pgs 16-17'!H26+'Clark Pgs 18-19'!H26+'Columbia Pgs 20-21'!H26+'Cowlitz Pgs 22-23'!H26+'Garfield Pgs 24-25'!H26+'Grant Pgs 26-27'!H26+'Grays Harbor Pgs 28-29'!H26+'Island Pgs 30-31'!H26+'Jefferson Pgs 32-33'!H26+'Kitsap Pgs 34-35'!H26+'Kittitas Pgs 36-37'!H26+'Klickitat Pgs 38-39'!H26+'Lewis Pgs 40-41'!H26+'Lincoln Pgs 42-43'!H26+'Mason Pgs 44-45'!H26+'Northeast Tri Pgs 46-47'!H26+'Okanogan Pgs 48-49'!H26+'Pacific Pgs 50-51'!H26+'San Juan Pgs 52-53'!H26+'Skagit Pgs 56-57'!H26+'Skamania Pgs 58-59'!H26+'Snohomish Pgs 60-61'!H26+'Spokane Pgs 62-63'!H26+'Tacoma-Pierce Pgs 64-65'!H26+'Thurston Pgs 66-67'!H26+'Wahkiakum Pgs 68-69'!H26+'Walla Walla Pgs 70-71'!H26+'Whatcom Pgs 72-73'!H26+'Whitman Pgs 74-75'!H26+'Yakima Pgs 76-77'!H26+'Seattle-King Pgs 54-55'!H26</f>
        <v>235030</v>
      </c>
      <c r="I26" s="221">
        <f>'Adams Pgs 8-9'!I26+'Asotin Pgs 10-11'!I26+'Benton-Franklin Pgs 12-13'!I26+'Chelan-Douglas Pgs 14-15'!I26+'Clallam Pgs 16-17'!I26+'Clark Pgs 18-19'!I26+'Columbia Pgs 20-21'!I26+'Cowlitz Pgs 22-23'!I26+'Garfield Pgs 24-25'!I26+'Grant Pgs 26-27'!I26+'Grays Harbor Pgs 28-29'!I26+'Island Pgs 30-31'!I26+'Jefferson Pgs 32-33'!I26+'Kitsap Pgs 34-35'!I26+'Kittitas Pgs 36-37'!I26+'Klickitat Pgs 38-39'!I26+'Lewis Pgs 40-41'!I26+'Lincoln Pgs 42-43'!I26+'Mason Pgs 44-45'!I26+'Northeast Tri Pgs 46-47'!I26+'Okanogan Pgs 48-49'!I26+'Pacific Pgs 50-51'!I26+'San Juan Pgs 52-53'!I26+'Skagit Pgs 56-57'!I26+'Skamania Pgs 58-59'!I26+'Snohomish Pgs 60-61'!I26+'Spokane Pgs 62-63'!I26+'Tacoma-Pierce Pgs 64-65'!I26+'Thurston Pgs 66-67'!I26+'Wahkiakum Pgs 68-69'!I26+'Walla Walla Pgs 70-71'!I26+'Whatcom Pgs 72-73'!I26+'Whitman Pgs 74-75'!I26+'Yakima Pgs 76-77'!I26+'Seattle-King Pgs 54-55'!I26</f>
        <v>311324</v>
      </c>
      <c r="J26" s="217">
        <f>'Adams Pgs 8-9'!J26+'Asotin Pgs 10-11'!J26+'Benton-Franklin Pgs 12-13'!J26+'Chelan-Douglas Pgs 14-15'!J26+'Clallam Pgs 16-17'!J26+'Clark Pgs 18-19'!J26+'Columbia Pgs 20-21'!J26+'Cowlitz Pgs 22-23'!J26+'Garfield Pgs 24-25'!J26+'Grant Pgs 26-27'!J26+'Grays Harbor Pgs 28-29'!J26+'Island Pgs 30-31'!J26+'Jefferson Pgs 32-33'!J26+'Kitsap Pgs 34-35'!J26+'Kittitas Pgs 36-37'!J26+'Klickitat Pgs 38-39'!J26+'Lewis Pgs 40-41'!J26+'Lincoln Pgs 42-43'!J26+'Mason Pgs 44-45'!J26+'Northeast Tri Pgs 46-47'!J26+'Okanogan Pgs 48-49'!J26+'Pacific Pgs 50-51'!J26+'San Juan Pgs 52-53'!J26+'Snohomish Pgs 60-61'!J26+'Spokane Pgs 62-63'!J26+'Tacoma-Pierce Pgs 64-65'!J26+'Thurston Pgs 66-67'!J26+'Wahkiakum Pgs 68-69'!J26+'Walla Walla Pgs 70-71'!J26+'Whatcom Pgs 72-73'!J26+'Whitman Pgs 74-75'!J26+'Yakima Pgs 76-77'!J26+'Seattle-King Pgs 54-55'!J26+'Skagit Pgs 56-57'!J26+'Skamania Pgs 58-59'!J26</f>
        <v>44442</v>
      </c>
      <c r="K26" s="222">
        <f>'Adams Pgs 8-9'!K26+'Asotin Pgs 10-11'!K26+'Benton-Franklin Pgs 12-13'!K26+'Chelan-Douglas Pgs 14-15'!K26+'Clallam Pgs 16-17'!K26+'Clark Pgs 18-19'!K26+'Columbia Pgs 20-21'!K26+'Cowlitz Pgs 22-23'!K26+'Garfield Pgs 24-25'!K26+'Grant Pgs 26-27'!K26+'Grays Harbor Pgs 28-29'!K26+'Island Pgs 30-31'!K26+'Jefferson Pgs 32-33'!K26+'Kitsap Pgs 34-35'!K26+'Kittitas Pgs 36-37'!K26+'Klickitat Pgs 38-39'!K26+'Lewis Pgs 40-41'!K26+'Lincoln Pgs 42-43'!K26+'Mason Pgs 44-45'!K26+'Northeast Tri Pgs 46-47'!K26+'Okanogan Pgs 48-49'!K26+'Pacific Pgs 50-51'!K26+'San Juan Pgs 52-53'!K26+'Skagit Pgs 56-57'!K26+'Skamania Pgs 58-59'!K26+'Snohomish Pgs 60-61'!K26+'Spokane Pgs 62-63'!K26+'Tacoma-Pierce Pgs 64-65'!K26+'Thurston Pgs 66-67'!K26+'Wahkiakum Pgs 68-69'!K26+'Walla Walla Pgs 70-71'!K26+'Whatcom Pgs 72-73'!K26+'Whitman Pgs 74-75'!K26+'Yakima Pgs 76-77'!K26+'Seattle-King Pgs 54-55'!K26</f>
        <v>154772</v>
      </c>
      <c r="L26" s="223">
        <f t="shared" si="1"/>
        <v>3925692</v>
      </c>
    </row>
    <row r="27" spans="1:12" s="224" customFormat="1" ht="14.45" customHeight="1" x14ac:dyDescent="0.2">
      <c r="A27" s="214">
        <v>562.45000000000005</v>
      </c>
      <c r="B27" s="215" t="s">
        <v>57</v>
      </c>
      <c r="C27" s="216">
        <f>'Adams Pgs 8-9'!C27+'Asotin Pgs 10-11'!C27+'Benton-Franklin Pgs 12-13'!C27+'Chelan-Douglas Pgs 14-15'!C27+'Clallam Pgs 16-17'!C27+'Clark Pgs 18-19'!C27+'Columbia Pgs 20-21'!C27+'Cowlitz Pgs 22-23'!C27+'Garfield Pgs 24-25'!C27+'Grant Pgs 26-27'!C27+'Grays Harbor Pgs 28-29'!C27+'Island Pgs 30-31'!C27+'Jefferson Pgs 32-33'!C27+'Kitsap Pgs 34-35'!C27+'Kittitas Pgs 36-37'!C27+'Klickitat Pgs 38-39'!C27+'Lewis Pgs 40-41'!C27+'Lincoln Pgs 42-43'!C27+'Mason Pgs 44-45'!C27+'Northeast Tri Pgs 46-47'!C27+'Okanogan Pgs 48-49'!C27+'Pacific Pgs 50-51'!C27+'San Juan Pgs 52-53'!C27+'Skagit Pgs 56-57'!C27+'Skamania Pgs 58-59'!C27+'Snohomish Pgs 60-61'!C27+'Spokane Pgs 62-63'!C27+'Tacoma-Pierce Pgs 64-65'!C27+'Thurston Pgs 66-67'!C27+'Wahkiakum Pgs 68-69'!C27+'Walla Walla Pgs 70-71'!C27+'Whatcom Pgs 72-73'!C27+'Whitman Pgs 74-75'!C27+'Yakima Pgs 76-77'!C27+'Seattle-King Pgs 54-55'!C27</f>
        <v>113715</v>
      </c>
      <c r="D27" s="217">
        <f>'Adams Pgs 8-9'!D27+'Asotin Pgs 10-11'!D27+'Benton-Franklin Pgs 12-13'!D27+'Chelan-Douglas Pgs 14-15'!D27+'Clallam Pgs 16-17'!D27+'Clark Pgs 18-19'!D27+'Columbia Pgs 20-21'!D27+'Cowlitz Pgs 22-23'!D27+'Garfield Pgs 24-25'!D27+'Grant Pgs 26-27'!D27+'Grays Harbor Pgs 28-29'!D27+'Island Pgs 30-31'!D27+'Jefferson Pgs 32-33'!D27+'Kitsap Pgs 34-35'!D27+'Kittitas Pgs 36-37'!D27+'Klickitat Pgs 38-39'!D27+'Lewis Pgs 40-41'!D27+'Lincoln Pgs 42-43'!D27+'Mason Pgs 44-45'!D27+'Northeast Tri Pgs 46-47'!D27+'Okanogan Pgs 48-49'!D27+'Pacific Pgs 50-51'!D27+'San Juan Pgs 52-53'!D27+'Skagit Pgs 56-57'!D27+'Skamania Pgs 58-59'!D27+'Snohomish Pgs 60-61'!D27+'Spokane Pgs 62-63'!D27+'Tacoma-Pierce Pgs 64-65'!D27+'Thurston Pgs 66-67'!D27+'Wahkiakum Pgs 68-69'!D27+'Walla Walla Pgs 70-71'!D27+'Whatcom Pgs 72-73'!D27+'Whitman Pgs 74-75'!D27+'Yakima Pgs 76-77'!D27+'Seattle-King Pgs 54-55'!D27</f>
        <v>51932</v>
      </c>
      <c r="E27" s="226" t="s">
        <v>154</v>
      </c>
      <c r="F27" s="227" t="s">
        <v>154</v>
      </c>
      <c r="G27" s="220">
        <f>'Adams Pgs 8-9'!G27+'Asotin Pgs 10-11'!G27+'Benton-Franklin Pgs 12-13'!G27+'Chelan-Douglas Pgs 14-15'!G27+'Clallam Pgs 16-17'!G27+'Clark Pgs 18-19'!G27+'Columbia Pgs 20-21'!G27+'Cowlitz Pgs 22-23'!G27+'Garfield Pgs 24-25'!G27+'Grant Pgs 26-27'!G27+'Grays Harbor Pgs 28-29'!G27+'Island Pgs 30-31'!G27+'Jefferson Pgs 32-33'!G27+'Kitsap Pgs 34-35'!G27+'Kittitas Pgs 36-37'!G27+'Klickitat Pgs 38-39'!G27+'Lewis Pgs 40-41'!G27+'Lincoln Pgs 42-43'!G27+'Mason Pgs 44-45'!G27+'Northeast Tri Pgs 46-47'!G27+'Okanogan Pgs 48-49'!G27+'Pacific Pgs 50-51'!G27+'San Juan Pgs 52-53'!G27+'Skagit Pgs 56-57'!G27+'Skamania Pgs 58-59'!G27+'Snohomish Pgs 60-61'!G27+'Spokane Pgs 62-63'!G27+'Tacoma-Pierce Pgs 64-65'!G27+'Thurston Pgs 66-67'!G27+'Wahkiakum Pgs 68-69'!G27+'Walla Walla Pgs 70-71'!G27+'Whatcom Pgs 72-73'!G27+'Whitman Pgs 74-75'!G27+'Yakima Pgs 76-77'!G27+'Seattle-King Pgs 54-55'!G27</f>
        <v>572523</v>
      </c>
      <c r="H27" s="219">
        <f>'Adams Pgs 8-9'!H27+'Asotin Pgs 10-11'!H27+'Benton-Franklin Pgs 12-13'!H27+'Chelan-Douglas Pgs 14-15'!H27+'Clallam Pgs 16-17'!H27+'Clark Pgs 18-19'!H27+'Columbia Pgs 20-21'!H27+'Cowlitz Pgs 22-23'!H27+'Garfield Pgs 24-25'!H27+'Grant Pgs 26-27'!H27+'Grays Harbor Pgs 28-29'!H27+'Island Pgs 30-31'!H27+'Jefferson Pgs 32-33'!H27+'Kitsap Pgs 34-35'!H27+'Kittitas Pgs 36-37'!H27+'Klickitat Pgs 38-39'!H27+'Lewis Pgs 40-41'!H27+'Lincoln Pgs 42-43'!H27+'Mason Pgs 44-45'!H27+'Northeast Tri Pgs 46-47'!H27+'Okanogan Pgs 48-49'!H27+'Pacific Pgs 50-51'!H27+'San Juan Pgs 52-53'!H27+'Skagit Pgs 56-57'!H27+'Skamania Pgs 58-59'!H27+'Snohomish Pgs 60-61'!H27+'Spokane Pgs 62-63'!H27+'Tacoma-Pierce Pgs 64-65'!H27+'Thurston Pgs 66-67'!H27+'Wahkiakum Pgs 68-69'!H27+'Walla Walla Pgs 70-71'!H27+'Whatcom Pgs 72-73'!H27+'Whitman Pgs 74-75'!H27+'Yakima Pgs 76-77'!H27+'Seattle-King Pgs 54-55'!H27</f>
        <v>90750</v>
      </c>
      <c r="I27" s="221">
        <f>'Adams Pgs 8-9'!I27+'Asotin Pgs 10-11'!I27+'Benton-Franklin Pgs 12-13'!I27+'Chelan-Douglas Pgs 14-15'!I27+'Clallam Pgs 16-17'!I27+'Clark Pgs 18-19'!I27+'Columbia Pgs 20-21'!I27+'Cowlitz Pgs 22-23'!I27+'Garfield Pgs 24-25'!I27+'Grant Pgs 26-27'!I27+'Grays Harbor Pgs 28-29'!I27+'Island Pgs 30-31'!I27+'Jefferson Pgs 32-33'!I27+'Kitsap Pgs 34-35'!I27+'Kittitas Pgs 36-37'!I27+'Klickitat Pgs 38-39'!I27+'Lewis Pgs 40-41'!I27+'Lincoln Pgs 42-43'!I27+'Mason Pgs 44-45'!I27+'Northeast Tri Pgs 46-47'!I27+'Okanogan Pgs 48-49'!I27+'Pacific Pgs 50-51'!I27+'San Juan Pgs 52-53'!I27+'Skagit Pgs 56-57'!I27+'Skamania Pgs 58-59'!I27+'Snohomish Pgs 60-61'!I27+'Spokane Pgs 62-63'!I27+'Tacoma-Pierce Pgs 64-65'!I27+'Thurston Pgs 66-67'!I27+'Wahkiakum Pgs 68-69'!I27+'Walla Walla Pgs 70-71'!I27+'Whatcom Pgs 72-73'!I27+'Whitman Pgs 74-75'!I27+'Yakima Pgs 76-77'!I27+'Seattle-King Pgs 54-55'!I27</f>
        <v>244152</v>
      </c>
      <c r="J27" s="217">
        <f>'Adams Pgs 8-9'!J27+'Asotin Pgs 10-11'!J27+'Benton-Franklin Pgs 12-13'!J27+'Chelan-Douglas Pgs 14-15'!J27+'Clallam Pgs 16-17'!J27+'Clark Pgs 18-19'!J27+'Columbia Pgs 20-21'!J27+'Cowlitz Pgs 22-23'!J27+'Garfield Pgs 24-25'!J27+'Grant Pgs 26-27'!J27+'Grays Harbor Pgs 28-29'!J27+'Island Pgs 30-31'!J27+'Jefferson Pgs 32-33'!J27+'Kitsap Pgs 34-35'!J27+'Kittitas Pgs 36-37'!J27+'Klickitat Pgs 38-39'!J27+'Lewis Pgs 40-41'!J27+'Lincoln Pgs 42-43'!J27+'Mason Pgs 44-45'!J27+'Northeast Tri Pgs 46-47'!J27+'Okanogan Pgs 48-49'!J27+'Pacific Pgs 50-51'!J27+'San Juan Pgs 52-53'!J27+'Snohomish Pgs 60-61'!J27+'Spokane Pgs 62-63'!J27+'Tacoma-Pierce Pgs 64-65'!J27+'Thurston Pgs 66-67'!J27+'Wahkiakum Pgs 68-69'!J27+'Walla Walla Pgs 70-71'!J27+'Whatcom Pgs 72-73'!J27+'Whitman Pgs 74-75'!J27+'Yakima Pgs 76-77'!J27+'Seattle-King Pgs 54-55'!J27+'Skagit Pgs 56-57'!J27+'Skamania Pgs 58-59'!J27</f>
        <v>31813</v>
      </c>
      <c r="K27" s="222">
        <f>'Adams Pgs 8-9'!K27+'Asotin Pgs 10-11'!K27+'Benton-Franklin Pgs 12-13'!K27+'Chelan-Douglas Pgs 14-15'!K27+'Clallam Pgs 16-17'!K27+'Clark Pgs 18-19'!K27+'Columbia Pgs 20-21'!K27+'Cowlitz Pgs 22-23'!K27+'Garfield Pgs 24-25'!K27+'Grant Pgs 26-27'!K27+'Grays Harbor Pgs 28-29'!K27+'Island Pgs 30-31'!K27+'Jefferson Pgs 32-33'!K27+'Kitsap Pgs 34-35'!K27+'Kittitas Pgs 36-37'!K27+'Klickitat Pgs 38-39'!K27+'Lewis Pgs 40-41'!K27+'Lincoln Pgs 42-43'!K27+'Mason Pgs 44-45'!K27+'Northeast Tri Pgs 46-47'!K27+'Okanogan Pgs 48-49'!K27+'Pacific Pgs 50-51'!K27+'San Juan Pgs 52-53'!K27+'Skagit Pgs 56-57'!K27+'Skamania Pgs 58-59'!K27+'Snohomish Pgs 60-61'!K27+'Spokane Pgs 62-63'!K27+'Tacoma-Pierce Pgs 64-65'!K27+'Thurston Pgs 66-67'!K27+'Wahkiakum Pgs 68-69'!K27+'Walla Walla Pgs 70-71'!K27+'Whatcom Pgs 72-73'!K27+'Whitman Pgs 74-75'!K27+'Yakima Pgs 76-77'!K27+'Seattle-King Pgs 54-55'!K27</f>
        <v>20174</v>
      </c>
      <c r="L27" s="223">
        <f t="shared" si="1"/>
        <v>1125059</v>
      </c>
    </row>
    <row r="28" spans="1:12" s="224" customFormat="1" ht="14.45" customHeight="1" x14ac:dyDescent="0.2">
      <c r="A28" s="214">
        <v>562.49</v>
      </c>
      <c r="B28" s="215" t="s">
        <v>46</v>
      </c>
      <c r="C28" s="216">
        <f>'Adams Pgs 8-9'!C28+'Asotin Pgs 10-11'!C28+'Benton-Franklin Pgs 12-13'!C28+'Chelan-Douglas Pgs 14-15'!C28+'Clallam Pgs 16-17'!C28+'Clark Pgs 18-19'!C28+'Columbia Pgs 20-21'!C28+'Cowlitz Pgs 22-23'!C28+'Garfield Pgs 24-25'!C28+'Grant Pgs 26-27'!C28+'Grays Harbor Pgs 28-29'!C28+'Island Pgs 30-31'!C28+'Jefferson Pgs 32-33'!C28+'Kitsap Pgs 34-35'!C28+'Kittitas Pgs 36-37'!C28+'Klickitat Pgs 38-39'!C28+'Lewis Pgs 40-41'!C28+'Lincoln Pgs 42-43'!C28+'Mason Pgs 44-45'!C28+'Northeast Tri Pgs 46-47'!C28+'Okanogan Pgs 48-49'!C28+'Pacific Pgs 50-51'!C28+'San Juan Pgs 52-53'!C28+'Skagit Pgs 56-57'!C28+'Skamania Pgs 58-59'!C28+'Snohomish Pgs 60-61'!C28+'Spokane Pgs 62-63'!C28+'Tacoma-Pierce Pgs 64-65'!C28+'Thurston Pgs 66-67'!C28+'Wahkiakum Pgs 68-69'!C28+'Walla Walla Pgs 70-71'!C28+'Whatcom Pgs 72-73'!C28+'Whitman Pgs 74-75'!C28+'Yakima Pgs 76-77'!C28+'Seattle-King Pgs 54-55'!C28</f>
        <v>725632</v>
      </c>
      <c r="D28" s="217">
        <f>'Adams Pgs 8-9'!D28+'Asotin Pgs 10-11'!D28+'Benton-Franklin Pgs 12-13'!D28+'Chelan-Douglas Pgs 14-15'!D28+'Clallam Pgs 16-17'!D28+'Clark Pgs 18-19'!D28+'Columbia Pgs 20-21'!D28+'Cowlitz Pgs 22-23'!D28+'Garfield Pgs 24-25'!D28+'Grant Pgs 26-27'!D28+'Grays Harbor Pgs 28-29'!D28+'Island Pgs 30-31'!D28+'Jefferson Pgs 32-33'!D28+'Kitsap Pgs 34-35'!D28+'Kittitas Pgs 36-37'!D28+'Klickitat Pgs 38-39'!D28+'Lewis Pgs 40-41'!D28+'Lincoln Pgs 42-43'!D28+'Mason Pgs 44-45'!D28+'Northeast Tri Pgs 46-47'!D28+'Okanogan Pgs 48-49'!D28+'Pacific Pgs 50-51'!D28+'San Juan Pgs 52-53'!D28+'Skagit Pgs 56-57'!D28+'Skamania Pgs 58-59'!D28+'Snohomish Pgs 60-61'!D28+'Spokane Pgs 62-63'!D28+'Tacoma-Pierce Pgs 64-65'!D28+'Thurston Pgs 66-67'!D28+'Wahkiakum Pgs 68-69'!D28+'Walla Walla Pgs 70-71'!D28+'Whatcom Pgs 72-73'!D28+'Whitman Pgs 74-75'!D28+'Yakima Pgs 76-77'!D28+'Seattle-King Pgs 54-55'!D28</f>
        <v>78352</v>
      </c>
      <c r="E28" s="218">
        <f>'Adams Pgs 8-9'!E28+'Asotin Pgs 10-11'!E28+'Benton-Franklin Pgs 12-13'!E28+'Chelan-Douglas Pgs 14-15'!E28+'Clallam Pgs 16-17'!E28+'Clark Pgs 18-19'!E28+'Columbia Pgs 20-21'!E28+'Cowlitz Pgs 22-23'!E28+'Garfield Pgs 24-25'!E28+'Grant Pgs 26-27'!E28+'Grays Harbor Pgs 28-29'!E28+'Island Pgs 30-31'!E28+'Jefferson Pgs 32-33'!E28+'Kitsap Pgs 34-35'!E28+'Kittitas Pgs 36-37'!E28+'Klickitat Pgs 38-39'!E28+'Lewis Pgs 40-41'!E28+'Lincoln Pgs 42-43'!E28+'Mason Pgs 44-45'!E28+'Northeast Tri Pgs 46-47'!E28+'Okanogan Pgs 48-49'!E28+'Pacific Pgs 50-51'!E28+'San Juan Pgs 52-53'!E28+'Skagit Pgs 56-57'!E28+'Skamania Pgs 58-59'!E28+'Snohomish Pgs 60-61'!E28+'Spokane Pgs 62-63'!E28+'Tacoma-Pierce Pgs 64-65'!E28+'Thurston Pgs 66-67'!E28+'Wahkiakum Pgs 68-69'!E28+'Walla Walla Pgs 70-71'!E28+'Whatcom Pgs 72-73'!E28+'Whitman Pgs 74-75'!E28+'Yakima Pgs 76-77'!E28+'Seattle-King Pgs 54-55'!E28</f>
        <v>286094</v>
      </c>
      <c r="F28" s="219">
        <f>'Adams Pgs 8-9'!F28+'Asotin Pgs 10-11'!F28+'Benton-Franklin Pgs 12-13'!F28+'Chelan-Douglas Pgs 14-15'!F28+'Clallam Pgs 16-17'!F28+'Clark Pgs 18-19'!F28+'Columbia Pgs 20-21'!F28+'Cowlitz Pgs 22-23'!F28+'Garfield Pgs 24-25'!F28+'Grant Pgs 26-27'!F28+'Grays Harbor Pgs 28-29'!F28+'Island Pgs 30-31'!F28+'Jefferson Pgs 32-33'!F28+'Kitsap Pgs 34-35'!F28+'Kittitas Pgs 36-37'!F28+'Klickitat Pgs 38-39'!F28+'Lewis Pgs 40-41'!F28+'Lincoln Pgs 42-43'!F28+'Mason Pgs 44-45'!F28+'Northeast Tri Pgs 46-47'!F28+'Okanogan Pgs 48-49'!F28+'Pacific Pgs 50-51'!F28+'San Juan Pgs 52-53'!F28+'Seattle-King Pgs 54-55'!F28+'Skagit Pgs 56-57'!F28+'Skamania Pgs 58-59'!F28+'Snohomish Pgs 60-61'!F28+'Spokane Pgs 62-63'!F28+'Tacoma-Pierce Pgs 64-65'!F28+'Thurston Pgs 66-67'!F28+'Wahkiakum Pgs 68-69'!F28+'Walla Walla Pgs 70-71'!F28+'Whatcom Pgs 72-73'!F28+'Whitman Pgs 74-75'!F28+'Yakima Pgs 76-77'!F28</f>
        <v>132231</v>
      </c>
      <c r="G28" s="220">
        <f>'Adams Pgs 8-9'!G28+'Asotin Pgs 10-11'!G28+'Benton-Franklin Pgs 12-13'!G28+'Chelan-Douglas Pgs 14-15'!G28+'Clallam Pgs 16-17'!G28+'Clark Pgs 18-19'!G28+'Columbia Pgs 20-21'!G28+'Cowlitz Pgs 22-23'!G28+'Garfield Pgs 24-25'!G28+'Grant Pgs 26-27'!G28+'Grays Harbor Pgs 28-29'!G28+'Island Pgs 30-31'!G28+'Jefferson Pgs 32-33'!G28+'Kitsap Pgs 34-35'!G28+'Kittitas Pgs 36-37'!G28+'Klickitat Pgs 38-39'!G28+'Lewis Pgs 40-41'!G28+'Lincoln Pgs 42-43'!G28+'Mason Pgs 44-45'!G28+'Northeast Tri Pgs 46-47'!G28+'Okanogan Pgs 48-49'!G28+'Pacific Pgs 50-51'!G28+'San Juan Pgs 52-53'!G28+'Skagit Pgs 56-57'!G28+'Skamania Pgs 58-59'!G28+'Snohomish Pgs 60-61'!G28+'Spokane Pgs 62-63'!G28+'Tacoma-Pierce Pgs 64-65'!G28+'Thurston Pgs 66-67'!G28+'Wahkiakum Pgs 68-69'!G28+'Walla Walla Pgs 70-71'!G28+'Whatcom Pgs 72-73'!G28+'Whitman Pgs 74-75'!G28+'Yakima Pgs 76-77'!G28+'Seattle-King Pgs 54-55'!G28</f>
        <v>1411820</v>
      </c>
      <c r="H28" s="219">
        <f>'Adams Pgs 8-9'!H28+'Asotin Pgs 10-11'!H28+'Benton-Franklin Pgs 12-13'!H28+'Chelan-Douglas Pgs 14-15'!H28+'Clallam Pgs 16-17'!H28+'Clark Pgs 18-19'!H28+'Columbia Pgs 20-21'!H28+'Cowlitz Pgs 22-23'!H28+'Garfield Pgs 24-25'!H28+'Grant Pgs 26-27'!H28+'Grays Harbor Pgs 28-29'!H28+'Island Pgs 30-31'!H28+'Jefferson Pgs 32-33'!H28+'Kitsap Pgs 34-35'!H28+'Kittitas Pgs 36-37'!H28+'Klickitat Pgs 38-39'!H28+'Lewis Pgs 40-41'!H28+'Lincoln Pgs 42-43'!H28+'Mason Pgs 44-45'!H28+'Northeast Tri Pgs 46-47'!H28+'Okanogan Pgs 48-49'!H28+'Pacific Pgs 50-51'!H28+'San Juan Pgs 52-53'!H28+'Skagit Pgs 56-57'!H28+'Skamania Pgs 58-59'!H28+'Snohomish Pgs 60-61'!H28+'Spokane Pgs 62-63'!H28+'Tacoma-Pierce Pgs 64-65'!H28+'Thurston Pgs 66-67'!H28+'Wahkiakum Pgs 68-69'!H28+'Walla Walla Pgs 70-71'!H28+'Whatcom Pgs 72-73'!H28+'Whitman Pgs 74-75'!H28+'Yakima Pgs 76-77'!H28+'Seattle-King Pgs 54-55'!H28</f>
        <v>51865</v>
      </c>
      <c r="I28" s="221">
        <f>'Adams Pgs 8-9'!I28+'Asotin Pgs 10-11'!I28+'Benton-Franklin Pgs 12-13'!I28+'Chelan-Douglas Pgs 14-15'!I28+'Clallam Pgs 16-17'!I28+'Clark Pgs 18-19'!I28+'Columbia Pgs 20-21'!I28+'Cowlitz Pgs 22-23'!I28+'Garfield Pgs 24-25'!I28+'Grant Pgs 26-27'!I28+'Grays Harbor Pgs 28-29'!I28+'Island Pgs 30-31'!I28+'Jefferson Pgs 32-33'!I28+'Kitsap Pgs 34-35'!I28+'Kittitas Pgs 36-37'!I28+'Klickitat Pgs 38-39'!I28+'Lewis Pgs 40-41'!I28+'Lincoln Pgs 42-43'!I28+'Mason Pgs 44-45'!I28+'Northeast Tri Pgs 46-47'!I28+'Okanogan Pgs 48-49'!I28+'Pacific Pgs 50-51'!I28+'San Juan Pgs 52-53'!I28+'Skagit Pgs 56-57'!I28+'Skamania Pgs 58-59'!I28+'Snohomish Pgs 60-61'!I28+'Spokane Pgs 62-63'!I28+'Tacoma-Pierce Pgs 64-65'!I28+'Thurston Pgs 66-67'!I28+'Wahkiakum Pgs 68-69'!I28+'Walla Walla Pgs 70-71'!I28+'Whatcom Pgs 72-73'!I28+'Whitman Pgs 74-75'!I28+'Yakima Pgs 76-77'!I28+'Seattle-King Pgs 54-55'!I28</f>
        <v>2385891</v>
      </c>
      <c r="J28" s="217">
        <f>'Adams Pgs 8-9'!J28+'Asotin Pgs 10-11'!J28+'Benton-Franklin Pgs 12-13'!J28+'Chelan-Douglas Pgs 14-15'!J28+'Clallam Pgs 16-17'!J28+'Clark Pgs 18-19'!J28+'Columbia Pgs 20-21'!J28+'Cowlitz Pgs 22-23'!J28+'Garfield Pgs 24-25'!J28+'Grant Pgs 26-27'!J28+'Grays Harbor Pgs 28-29'!J28+'Island Pgs 30-31'!J28+'Jefferson Pgs 32-33'!J28+'Kitsap Pgs 34-35'!J28+'Kittitas Pgs 36-37'!J28+'Klickitat Pgs 38-39'!J28+'Lewis Pgs 40-41'!J28+'Lincoln Pgs 42-43'!J28+'Mason Pgs 44-45'!J28+'Northeast Tri Pgs 46-47'!J28+'Okanogan Pgs 48-49'!J28+'Pacific Pgs 50-51'!J28+'San Juan Pgs 52-53'!J28+'Snohomish Pgs 60-61'!J28+'Spokane Pgs 62-63'!J28+'Tacoma-Pierce Pgs 64-65'!J28+'Thurston Pgs 66-67'!J28+'Wahkiakum Pgs 68-69'!J28+'Walla Walla Pgs 70-71'!J28+'Whatcom Pgs 72-73'!J28+'Whitman Pgs 74-75'!J28+'Yakima Pgs 76-77'!J28+'Seattle-King Pgs 54-55'!J28+'Skagit Pgs 56-57'!J28+'Skamania Pgs 58-59'!J28</f>
        <v>3461406</v>
      </c>
      <c r="K28" s="222">
        <f>'Adams Pgs 8-9'!K28+'Asotin Pgs 10-11'!K28+'Benton-Franklin Pgs 12-13'!K28+'Chelan-Douglas Pgs 14-15'!K28+'Clallam Pgs 16-17'!K28+'Clark Pgs 18-19'!K28+'Columbia Pgs 20-21'!K28+'Cowlitz Pgs 22-23'!K28+'Garfield Pgs 24-25'!K28+'Grant Pgs 26-27'!K28+'Grays Harbor Pgs 28-29'!K28+'Island Pgs 30-31'!K28+'Jefferson Pgs 32-33'!K28+'Kitsap Pgs 34-35'!K28+'Kittitas Pgs 36-37'!K28+'Klickitat Pgs 38-39'!K28+'Lewis Pgs 40-41'!K28+'Lincoln Pgs 42-43'!K28+'Mason Pgs 44-45'!K28+'Northeast Tri Pgs 46-47'!K28+'Okanogan Pgs 48-49'!K28+'Pacific Pgs 50-51'!K28+'San Juan Pgs 52-53'!K28+'Skagit Pgs 56-57'!K28+'Skamania Pgs 58-59'!K28+'Snohomish Pgs 60-61'!K28+'Spokane Pgs 62-63'!K28+'Tacoma-Pierce Pgs 64-65'!K28+'Thurston Pgs 66-67'!K28+'Wahkiakum Pgs 68-69'!K28+'Walla Walla Pgs 70-71'!K28+'Whatcom Pgs 72-73'!K28+'Whitman Pgs 74-75'!K28+'Yakima Pgs 76-77'!K28+'Seattle-King Pgs 54-55'!K28</f>
        <v>1292420</v>
      </c>
      <c r="L28" s="223">
        <f t="shared" si="1"/>
        <v>9825711</v>
      </c>
    </row>
    <row r="29" spans="1:12" s="224" customFormat="1" ht="14.45" customHeight="1" x14ac:dyDescent="0.2">
      <c r="A29" s="214">
        <v>562.52</v>
      </c>
      <c r="B29" s="215" t="s">
        <v>17</v>
      </c>
      <c r="C29" s="216">
        <f>'Adams Pgs 8-9'!C29+'Asotin Pgs 10-11'!C29+'Benton-Franklin Pgs 12-13'!C29+'Chelan-Douglas Pgs 14-15'!C29+'Clallam Pgs 16-17'!C29+'Clark Pgs 18-19'!C29+'Columbia Pgs 20-21'!C29+'Cowlitz Pgs 22-23'!C29+'Garfield Pgs 24-25'!C29+'Grant Pgs 26-27'!C29+'Grays Harbor Pgs 28-29'!C29+'Island Pgs 30-31'!C29+'Jefferson Pgs 32-33'!C29+'Kitsap Pgs 34-35'!C29+'Kittitas Pgs 36-37'!C29+'Klickitat Pgs 38-39'!C29+'Lewis Pgs 40-41'!C29+'Lincoln Pgs 42-43'!C29+'Mason Pgs 44-45'!C29+'Northeast Tri Pgs 46-47'!C29+'Okanogan Pgs 48-49'!C29+'Pacific Pgs 50-51'!C29+'San Juan Pgs 52-53'!C29+'Skagit Pgs 56-57'!C29+'Skamania Pgs 58-59'!C29+'Snohomish Pgs 60-61'!C29+'Spokane Pgs 62-63'!C29+'Tacoma-Pierce Pgs 64-65'!C29+'Thurston Pgs 66-67'!C29+'Wahkiakum Pgs 68-69'!C29+'Walla Walla Pgs 70-71'!C29+'Whatcom Pgs 72-73'!C29+'Whitman Pgs 74-75'!C29+'Yakima Pgs 76-77'!C29+'Seattle-King Pgs 54-55'!C29</f>
        <v>365386</v>
      </c>
      <c r="D29" s="217">
        <f>'Adams Pgs 8-9'!D29+'Asotin Pgs 10-11'!D29+'Benton-Franklin Pgs 12-13'!D29+'Chelan-Douglas Pgs 14-15'!D29+'Clallam Pgs 16-17'!D29+'Clark Pgs 18-19'!D29+'Columbia Pgs 20-21'!D29+'Cowlitz Pgs 22-23'!D29+'Garfield Pgs 24-25'!D29+'Grant Pgs 26-27'!D29+'Grays Harbor Pgs 28-29'!D29+'Island Pgs 30-31'!D29+'Jefferson Pgs 32-33'!D29+'Kitsap Pgs 34-35'!D29+'Kittitas Pgs 36-37'!D29+'Klickitat Pgs 38-39'!D29+'Lewis Pgs 40-41'!D29+'Lincoln Pgs 42-43'!D29+'Mason Pgs 44-45'!D29+'Northeast Tri Pgs 46-47'!D29+'Okanogan Pgs 48-49'!D29+'Pacific Pgs 50-51'!D29+'San Juan Pgs 52-53'!D29+'Skagit Pgs 56-57'!D29+'Skamania Pgs 58-59'!D29+'Snohomish Pgs 60-61'!D29+'Spokane Pgs 62-63'!D29+'Tacoma-Pierce Pgs 64-65'!D29+'Thurston Pgs 66-67'!D29+'Wahkiakum Pgs 68-69'!D29+'Walla Walla Pgs 70-71'!D29+'Whatcom Pgs 72-73'!D29+'Whitman Pgs 74-75'!D29+'Yakima Pgs 76-77'!D29+'Seattle-King Pgs 54-55'!D29</f>
        <v>2353664</v>
      </c>
      <c r="E29" s="218">
        <f>'Adams Pgs 8-9'!E29+'Asotin Pgs 10-11'!E29+'Benton-Franklin Pgs 12-13'!E29+'Chelan-Douglas Pgs 14-15'!E29+'Clallam Pgs 16-17'!E29+'Clark Pgs 18-19'!E29+'Columbia Pgs 20-21'!E29+'Cowlitz Pgs 22-23'!E29+'Garfield Pgs 24-25'!E29+'Grant Pgs 26-27'!E29+'Grays Harbor Pgs 28-29'!E29+'Island Pgs 30-31'!E29+'Jefferson Pgs 32-33'!E29+'Kitsap Pgs 34-35'!E29+'Kittitas Pgs 36-37'!E29+'Klickitat Pgs 38-39'!E29+'Lewis Pgs 40-41'!E29+'Lincoln Pgs 42-43'!E29+'Mason Pgs 44-45'!E29+'Northeast Tri Pgs 46-47'!E29+'Okanogan Pgs 48-49'!E29+'Pacific Pgs 50-51'!E29+'San Juan Pgs 52-53'!E29+'Skagit Pgs 56-57'!E29+'Skamania Pgs 58-59'!E29+'Snohomish Pgs 60-61'!E29+'Spokane Pgs 62-63'!E29+'Tacoma-Pierce Pgs 64-65'!E29+'Thurston Pgs 66-67'!E29+'Wahkiakum Pgs 68-69'!E29+'Walla Walla Pgs 70-71'!E29+'Whatcom Pgs 72-73'!E29+'Whitman Pgs 74-75'!E29+'Yakima Pgs 76-77'!E29+'Seattle-King Pgs 54-55'!E29</f>
        <v>261200</v>
      </c>
      <c r="F29" s="219">
        <f>'Adams Pgs 8-9'!F29+'Asotin Pgs 10-11'!F29+'Benton-Franklin Pgs 12-13'!F29+'Chelan-Douglas Pgs 14-15'!F29+'Clallam Pgs 16-17'!F29+'Clark Pgs 18-19'!F29+'Columbia Pgs 20-21'!F29+'Cowlitz Pgs 22-23'!F29+'Garfield Pgs 24-25'!F29+'Grant Pgs 26-27'!F29+'Grays Harbor Pgs 28-29'!F29+'Island Pgs 30-31'!F29+'Jefferson Pgs 32-33'!F29+'Kitsap Pgs 34-35'!F29+'Kittitas Pgs 36-37'!F29+'Klickitat Pgs 38-39'!F29+'Lewis Pgs 40-41'!F29+'Lincoln Pgs 42-43'!F29+'Mason Pgs 44-45'!F29+'Northeast Tri Pgs 46-47'!F29+'Okanogan Pgs 48-49'!F29+'Pacific Pgs 50-51'!F29+'San Juan Pgs 52-53'!F29+'Seattle-King Pgs 54-55'!F29+'Skagit Pgs 56-57'!F29+'Skamania Pgs 58-59'!F29+'Snohomish Pgs 60-61'!F29+'Spokane Pgs 62-63'!F29+'Tacoma-Pierce Pgs 64-65'!F29+'Thurston Pgs 66-67'!F29+'Wahkiakum Pgs 68-69'!F29+'Walla Walla Pgs 70-71'!F29+'Whatcom Pgs 72-73'!F29+'Whitman Pgs 74-75'!F29+'Yakima Pgs 76-77'!F29</f>
        <v>180</v>
      </c>
      <c r="G29" s="220">
        <f>'Adams Pgs 8-9'!G29+'Asotin Pgs 10-11'!G29+'Benton-Franklin Pgs 12-13'!G29+'Chelan-Douglas Pgs 14-15'!G29+'Clallam Pgs 16-17'!G29+'Clark Pgs 18-19'!G29+'Columbia Pgs 20-21'!G29+'Cowlitz Pgs 22-23'!G29+'Garfield Pgs 24-25'!G29+'Grant Pgs 26-27'!G29+'Grays Harbor Pgs 28-29'!G29+'Island Pgs 30-31'!G29+'Jefferson Pgs 32-33'!G29+'Kitsap Pgs 34-35'!G29+'Kittitas Pgs 36-37'!G29+'Klickitat Pgs 38-39'!G29+'Lewis Pgs 40-41'!G29+'Lincoln Pgs 42-43'!G29+'Mason Pgs 44-45'!G29+'Northeast Tri Pgs 46-47'!G29+'Okanogan Pgs 48-49'!G29+'Pacific Pgs 50-51'!G29+'San Juan Pgs 52-53'!G29+'Skagit Pgs 56-57'!G29+'Skamania Pgs 58-59'!G29+'Snohomish Pgs 60-61'!G29+'Spokane Pgs 62-63'!G29+'Tacoma-Pierce Pgs 64-65'!G29+'Thurston Pgs 66-67'!G29+'Wahkiakum Pgs 68-69'!G29+'Walla Walla Pgs 70-71'!G29+'Whatcom Pgs 72-73'!G29+'Whitman Pgs 74-75'!G29+'Yakima Pgs 76-77'!G29+'Seattle-King Pgs 54-55'!G29</f>
        <v>379314</v>
      </c>
      <c r="H29" s="219">
        <f>'Adams Pgs 8-9'!H29+'Asotin Pgs 10-11'!H29+'Benton-Franklin Pgs 12-13'!H29+'Chelan-Douglas Pgs 14-15'!H29+'Clallam Pgs 16-17'!H29+'Clark Pgs 18-19'!H29+'Columbia Pgs 20-21'!H29+'Cowlitz Pgs 22-23'!H29+'Garfield Pgs 24-25'!H29+'Grant Pgs 26-27'!H29+'Grays Harbor Pgs 28-29'!H29+'Island Pgs 30-31'!H29+'Jefferson Pgs 32-33'!H29+'Kitsap Pgs 34-35'!H29+'Kittitas Pgs 36-37'!H29+'Klickitat Pgs 38-39'!H29+'Lewis Pgs 40-41'!H29+'Lincoln Pgs 42-43'!H29+'Mason Pgs 44-45'!H29+'Northeast Tri Pgs 46-47'!H29+'Okanogan Pgs 48-49'!H29+'Pacific Pgs 50-51'!H29+'San Juan Pgs 52-53'!H29+'Skagit Pgs 56-57'!H29+'Skamania Pgs 58-59'!H29+'Snohomish Pgs 60-61'!H29+'Spokane Pgs 62-63'!H29+'Tacoma-Pierce Pgs 64-65'!H29+'Thurston Pgs 66-67'!H29+'Wahkiakum Pgs 68-69'!H29+'Walla Walla Pgs 70-71'!H29+'Whatcom Pgs 72-73'!H29+'Whitman Pgs 74-75'!H29+'Yakima Pgs 76-77'!H29+'Seattle-King Pgs 54-55'!H29</f>
        <v>212755</v>
      </c>
      <c r="I29" s="221">
        <f>'Adams Pgs 8-9'!I29+'Asotin Pgs 10-11'!I29+'Benton-Franklin Pgs 12-13'!I29+'Chelan-Douglas Pgs 14-15'!I29+'Clallam Pgs 16-17'!I29+'Clark Pgs 18-19'!I29+'Columbia Pgs 20-21'!I29+'Cowlitz Pgs 22-23'!I29+'Garfield Pgs 24-25'!I29+'Grant Pgs 26-27'!I29+'Grays Harbor Pgs 28-29'!I29+'Island Pgs 30-31'!I29+'Jefferson Pgs 32-33'!I29+'Kitsap Pgs 34-35'!I29+'Kittitas Pgs 36-37'!I29+'Klickitat Pgs 38-39'!I29+'Lewis Pgs 40-41'!I29+'Lincoln Pgs 42-43'!I29+'Mason Pgs 44-45'!I29+'Northeast Tri Pgs 46-47'!I29+'Okanogan Pgs 48-49'!I29+'Pacific Pgs 50-51'!I29+'San Juan Pgs 52-53'!I29+'Skagit Pgs 56-57'!I29+'Skamania Pgs 58-59'!I29+'Snohomish Pgs 60-61'!I29+'Spokane Pgs 62-63'!I29+'Tacoma-Pierce Pgs 64-65'!I29+'Thurston Pgs 66-67'!I29+'Wahkiakum Pgs 68-69'!I29+'Walla Walla Pgs 70-71'!I29+'Whatcom Pgs 72-73'!I29+'Whitman Pgs 74-75'!I29+'Yakima Pgs 76-77'!I29+'Seattle-King Pgs 54-55'!I29</f>
        <v>19570</v>
      </c>
      <c r="J29" s="217">
        <f>'Adams Pgs 8-9'!J29+'Asotin Pgs 10-11'!J29+'Benton-Franklin Pgs 12-13'!J29+'Chelan-Douglas Pgs 14-15'!J29+'Clallam Pgs 16-17'!J29+'Clark Pgs 18-19'!J29+'Columbia Pgs 20-21'!J29+'Cowlitz Pgs 22-23'!J29+'Garfield Pgs 24-25'!J29+'Grant Pgs 26-27'!J29+'Grays Harbor Pgs 28-29'!J29+'Island Pgs 30-31'!J29+'Jefferson Pgs 32-33'!J29+'Kitsap Pgs 34-35'!J29+'Kittitas Pgs 36-37'!J29+'Klickitat Pgs 38-39'!J29+'Lewis Pgs 40-41'!J29+'Lincoln Pgs 42-43'!J29+'Mason Pgs 44-45'!J29+'Northeast Tri Pgs 46-47'!J29+'Okanogan Pgs 48-49'!J29+'Pacific Pgs 50-51'!J29+'San Juan Pgs 52-53'!J29+'Snohomish Pgs 60-61'!J29+'Spokane Pgs 62-63'!J29+'Tacoma-Pierce Pgs 64-65'!J29+'Thurston Pgs 66-67'!J29+'Wahkiakum Pgs 68-69'!J29+'Walla Walla Pgs 70-71'!J29+'Whatcom Pgs 72-73'!J29+'Whitman Pgs 74-75'!J29+'Yakima Pgs 76-77'!J29+'Seattle-King Pgs 54-55'!J29+'Skagit Pgs 56-57'!J29+'Skamania Pgs 58-59'!J29</f>
        <v>142835</v>
      </c>
      <c r="K29" s="222">
        <f>'Adams Pgs 8-9'!K29+'Asotin Pgs 10-11'!K29+'Benton-Franklin Pgs 12-13'!K29+'Chelan-Douglas Pgs 14-15'!K29+'Clallam Pgs 16-17'!K29+'Clark Pgs 18-19'!K29+'Columbia Pgs 20-21'!K29+'Cowlitz Pgs 22-23'!K29+'Garfield Pgs 24-25'!K29+'Grant Pgs 26-27'!K29+'Grays Harbor Pgs 28-29'!K29+'Island Pgs 30-31'!K29+'Jefferson Pgs 32-33'!K29+'Kitsap Pgs 34-35'!K29+'Kittitas Pgs 36-37'!K29+'Klickitat Pgs 38-39'!K29+'Lewis Pgs 40-41'!K29+'Lincoln Pgs 42-43'!K29+'Mason Pgs 44-45'!K29+'Northeast Tri Pgs 46-47'!K29+'Okanogan Pgs 48-49'!K29+'Pacific Pgs 50-51'!K29+'San Juan Pgs 52-53'!K29+'Skagit Pgs 56-57'!K29+'Skamania Pgs 58-59'!K29+'Snohomish Pgs 60-61'!K29+'Spokane Pgs 62-63'!K29+'Tacoma-Pierce Pgs 64-65'!K29+'Thurston Pgs 66-67'!K29+'Wahkiakum Pgs 68-69'!K29+'Walla Walla Pgs 70-71'!K29+'Whatcom Pgs 72-73'!K29+'Whitman Pgs 74-75'!K29+'Yakima Pgs 76-77'!K29+'Seattle-King Pgs 54-55'!K29</f>
        <v>-20092</v>
      </c>
      <c r="L29" s="223">
        <f t="shared" si="1"/>
        <v>3714812</v>
      </c>
    </row>
    <row r="30" spans="1:12" s="224" customFormat="1" ht="14.45" customHeight="1" x14ac:dyDescent="0.2">
      <c r="A30" s="214">
        <v>562.53</v>
      </c>
      <c r="B30" s="215" t="s">
        <v>58</v>
      </c>
      <c r="C30" s="216">
        <f>'Adams Pgs 8-9'!C30+'Asotin Pgs 10-11'!C30+'Benton-Franklin Pgs 12-13'!C30+'Chelan-Douglas Pgs 14-15'!C30+'Clallam Pgs 16-17'!C30+'Clark Pgs 18-19'!C30+'Columbia Pgs 20-21'!C30+'Cowlitz Pgs 22-23'!C30+'Garfield Pgs 24-25'!C30+'Grant Pgs 26-27'!C30+'Grays Harbor Pgs 28-29'!C30+'Island Pgs 30-31'!C30+'Jefferson Pgs 32-33'!C30+'Kitsap Pgs 34-35'!C30+'Kittitas Pgs 36-37'!C30+'Klickitat Pgs 38-39'!C30+'Lewis Pgs 40-41'!C30+'Lincoln Pgs 42-43'!C30+'Mason Pgs 44-45'!C30+'Northeast Tri Pgs 46-47'!C30+'Okanogan Pgs 48-49'!C30+'Pacific Pgs 50-51'!C30+'San Juan Pgs 52-53'!C30+'Skagit Pgs 56-57'!C30+'Skamania Pgs 58-59'!C30+'Snohomish Pgs 60-61'!C30+'Spokane Pgs 62-63'!C30+'Tacoma-Pierce Pgs 64-65'!C30+'Thurston Pgs 66-67'!C30+'Wahkiakum Pgs 68-69'!C30+'Walla Walla Pgs 70-71'!C30+'Whatcom Pgs 72-73'!C30+'Whitman Pgs 74-75'!C30+'Yakima Pgs 76-77'!C30+'Seattle-King Pgs 54-55'!C30</f>
        <v>3188489</v>
      </c>
      <c r="D30" s="217">
        <f>'Adams Pgs 8-9'!D30+'Asotin Pgs 10-11'!D30+'Benton-Franklin Pgs 12-13'!D30+'Chelan-Douglas Pgs 14-15'!D30+'Clallam Pgs 16-17'!D30+'Clark Pgs 18-19'!D30+'Columbia Pgs 20-21'!D30+'Cowlitz Pgs 22-23'!D30+'Garfield Pgs 24-25'!D30+'Grant Pgs 26-27'!D30+'Grays Harbor Pgs 28-29'!D30+'Island Pgs 30-31'!D30+'Jefferson Pgs 32-33'!D30+'Kitsap Pgs 34-35'!D30+'Kittitas Pgs 36-37'!D30+'Klickitat Pgs 38-39'!D30+'Lewis Pgs 40-41'!D30+'Lincoln Pgs 42-43'!D30+'Mason Pgs 44-45'!D30+'Northeast Tri Pgs 46-47'!D30+'Okanogan Pgs 48-49'!D30+'Pacific Pgs 50-51'!D30+'San Juan Pgs 52-53'!D30+'Skagit Pgs 56-57'!D30+'Skamania Pgs 58-59'!D30+'Snohomish Pgs 60-61'!D30+'Spokane Pgs 62-63'!D30+'Tacoma-Pierce Pgs 64-65'!D30+'Thurston Pgs 66-67'!D30+'Wahkiakum Pgs 68-69'!D30+'Walla Walla Pgs 70-71'!D30+'Whatcom Pgs 72-73'!D30+'Whitman Pgs 74-75'!D30+'Yakima Pgs 76-77'!D30+'Seattle-King Pgs 54-55'!D30</f>
        <v>6211504</v>
      </c>
      <c r="E30" s="226" t="s">
        <v>154</v>
      </c>
      <c r="F30" s="219">
        <f>'Adams Pgs 8-9'!F30+'Asotin Pgs 10-11'!F30+'Benton-Franklin Pgs 12-13'!F30+'Chelan-Douglas Pgs 14-15'!F30+'Clallam Pgs 16-17'!F30+'Clark Pgs 18-19'!F30+'Columbia Pgs 20-21'!F30+'Cowlitz Pgs 22-23'!F30+'Garfield Pgs 24-25'!F30+'Grant Pgs 26-27'!F30+'Grays Harbor Pgs 28-29'!F30+'Island Pgs 30-31'!F30+'Jefferson Pgs 32-33'!F30+'Kitsap Pgs 34-35'!F30+'Kittitas Pgs 36-37'!F30+'Klickitat Pgs 38-39'!F30+'Lewis Pgs 40-41'!F30+'Lincoln Pgs 42-43'!F30+'Mason Pgs 44-45'!F30+'Northeast Tri Pgs 46-47'!F30+'Okanogan Pgs 48-49'!F30+'Pacific Pgs 50-51'!F30+'San Juan Pgs 52-53'!F30+'Seattle-King Pgs 54-55'!F30+'Skagit Pgs 56-57'!F30+'Skamania Pgs 58-59'!F30+'Snohomish Pgs 60-61'!F30+'Spokane Pgs 62-63'!F30+'Tacoma-Pierce Pgs 64-65'!F30+'Thurston Pgs 66-67'!F30+'Wahkiakum Pgs 68-69'!F30+'Walla Walla Pgs 70-71'!F30+'Whatcom Pgs 72-73'!F30+'Whitman Pgs 74-75'!F30+'Yakima Pgs 76-77'!F30</f>
        <v>427</v>
      </c>
      <c r="G30" s="220">
        <f>'Adams Pgs 8-9'!G30+'Asotin Pgs 10-11'!G30+'Benton-Franklin Pgs 12-13'!G30+'Chelan-Douglas Pgs 14-15'!G30+'Clallam Pgs 16-17'!G30+'Clark Pgs 18-19'!G30+'Columbia Pgs 20-21'!G30+'Cowlitz Pgs 22-23'!G30+'Garfield Pgs 24-25'!G30+'Grant Pgs 26-27'!G30+'Grays Harbor Pgs 28-29'!G30+'Island Pgs 30-31'!G30+'Jefferson Pgs 32-33'!G30+'Kitsap Pgs 34-35'!G30+'Kittitas Pgs 36-37'!G30+'Klickitat Pgs 38-39'!G30+'Lewis Pgs 40-41'!G30+'Lincoln Pgs 42-43'!G30+'Mason Pgs 44-45'!G30+'Northeast Tri Pgs 46-47'!G30+'Okanogan Pgs 48-49'!G30+'Pacific Pgs 50-51'!G30+'San Juan Pgs 52-53'!G30+'Skagit Pgs 56-57'!G30+'Skamania Pgs 58-59'!G30+'Snohomish Pgs 60-61'!G30+'Spokane Pgs 62-63'!G30+'Tacoma-Pierce Pgs 64-65'!G30+'Thurston Pgs 66-67'!G30+'Wahkiakum Pgs 68-69'!G30+'Walla Walla Pgs 70-71'!G30+'Whatcom Pgs 72-73'!G30+'Whitman Pgs 74-75'!G30+'Yakima Pgs 76-77'!G30+'Seattle-King Pgs 54-55'!G30</f>
        <v>345307</v>
      </c>
      <c r="H30" s="219">
        <f>'Adams Pgs 8-9'!H30+'Asotin Pgs 10-11'!H30+'Benton-Franklin Pgs 12-13'!H30+'Chelan-Douglas Pgs 14-15'!H30+'Clallam Pgs 16-17'!H30+'Clark Pgs 18-19'!H30+'Columbia Pgs 20-21'!H30+'Cowlitz Pgs 22-23'!H30+'Garfield Pgs 24-25'!H30+'Grant Pgs 26-27'!H30+'Grays Harbor Pgs 28-29'!H30+'Island Pgs 30-31'!H30+'Jefferson Pgs 32-33'!H30+'Kitsap Pgs 34-35'!H30+'Kittitas Pgs 36-37'!H30+'Klickitat Pgs 38-39'!H30+'Lewis Pgs 40-41'!H30+'Lincoln Pgs 42-43'!H30+'Mason Pgs 44-45'!H30+'Northeast Tri Pgs 46-47'!H30+'Okanogan Pgs 48-49'!H30+'Pacific Pgs 50-51'!H30+'San Juan Pgs 52-53'!H30+'Skagit Pgs 56-57'!H30+'Skamania Pgs 58-59'!H30+'Snohomish Pgs 60-61'!H30+'Spokane Pgs 62-63'!H30+'Tacoma-Pierce Pgs 64-65'!H30+'Thurston Pgs 66-67'!H30+'Wahkiakum Pgs 68-69'!H30+'Walla Walla Pgs 70-71'!H30+'Whatcom Pgs 72-73'!H30+'Whitman Pgs 74-75'!H30+'Yakima Pgs 76-77'!H30+'Seattle-King Pgs 54-55'!H30</f>
        <v>2888588</v>
      </c>
      <c r="I30" s="228" t="s">
        <v>154</v>
      </c>
      <c r="J30" s="217">
        <f>'Adams Pgs 8-9'!J30+'Asotin Pgs 10-11'!J30+'Benton-Franklin Pgs 12-13'!J30+'Chelan-Douglas Pgs 14-15'!J30+'Clallam Pgs 16-17'!J30+'Clark Pgs 18-19'!J30+'Columbia Pgs 20-21'!J30+'Cowlitz Pgs 22-23'!J30+'Garfield Pgs 24-25'!J30+'Grant Pgs 26-27'!J30+'Grays Harbor Pgs 28-29'!J30+'Island Pgs 30-31'!J30+'Jefferson Pgs 32-33'!J30+'Kitsap Pgs 34-35'!J30+'Kittitas Pgs 36-37'!J30+'Klickitat Pgs 38-39'!J30+'Lewis Pgs 40-41'!J30+'Lincoln Pgs 42-43'!J30+'Mason Pgs 44-45'!J30+'Northeast Tri Pgs 46-47'!J30+'Okanogan Pgs 48-49'!J30+'Pacific Pgs 50-51'!J30+'San Juan Pgs 52-53'!J30+'Snohomish Pgs 60-61'!J30+'Spokane Pgs 62-63'!J30+'Tacoma-Pierce Pgs 64-65'!J30+'Thurston Pgs 66-67'!J30+'Wahkiakum Pgs 68-69'!J30+'Walla Walla Pgs 70-71'!J30+'Whatcom Pgs 72-73'!J30+'Whitman Pgs 74-75'!J30+'Yakima Pgs 76-77'!J30+'Seattle-King Pgs 54-55'!J30+'Skagit Pgs 56-57'!J30+'Skamania Pgs 58-59'!J30</f>
        <v>60214</v>
      </c>
      <c r="K30" s="222">
        <f>'Adams Pgs 8-9'!K30+'Asotin Pgs 10-11'!K30+'Benton-Franklin Pgs 12-13'!K30+'Chelan-Douglas Pgs 14-15'!K30+'Clallam Pgs 16-17'!K30+'Clark Pgs 18-19'!K30+'Columbia Pgs 20-21'!K30+'Cowlitz Pgs 22-23'!K30+'Garfield Pgs 24-25'!K30+'Grant Pgs 26-27'!K30+'Grays Harbor Pgs 28-29'!K30+'Island Pgs 30-31'!K30+'Jefferson Pgs 32-33'!K30+'Kitsap Pgs 34-35'!K30+'Kittitas Pgs 36-37'!K30+'Klickitat Pgs 38-39'!K30+'Lewis Pgs 40-41'!K30+'Lincoln Pgs 42-43'!K30+'Mason Pgs 44-45'!K30+'Northeast Tri Pgs 46-47'!K30+'Okanogan Pgs 48-49'!K30+'Pacific Pgs 50-51'!K30+'San Juan Pgs 52-53'!K30+'Skagit Pgs 56-57'!K30+'Skamania Pgs 58-59'!K30+'Snohomish Pgs 60-61'!K30+'Spokane Pgs 62-63'!K30+'Tacoma-Pierce Pgs 64-65'!K30+'Thurston Pgs 66-67'!K30+'Wahkiakum Pgs 68-69'!K30+'Walla Walla Pgs 70-71'!K30+'Whatcom Pgs 72-73'!K30+'Whitman Pgs 74-75'!K30+'Yakima Pgs 76-77'!K30+'Seattle-King Pgs 54-55'!K30</f>
        <v>332233</v>
      </c>
      <c r="L30" s="223">
        <f t="shared" si="1"/>
        <v>13026762</v>
      </c>
    </row>
    <row r="31" spans="1:12" s="224" customFormat="1" ht="14.45" customHeight="1" x14ac:dyDescent="0.2">
      <c r="A31" s="214">
        <v>562.54</v>
      </c>
      <c r="B31" s="215" t="s">
        <v>59</v>
      </c>
      <c r="C31" s="216">
        <f>'Adams Pgs 8-9'!C31+'Asotin Pgs 10-11'!C31+'Benton-Franklin Pgs 12-13'!C31+'Chelan-Douglas Pgs 14-15'!C31+'Clallam Pgs 16-17'!C31+'Clark Pgs 18-19'!C31+'Columbia Pgs 20-21'!C31+'Cowlitz Pgs 22-23'!C31+'Garfield Pgs 24-25'!C31+'Grant Pgs 26-27'!C31+'Grays Harbor Pgs 28-29'!C31+'Island Pgs 30-31'!C31+'Jefferson Pgs 32-33'!C31+'Kitsap Pgs 34-35'!C31+'Kittitas Pgs 36-37'!C31+'Klickitat Pgs 38-39'!C31+'Lewis Pgs 40-41'!C31+'Lincoln Pgs 42-43'!C31+'Mason Pgs 44-45'!C31+'Northeast Tri Pgs 46-47'!C31+'Okanogan Pgs 48-49'!C31+'Pacific Pgs 50-51'!C31+'San Juan Pgs 52-53'!C31+'Skagit Pgs 56-57'!C31+'Skamania Pgs 58-59'!C31+'Snohomish Pgs 60-61'!C31+'Spokane Pgs 62-63'!C31+'Tacoma-Pierce Pgs 64-65'!C31+'Thurston Pgs 66-67'!C31+'Wahkiakum Pgs 68-69'!C31+'Walla Walla Pgs 70-71'!C31+'Whatcom Pgs 72-73'!C31+'Whitman Pgs 74-75'!C31+'Yakima Pgs 76-77'!C31+'Seattle-King Pgs 54-55'!C31</f>
        <v>397251</v>
      </c>
      <c r="D31" s="217">
        <f>'Adams Pgs 8-9'!D31+'Asotin Pgs 10-11'!D31+'Benton-Franklin Pgs 12-13'!D31+'Chelan-Douglas Pgs 14-15'!D31+'Clallam Pgs 16-17'!D31+'Clark Pgs 18-19'!D31+'Columbia Pgs 20-21'!D31+'Cowlitz Pgs 22-23'!D31+'Garfield Pgs 24-25'!D31+'Grant Pgs 26-27'!D31+'Grays Harbor Pgs 28-29'!D31+'Island Pgs 30-31'!D31+'Jefferson Pgs 32-33'!D31+'Kitsap Pgs 34-35'!D31+'Kittitas Pgs 36-37'!D31+'Klickitat Pgs 38-39'!D31+'Lewis Pgs 40-41'!D31+'Lincoln Pgs 42-43'!D31+'Mason Pgs 44-45'!D31+'Northeast Tri Pgs 46-47'!D31+'Okanogan Pgs 48-49'!D31+'Pacific Pgs 50-51'!D31+'San Juan Pgs 52-53'!D31+'Skagit Pgs 56-57'!D31+'Skamania Pgs 58-59'!D31+'Snohomish Pgs 60-61'!D31+'Spokane Pgs 62-63'!D31+'Tacoma-Pierce Pgs 64-65'!D31+'Thurston Pgs 66-67'!D31+'Wahkiakum Pgs 68-69'!D31+'Walla Walla Pgs 70-71'!D31+'Whatcom Pgs 72-73'!D31+'Whitman Pgs 74-75'!D31+'Yakima Pgs 76-77'!D31+'Seattle-King Pgs 54-55'!D31</f>
        <v>18130280</v>
      </c>
      <c r="E31" s="218">
        <f>'Adams Pgs 8-9'!E31+'Asotin Pgs 10-11'!E31+'Benton-Franklin Pgs 12-13'!E31+'Chelan-Douglas Pgs 14-15'!E31+'Clallam Pgs 16-17'!E31+'Clark Pgs 18-19'!E31+'Columbia Pgs 20-21'!E31+'Cowlitz Pgs 22-23'!E31+'Garfield Pgs 24-25'!E31+'Grant Pgs 26-27'!E31+'Grays Harbor Pgs 28-29'!E31+'Island Pgs 30-31'!E31+'Jefferson Pgs 32-33'!E31+'Kitsap Pgs 34-35'!E31+'Kittitas Pgs 36-37'!E31+'Klickitat Pgs 38-39'!E31+'Lewis Pgs 40-41'!E31+'Lincoln Pgs 42-43'!E31+'Mason Pgs 44-45'!E31+'Northeast Tri Pgs 46-47'!E31+'Okanogan Pgs 48-49'!E31+'Pacific Pgs 50-51'!E31+'San Juan Pgs 52-53'!E31+'Skagit Pgs 56-57'!E31+'Skamania Pgs 58-59'!E31+'Snohomish Pgs 60-61'!E31+'Spokane Pgs 62-63'!E31+'Tacoma-Pierce Pgs 64-65'!E31+'Thurston Pgs 66-67'!E31+'Wahkiakum Pgs 68-69'!E31+'Walla Walla Pgs 70-71'!E31+'Whatcom Pgs 72-73'!E31+'Whitman Pgs 74-75'!E31+'Yakima Pgs 76-77'!E31+'Seattle-King Pgs 54-55'!E31</f>
        <v>556652</v>
      </c>
      <c r="F31" s="219">
        <f>'Adams Pgs 8-9'!F31+'Asotin Pgs 10-11'!F31+'Benton-Franklin Pgs 12-13'!F31+'Chelan-Douglas Pgs 14-15'!F31+'Clallam Pgs 16-17'!F31+'Clark Pgs 18-19'!F31+'Columbia Pgs 20-21'!F31+'Cowlitz Pgs 22-23'!F31+'Garfield Pgs 24-25'!F31+'Grant Pgs 26-27'!F31+'Grays Harbor Pgs 28-29'!F31+'Island Pgs 30-31'!F31+'Jefferson Pgs 32-33'!F31+'Kitsap Pgs 34-35'!F31+'Kittitas Pgs 36-37'!F31+'Klickitat Pgs 38-39'!F31+'Lewis Pgs 40-41'!F31+'Lincoln Pgs 42-43'!F31+'Mason Pgs 44-45'!F31+'Northeast Tri Pgs 46-47'!F31+'Okanogan Pgs 48-49'!F31+'Pacific Pgs 50-51'!F31+'San Juan Pgs 52-53'!F31+'Seattle-King Pgs 54-55'!F31+'Skagit Pgs 56-57'!F31+'Skamania Pgs 58-59'!F31+'Snohomish Pgs 60-61'!F31+'Spokane Pgs 62-63'!F31+'Tacoma-Pierce Pgs 64-65'!F31+'Thurston Pgs 66-67'!F31+'Wahkiakum Pgs 68-69'!F31+'Walla Walla Pgs 70-71'!F31+'Whatcom Pgs 72-73'!F31+'Whitman Pgs 74-75'!F31+'Yakima Pgs 76-77'!F31</f>
        <v>10239</v>
      </c>
      <c r="G31" s="220">
        <f>'Adams Pgs 8-9'!G31+'Asotin Pgs 10-11'!G31+'Benton-Franklin Pgs 12-13'!G31+'Chelan-Douglas Pgs 14-15'!G31+'Clallam Pgs 16-17'!G31+'Clark Pgs 18-19'!G31+'Columbia Pgs 20-21'!G31+'Cowlitz Pgs 22-23'!G31+'Garfield Pgs 24-25'!G31+'Grant Pgs 26-27'!G31+'Grays Harbor Pgs 28-29'!G31+'Island Pgs 30-31'!G31+'Jefferson Pgs 32-33'!G31+'Kitsap Pgs 34-35'!G31+'Kittitas Pgs 36-37'!G31+'Klickitat Pgs 38-39'!G31+'Lewis Pgs 40-41'!G31+'Lincoln Pgs 42-43'!G31+'Mason Pgs 44-45'!G31+'Northeast Tri Pgs 46-47'!G31+'Okanogan Pgs 48-49'!G31+'Pacific Pgs 50-51'!G31+'San Juan Pgs 52-53'!G31+'Skagit Pgs 56-57'!G31+'Skamania Pgs 58-59'!G31+'Snohomish Pgs 60-61'!G31+'Spokane Pgs 62-63'!G31+'Tacoma-Pierce Pgs 64-65'!G31+'Thurston Pgs 66-67'!G31+'Wahkiakum Pgs 68-69'!G31+'Walla Walla Pgs 70-71'!G31+'Whatcom Pgs 72-73'!G31+'Whitman Pgs 74-75'!G31+'Yakima Pgs 76-77'!G31+'Seattle-King Pgs 54-55'!G31</f>
        <v>596370</v>
      </c>
      <c r="H31" s="227" t="s">
        <v>154</v>
      </c>
      <c r="I31" s="221">
        <f>'Adams Pgs 8-9'!I31+'Asotin Pgs 10-11'!I31+'Benton-Franklin Pgs 12-13'!I31+'Chelan-Douglas Pgs 14-15'!I31+'Clallam Pgs 16-17'!I31+'Clark Pgs 18-19'!I31+'Columbia Pgs 20-21'!I31+'Cowlitz Pgs 22-23'!I31+'Garfield Pgs 24-25'!I31+'Grant Pgs 26-27'!I31+'Grays Harbor Pgs 28-29'!I31+'Island Pgs 30-31'!I31+'Jefferson Pgs 32-33'!I31+'Kitsap Pgs 34-35'!I31+'Kittitas Pgs 36-37'!I31+'Klickitat Pgs 38-39'!I31+'Lewis Pgs 40-41'!I31+'Lincoln Pgs 42-43'!I31+'Mason Pgs 44-45'!I31+'Northeast Tri Pgs 46-47'!I31+'Okanogan Pgs 48-49'!I31+'Pacific Pgs 50-51'!I31+'San Juan Pgs 52-53'!I31+'Skagit Pgs 56-57'!I31+'Skamania Pgs 58-59'!I31+'Snohomish Pgs 60-61'!I31+'Spokane Pgs 62-63'!I31+'Tacoma-Pierce Pgs 64-65'!I31+'Thurston Pgs 66-67'!I31+'Wahkiakum Pgs 68-69'!I31+'Walla Walla Pgs 70-71'!I31+'Whatcom Pgs 72-73'!I31+'Whitman Pgs 74-75'!I31+'Yakima Pgs 76-77'!I31+'Seattle-King Pgs 54-55'!I31</f>
        <v>645108</v>
      </c>
      <c r="J31" s="225" t="s">
        <v>154</v>
      </c>
      <c r="K31" s="222">
        <f>'Adams Pgs 8-9'!K31+'Asotin Pgs 10-11'!K31+'Benton-Franklin Pgs 12-13'!K31+'Chelan-Douglas Pgs 14-15'!K31+'Clallam Pgs 16-17'!K31+'Clark Pgs 18-19'!K31+'Columbia Pgs 20-21'!K31+'Cowlitz Pgs 22-23'!K31+'Garfield Pgs 24-25'!K31+'Grant Pgs 26-27'!K31+'Grays Harbor Pgs 28-29'!K31+'Island Pgs 30-31'!K31+'Jefferson Pgs 32-33'!K31+'Kitsap Pgs 34-35'!K31+'Kittitas Pgs 36-37'!K31+'Klickitat Pgs 38-39'!K31+'Lewis Pgs 40-41'!K31+'Lincoln Pgs 42-43'!K31+'Mason Pgs 44-45'!K31+'Northeast Tri Pgs 46-47'!K31+'Okanogan Pgs 48-49'!K31+'Pacific Pgs 50-51'!K31+'San Juan Pgs 52-53'!K31+'Skagit Pgs 56-57'!K31+'Skamania Pgs 58-59'!K31+'Snohomish Pgs 60-61'!K31+'Spokane Pgs 62-63'!K31+'Tacoma-Pierce Pgs 64-65'!K31+'Thurston Pgs 66-67'!K31+'Wahkiakum Pgs 68-69'!K31+'Walla Walla Pgs 70-71'!K31+'Whatcom Pgs 72-73'!K31+'Whitman Pgs 74-75'!K31+'Yakima Pgs 76-77'!K31+'Seattle-King Pgs 54-55'!K31</f>
        <v>224098</v>
      </c>
      <c r="L31" s="223">
        <f t="shared" si="1"/>
        <v>20559998</v>
      </c>
    </row>
    <row r="32" spans="1:12" s="224" customFormat="1" ht="14.45" customHeight="1" x14ac:dyDescent="0.2">
      <c r="A32" s="214">
        <v>562.54999999999995</v>
      </c>
      <c r="B32" s="215" t="s">
        <v>18</v>
      </c>
      <c r="C32" s="216">
        <f>'Adams Pgs 8-9'!C32+'Asotin Pgs 10-11'!C32+'Benton-Franklin Pgs 12-13'!C32+'Chelan-Douglas Pgs 14-15'!C32+'Clallam Pgs 16-17'!C32+'Clark Pgs 18-19'!C32+'Columbia Pgs 20-21'!C32+'Cowlitz Pgs 22-23'!C32+'Garfield Pgs 24-25'!C32+'Grant Pgs 26-27'!C32+'Grays Harbor Pgs 28-29'!C32+'Island Pgs 30-31'!C32+'Jefferson Pgs 32-33'!C32+'Kitsap Pgs 34-35'!C32+'Kittitas Pgs 36-37'!C32+'Klickitat Pgs 38-39'!C32+'Lewis Pgs 40-41'!C32+'Lincoln Pgs 42-43'!C32+'Mason Pgs 44-45'!C32+'Northeast Tri Pgs 46-47'!C32+'Okanogan Pgs 48-49'!C32+'Pacific Pgs 50-51'!C32+'San Juan Pgs 52-53'!C32+'Skagit Pgs 56-57'!C32+'Skamania Pgs 58-59'!C32+'Snohomish Pgs 60-61'!C32+'Spokane Pgs 62-63'!C32+'Tacoma-Pierce Pgs 64-65'!C32+'Thurston Pgs 66-67'!C32+'Wahkiakum Pgs 68-69'!C32+'Walla Walla Pgs 70-71'!C32+'Whatcom Pgs 72-73'!C32+'Whitman Pgs 74-75'!C32+'Yakima Pgs 76-77'!C32+'Seattle-King Pgs 54-55'!C32</f>
        <v>480031</v>
      </c>
      <c r="D32" s="217">
        <f>'Adams Pgs 8-9'!D32+'Asotin Pgs 10-11'!D32+'Benton-Franklin Pgs 12-13'!D32+'Chelan-Douglas Pgs 14-15'!D32+'Clallam Pgs 16-17'!D32+'Clark Pgs 18-19'!D32+'Columbia Pgs 20-21'!D32+'Cowlitz Pgs 22-23'!D32+'Garfield Pgs 24-25'!D32+'Grant Pgs 26-27'!D32+'Grays Harbor Pgs 28-29'!D32+'Island Pgs 30-31'!D32+'Jefferson Pgs 32-33'!D32+'Kitsap Pgs 34-35'!D32+'Kittitas Pgs 36-37'!D32+'Klickitat Pgs 38-39'!D32+'Lewis Pgs 40-41'!D32+'Lincoln Pgs 42-43'!D32+'Mason Pgs 44-45'!D32+'Northeast Tri Pgs 46-47'!D32+'Okanogan Pgs 48-49'!D32+'Pacific Pgs 50-51'!D32+'San Juan Pgs 52-53'!D32+'Skagit Pgs 56-57'!D32+'Skamania Pgs 58-59'!D32+'Snohomish Pgs 60-61'!D32+'Spokane Pgs 62-63'!D32+'Tacoma-Pierce Pgs 64-65'!D32+'Thurston Pgs 66-67'!D32+'Wahkiakum Pgs 68-69'!D32+'Walla Walla Pgs 70-71'!D32+'Whatcom Pgs 72-73'!D32+'Whitman Pgs 74-75'!D32+'Yakima Pgs 76-77'!D32+'Seattle-King Pgs 54-55'!D32</f>
        <v>140231</v>
      </c>
      <c r="E32" s="226" t="s">
        <v>154</v>
      </c>
      <c r="F32" s="227" t="s">
        <v>154</v>
      </c>
      <c r="G32" s="220">
        <f>'Adams Pgs 8-9'!G32+'Asotin Pgs 10-11'!G32+'Benton-Franklin Pgs 12-13'!G32+'Chelan-Douglas Pgs 14-15'!G32+'Clallam Pgs 16-17'!G32+'Clark Pgs 18-19'!G32+'Columbia Pgs 20-21'!G32+'Cowlitz Pgs 22-23'!G32+'Garfield Pgs 24-25'!G32+'Grant Pgs 26-27'!G32+'Grays Harbor Pgs 28-29'!G32+'Island Pgs 30-31'!G32+'Jefferson Pgs 32-33'!G32+'Kitsap Pgs 34-35'!G32+'Kittitas Pgs 36-37'!G32+'Klickitat Pgs 38-39'!G32+'Lewis Pgs 40-41'!G32+'Lincoln Pgs 42-43'!G32+'Mason Pgs 44-45'!G32+'Northeast Tri Pgs 46-47'!G32+'Okanogan Pgs 48-49'!G32+'Pacific Pgs 50-51'!G32+'San Juan Pgs 52-53'!G32+'Skagit Pgs 56-57'!G32+'Skamania Pgs 58-59'!G32+'Snohomish Pgs 60-61'!G32+'Spokane Pgs 62-63'!G32+'Tacoma-Pierce Pgs 64-65'!G32+'Thurston Pgs 66-67'!G32+'Wahkiakum Pgs 68-69'!G32+'Walla Walla Pgs 70-71'!G32+'Whatcom Pgs 72-73'!G32+'Whitman Pgs 74-75'!G32+'Yakima Pgs 76-77'!G32+'Seattle-King Pgs 54-55'!G32</f>
        <v>80648</v>
      </c>
      <c r="H32" s="227" t="s">
        <v>154</v>
      </c>
      <c r="I32" s="228" t="s">
        <v>154</v>
      </c>
      <c r="J32" s="225" t="s">
        <v>154</v>
      </c>
      <c r="K32" s="222">
        <f>'Adams Pgs 8-9'!K32+'Asotin Pgs 10-11'!K32+'Benton-Franklin Pgs 12-13'!K32+'Chelan-Douglas Pgs 14-15'!K32+'Clallam Pgs 16-17'!K32+'Clark Pgs 18-19'!K32+'Columbia Pgs 20-21'!K32+'Cowlitz Pgs 22-23'!K32+'Garfield Pgs 24-25'!K32+'Grant Pgs 26-27'!K32+'Grays Harbor Pgs 28-29'!K32+'Island Pgs 30-31'!K32+'Jefferson Pgs 32-33'!K32+'Kitsap Pgs 34-35'!K32+'Kittitas Pgs 36-37'!K32+'Klickitat Pgs 38-39'!K32+'Lewis Pgs 40-41'!K32+'Lincoln Pgs 42-43'!K32+'Mason Pgs 44-45'!K32+'Northeast Tri Pgs 46-47'!K32+'Okanogan Pgs 48-49'!K32+'Pacific Pgs 50-51'!K32+'San Juan Pgs 52-53'!K32+'Skagit Pgs 56-57'!K32+'Skamania Pgs 58-59'!K32+'Snohomish Pgs 60-61'!K32+'Spokane Pgs 62-63'!K32+'Tacoma-Pierce Pgs 64-65'!K32+'Thurston Pgs 66-67'!K32+'Wahkiakum Pgs 68-69'!K32+'Walla Walla Pgs 70-71'!K32+'Whatcom Pgs 72-73'!K32+'Whitman Pgs 74-75'!K32+'Yakima Pgs 76-77'!K32+'Seattle-King Pgs 54-55'!K32</f>
        <v>597</v>
      </c>
      <c r="L32" s="223">
        <f t="shared" si="1"/>
        <v>701507</v>
      </c>
    </row>
    <row r="33" spans="1:13" s="224" customFormat="1" ht="14.45" customHeight="1" x14ac:dyDescent="0.2">
      <c r="A33" s="214">
        <v>562.55999999999995</v>
      </c>
      <c r="B33" s="215" t="s">
        <v>19</v>
      </c>
      <c r="C33" s="216">
        <f>'Adams Pgs 8-9'!C33+'Asotin Pgs 10-11'!C33+'Benton-Franklin Pgs 12-13'!C33+'Chelan-Douglas Pgs 14-15'!C33+'Clallam Pgs 16-17'!C33+'Clark Pgs 18-19'!C33+'Columbia Pgs 20-21'!C33+'Cowlitz Pgs 22-23'!C33+'Garfield Pgs 24-25'!C33+'Grant Pgs 26-27'!C33+'Grays Harbor Pgs 28-29'!C33+'Island Pgs 30-31'!C33+'Jefferson Pgs 32-33'!C33+'Kitsap Pgs 34-35'!C33+'Kittitas Pgs 36-37'!C33+'Klickitat Pgs 38-39'!C33+'Lewis Pgs 40-41'!C33+'Lincoln Pgs 42-43'!C33+'Mason Pgs 44-45'!C33+'Northeast Tri Pgs 46-47'!C33+'Okanogan Pgs 48-49'!C33+'Pacific Pgs 50-51'!C33+'San Juan Pgs 52-53'!C33+'Skagit Pgs 56-57'!C33+'Skamania Pgs 58-59'!C33+'Snohomish Pgs 60-61'!C33+'Spokane Pgs 62-63'!C33+'Tacoma-Pierce Pgs 64-65'!C33+'Thurston Pgs 66-67'!C33+'Wahkiakum Pgs 68-69'!C33+'Walla Walla Pgs 70-71'!C33+'Whatcom Pgs 72-73'!C33+'Whitman Pgs 74-75'!C33+'Yakima Pgs 76-77'!C33+'Seattle-King Pgs 54-55'!C33</f>
        <v>416621</v>
      </c>
      <c r="D33" s="217">
        <f>'Adams Pgs 8-9'!D33+'Asotin Pgs 10-11'!D33+'Benton-Franklin Pgs 12-13'!D33+'Chelan-Douglas Pgs 14-15'!D33+'Clallam Pgs 16-17'!D33+'Clark Pgs 18-19'!D33+'Columbia Pgs 20-21'!D33+'Cowlitz Pgs 22-23'!D33+'Garfield Pgs 24-25'!D33+'Grant Pgs 26-27'!D33+'Grays Harbor Pgs 28-29'!D33+'Island Pgs 30-31'!D33+'Jefferson Pgs 32-33'!D33+'Kitsap Pgs 34-35'!D33+'Kittitas Pgs 36-37'!D33+'Klickitat Pgs 38-39'!D33+'Lewis Pgs 40-41'!D33+'Lincoln Pgs 42-43'!D33+'Mason Pgs 44-45'!D33+'Northeast Tri Pgs 46-47'!D33+'Okanogan Pgs 48-49'!D33+'Pacific Pgs 50-51'!D33+'San Juan Pgs 52-53'!D33+'Skagit Pgs 56-57'!D33+'Skamania Pgs 58-59'!D33+'Snohomish Pgs 60-61'!D33+'Spokane Pgs 62-63'!D33+'Tacoma-Pierce Pgs 64-65'!D33+'Thurston Pgs 66-67'!D33+'Wahkiakum Pgs 68-69'!D33+'Walla Walla Pgs 70-71'!D33+'Whatcom Pgs 72-73'!D33+'Whitman Pgs 74-75'!D33+'Yakima Pgs 76-77'!D33+'Seattle-King Pgs 54-55'!D33</f>
        <v>26875849</v>
      </c>
      <c r="E33" s="218">
        <f>'Adams Pgs 8-9'!E33+'Asotin Pgs 10-11'!E33+'Benton-Franklin Pgs 12-13'!E33+'Chelan-Douglas Pgs 14-15'!E33+'Clallam Pgs 16-17'!E33+'Clark Pgs 18-19'!E33+'Columbia Pgs 20-21'!E33+'Cowlitz Pgs 22-23'!E33+'Garfield Pgs 24-25'!E33+'Grant Pgs 26-27'!E33+'Grays Harbor Pgs 28-29'!E33+'Island Pgs 30-31'!E33+'Jefferson Pgs 32-33'!E33+'Kitsap Pgs 34-35'!E33+'Kittitas Pgs 36-37'!E33+'Klickitat Pgs 38-39'!E33+'Lewis Pgs 40-41'!E33+'Lincoln Pgs 42-43'!E33+'Mason Pgs 44-45'!E33+'Northeast Tri Pgs 46-47'!E33+'Okanogan Pgs 48-49'!E33+'Pacific Pgs 50-51'!E33+'San Juan Pgs 52-53'!E33+'Skagit Pgs 56-57'!E33+'Skamania Pgs 58-59'!E33+'Snohomish Pgs 60-61'!E33+'Spokane Pgs 62-63'!E33+'Tacoma-Pierce Pgs 64-65'!E33+'Thurston Pgs 66-67'!E33+'Wahkiakum Pgs 68-69'!E33+'Walla Walla Pgs 70-71'!E33+'Whatcom Pgs 72-73'!E33+'Whitman Pgs 74-75'!E33+'Yakima Pgs 76-77'!E33+'Seattle-King Pgs 54-55'!E33</f>
        <v>37193</v>
      </c>
      <c r="F33" s="219">
        <f>'Adams Pgs 8-9'!F33+'Asotin Pgs 10-11'!F33+'Benton-Franklin Pgs 12-13'!F33+'Chelan-Douglas Pgs 14-15'!F33+'Clallam Pgs 16-17'!F33+'Clark Pgs 18-19'!F33+'Columbia Pgs 20-21'!F33+'Cowlitz Pgs 22-23'!F33+'Garfield Pgs 24-25'!F33+'Grant Pgs 26-27'!F33+'Grays Harbor Pgs 28-29'!F33+'Island Pgs 30-31'!F33+'Jefferson Pgs 32-33'!F33+'Kitsap Pgs 34-35'!F33+'Kittitas Pgs 36-37'!F33+'Klickitat Pgs 38-39'!F33+'Lewis Pgs 40-41'!F33+'Lincoln Pgs 42-43'!F33+'Mason Pgs 44-45'!F33+'Northeast Tri Pgs 46-47'!F33+'Okanogan Pgs 48-49'!F33+'Pacific Pgs 50-51'!F33+'San Juan Pgs 52-53'!F33+'Seattle-King Pgs 54-55'!F33+'Skagit Pgs 56-57'!F33+'Skamania Pgs 58-59'!F33+'Snohomish Pgs 60-61'!F33+'Spokane Pgs 62-63'!F33+'Tacoma-Pierce Pgs 64-65'!F33+'Thurston Pgs 66-67'!F33+'Wahkiakum Pgs 68-69'!F33+'Walla Walla Pgs 70-71'!F33+'Whatcom Pgs 72-73'!F33+'Whitman Pgs 74-75'!F33+'Yakima Pgs 76-77'!F33</f>
        <v>3316</v>
      </c>
      <c r="G33" s="220">
        <f>'Adams Pgs 8-9'!G33+'Asotin Pgs 10-11'!G33+'Benton-Franklin Pgs 12-13'!G33+'Chelan-Douglas Pgs 14-15'!G33+'Clallam Pgs 16-17'!G33+'Clark Pgs 18-19'!G33+'Columbia Pgs 20-21'!G33+'Cowlitz Pgs 22-23'!G33+'Garfield Pgs 24-25'!G33+'Grant Pgs 26-27'!G33+'Grays Harbor Pgs 28-29'!G33+'Island Pgs 30-31'!G33+'Jefferson Pgs 32-33'!G33+'Kitsap Pgs 34-35'!G33+'Kittitas Pgs 36-37'!G33+'Klickitat Pgs 38-39'!G33+'Lewis Pgs 40-41'!G33+'Lincoln Pgs 42-43'!G33+'Mason Pgs 44-45'!G33+'Northeast Tri Pgs 46-47'!G33+'Okanogan Pgs 48-49'!G33+'Pacific Pgs 50-51'!G33+'San Juan Pgs 52-53'!G33+'Skagit Pgs 56-57'!G33+'Skamania Pgs 58-59'!G33+'Snohomish Pgs 60-61'!G33+'Spokane Pgs 62-63'!G33+'Tacoma-Pierce Pgs 64-65'!G33+'Thurston Pgs 66-67'!G33+'Wahkiakum Pgs 68-69'!G33+'Walla Walla Pgs 70-71'!G33+'Whatcom Pgs 72-73'!G33+'Whitman Pgs 74-75'!G33+'Yakima Pgs 76-77'!G33+'Seattle-King Pgs 54-55'!G33</f>
        <v>723375</v>
      </c>
      <c r="H33" s="227" t="s">
        <v>154</v>
      </c>
      <c r="I33" s="221">
        <f>'Adams Pgs 8-9'!I33+'Asotin Pgs 10-11'!I33+'Benton-Franklin Pgs 12-13'!I33+'Chelan-Douglas Pgs 14-15'!I33+'Clallam Pgs 16-17'!I33+'Clark Pgs 18-19'!I33+'Columbia Pgs 20-21'!I33+'Cowlitz Pgs 22-23'!I33+'Garfield Pgs 24-25'!I33+'Grant Pgs 26-27'!I33+'Grays Harbor Pgs 28-29'!I33+'Island Pgs 30-31'!I33+'Jefferson Pgs 32-33'!I33+'Kitsap Pgs 34-35'!I33+'Kittitas Pgs 36-37'!I33+'Klickitat Pgs 38-39'!I33+'Lewis Pgs 40-41'!I33+'Lincoln Pgs 42-43'!I33+'Mason Pgs 44-45'!I33+'Northeast Tri Pgs 46-47'!I33+'Okanogan Pgs 48-49'!I33+'Pacific Pgs 50-51'!I33+'San Juan Pgs 52-53'!I33+'Skagit Pgs 56-57'!I33+'Skamania Pgs 58-59'!I33+'Snohomish Pgs 60-61'!I33+'Spokane Pgs 62-63'!I33+'Tacoma-Pierce Pgs 64-65'!I33+'Thurston Pgs 66-67'!I33+'Wahkiakum Pgs 68-69'!I33+'Walla Walla Pgs 70-71'!I33+'Whatcom Pgs 72-73'!I33+'Whitman Pgs 74-75'!I33+'Yakima Pgs 76-77'!I33+'Seattle-King Pgs 54-55'!I33</f>
        <v>8346</v>
      </c>
      <c r="J33" s="217">
        <f>'Adams Pgs 8-9'!J33+'Asotin Pgs 10-11'!J33+'Benton-Franklin Pgs 12-13'!J33+'Chelan-Douglas Pgs 14-15'!J33+'Clallam Pgs 16-17'!J33+'Clark Pgs 18-19'!J33+'Columbia Pgs 20-21'!J33+'Cowlitz Pgs 22-23'!J33+'Garfield Pgs 24-25'!J33+'Grant Pgs 26-27'!J33+'Grays Harbor Pgs 28-29'!J33+'Island Pgs 30-31'!J33+'Jefferson Pgs 32-33'!J33+'Kitsap Pgs 34-35'!J33+'Kittitas Pgs 36-37'!J33+'Klickitat Pgs 38-39'!J33+'Lewis Pgs 40-41'!J33+'Lincoln Pgs 42-43'!J33+'Mason Pgs 44-45'!J33+'Northeast Tri Pgs 46-47'!J33+'Okanogan Pgs 48-49'!J33+'Pacific Pgs 50-51'!J33+'San Juan Pgs 52-53'!J33+'Snohomish Pgs 60-61'!J33+'Spokane Pgs 62-63'!J33+'Tacoma-Pierce Pgs 64-65'!J33+'Thurston Pgs 66-67'!J33+'Wahkiakum Pgs 68-69'!J33+'Walla Walla Pgs 70-71'!J33+'Whatcom Pgs 72-73'!J33+'Whitman Pgs 74-75'!J33+'Yakima Pgs 76-77'!J33+'Seattle-King Pgs 54-55'!J33+'Skagit Pgs 56-57'!J33+'Skamania Pgs 58-59'!J33</f>
        <v>82451</v>
      </c>
      <c r="K33" s="222">
        <f>'Adams Pgs 8-9'!K33+'Asotin Pgs 10-11'!K33+'Benton-Franklin Pgs 12-13'!K33+'Chelan-Douglas Pgs 14-15'!K33+'Clallam Pgs 16-17'!K33+'Clark Pgs 18-19'!K33+'Columbia Pgs 20-21'!K33+'Cowlitz Pgs 22-23'!K33+'Garfield Pgs 24-25'!K33+'Grant Pgs 26-27'!K33+'Grays Harbor Pgs 28-29'!K33+'Island Pgs 30-31'!K33+'Jefferson Pgs 32-33'!K33+'Kitsap Pgs 34-35'!K33+'Kittitas Pgs 36-37'!K33+'Klickitat Pgs 38-39'!K33+'Lewis Pgs 40-41'!K33+'Lincoln Pgs 42-43'!K33+'Mason Pgs 44-45'!K33+'Northeast Tri Pgs 46-47'!K33+'Okanogan Pgs 48-49'!K33+'Pacific Pgs 50-51'!K33+'San Juan Pgs 52-53'!K33+'Skagit Pgs 56-57'!K33+'Skamania Pgs 58-59'!K33+'Snohomish Pgs 60-61'!K33+'Spokane Pgs 62-63'!K33+'Tacoma-Pierce Pgs 64-65'!K33+'Thurston Pgs 66-67'!K33+'Wahkiakum Pgs 68-69'!K33+'Walla Walla Pgs 70-71'!K33+'Whatcom Pgs 72-73'!K33+'Whitman Pgs 74-75'!K33+'Yakima Pgs 76-77'!K33+'Seattle-King Pgs 54-55'!K33</f>
        <v>381825</v>
      </c>
      <c r="L33" s="223">
        <f t="shared" si="1"/>
        <v>28528976</v>
      </c>
    </row>
    <row r="34" spans="1:13" s="224" customFormat="1" ht="14.45" customHeight="1" x14ac:dyDescent="0.2">
      <c r="A34" s="214">
        <v>562.57000000000005</v>
      </c>
      <c r="B34" s="215" t="s">
        <v>60</v>
      </c>
      <c r="C34" s="216">
        <f>'Adams Pgs 8-9'!C34+'Asotin Pgs 10-11'!C34+'Benton-Franklin Pgs 12-13'!C34+'Chelan-Douglas Pgs 14-15'!C34+'Clallam Pgs 16-17'!C34+'Clark Pgs 18-19'!C34+'Columbia Pgs 20-21'!C34+'Cowlitz Pgs 22-23'!C34+'Garfield Pgs 24-25'!C34+'Grant Pgs 26-27'!C34+'Grays Harbor Pgs 28-29'!C34+'Island Pgs 30-31'!C34+'Jefferson Pgs 32-33'!C34+'Kitsap Pgs 34-35'!C34+'Kittitas Pgs 36-37'!C34+'Klickitat Pgs 38-39'!C34+'Lewis Pgs 40-41'!C34+'Lincoln Pgs 42-43'!C34+'Mason Pgs 44-45'!C34+'Northeast Tri Pgs 46-47'!C34+'Okanogan Pgs 48-49'!C34+'Pacific Pgs 50-51'!C34+'San Juan Pgs 52-53'!C34+'Skagit Pgs 56-57'!C34+'Skamania Pgs 58-59'!C34+'Snohomish Pgs 60-61'!C34+'Spokane Pgs 62-63'!C34+'Tacoma-Pierce Pgs 64-65'!C34+'Thurston Pgs 66-67'!C34+'Wahkiakum Pgs 68-69'!C34+'Walla Walla Pgs 70-71'!C34+'Whatcom Pgs 72-73'!C34+'Whitman Pgs 74-75'!C34+'Yakima Pgs 76-77'!C34+'Seattle-King Pgs 54-55'!C34</f>
        <v>119063</v>
      </c>
      <c r="D34" s="217">
        <f>'Adams Pgs 8-9'!D34+'Asotin Pgs 10-11'!D34+'Benton-Franklin Pgs 12-13'!D34+'Chelan-Douglas Pgs 14-15'!D34+'Clallam Pgs 16-17'!D34+'Clark Pgs 18-19'!D34+'Columbia Pgs 20-21'!D34+'Cowlitz Pgs 22-23'!D34+'Garfield Pgs 24-25'!D34+'Grant Pgs 26-27'!D34+'Grays Harbor Pgs 28-29'!D34+'Island Pgs 30-31'!D34+'Jefferson Pgs 32-33'!D34+'Kitsap Pgs 34-35'!D34+'Kittitas Pgs 36-37'!D34+'Klickitat Pgs 38-39'!D34+'Lewis Pgs 40-41'!D34+'Lincoln Pgs 42-43'!D34+'Mason Pgs 44-45'!D34+'Northeast Tri Pgs 46-47'!D34+'Okanogan Pgs 48-49'!D34+'Pacific Pgs 50-51'!D34+'San Juan Pgs 52-53'!D34+'Skagit Pgs 56-57'!D34+'Skamania Pgs 58-59'!D34+'Snohomish Pgs 60-61'!D34+'Spokane Pgs 62-63'!D34+'Tacoma-Pierce Pgs 64-65'!D34+'Thurston Pgs 66-67'!D34+'Wahkiakum Pgs 68-69'!D34+'Walla Walla Pgs 70-71'!D34+'Whatcom Pgs 72-73'!D34+'Whitman Pgs 74-75'!D34+'Yakima Pgs 76-77'!D34+'Seattle-King Pgs 54-55'!D34</f>
        <v>509738</v>
      </c>
      <c r="E34" s="218">
        <f>'Adams Pgs 8-9'!E34+'Asotin Pgs 10-11'!E34+'Benton-Franklin Pgs 12-13'!E34+'Chelan-Douglas Pgs 14-15'!E34+'Clallam Pgs 16-17'!E34+'Clark Pgs 18-19'!E34+'Columbia Pgs 20-21'!E34+'Cowlitz Pgs 22-23'!E34+'Garfield Pgs 24-25'!E34+'Grant Pgs 26-27'!E34+'Grays Harbor Pgs 28-29'!E34+'Island Pgs 30-31'!E34+'Jefferson Pgs 32-33'!E34+'Kitsap Pgs 34-35'!E34+'Kittitas Pgs 36-37'!E34+'Klickitat Pgs 38-39'!E34+'Lewis Pgs 40-41'!E34+'Lincoln Pgs 42-43'!E34+'Mason Pgs 44-45'!E34+'Northeast Tri Pgs 46-47'!E34+'Okanogan Pgs 48-49'!E34+'Pacific Pgs 50-51'!E34+'San Juan Pgs 52-53'!E34+'Skagit Pgs 56-57'!E34+'Skamania Pgs 58-59'!E34+'Snohomish Pgs 60-61'!E34+'Spokane Pgs 62-63'!E34+'Tacoma-Pierce Pgs 64-65'!E34+'Thurston Pgs 66-67'!E34+'Wahkiakum Pgs 68-69'!E34+'Walla Walla Pgs 70-71'!E34+'Whatcom Pgs 72-73'!E34+'Whitman Pgs 74-75'!E34+'Yakima Pgs 76-77'!E34+'Seattle-King Pgs 54-55'!E34</f>
        <v>44947</v>
      </c>
      <c r="F34" s="219">
        <f>'Adams Pgs 8-9'!F34+'Asotin Pgs 10-11'!F34+'Benton-Franklin Pgs 12-13'!F34+'Chelan-Douglas Pgs 14-15'!F34+'Clallam Pgs 16-17'!F34+'Clark Pgs 18-19'!F34+'Columbia Pgs 20-21'!F34+'Cowlitz Pgs 22-23'!F34+'Garfield Pgs 24-25'!F34+'Grant Pgs 26-27'!F34+'Grays Harbor Pgs 28-29'!F34+'Island Pgs 30-31'!F34+'Jefferson Pgs 32-33'!F34+'Kitsap Pgs 34-35'!F34+'Kittitas Pgs 36-37'!F34+'Klickitat Pgs 38-39'!F34+'Lewis Pgs 40-41'!F34+'Lincoln Pgs 42-43'!F34+'Mason Pgs 44-45'!F34+'Northeast Tri Pgs 46-47'!F34+'Okanogan Pgs 48-49'!F34+'Pacific Pgs 50-51'!F34+'San Juan Pgs 52-53'!F34+'Seattle-King Pgs 54-55'!F34+'Skagit Pgs 56-57'!F34+'Skamania Pgs 58-59'!F34+'Snohomish Pgs 60-61'!F34+'Spokane Pgs 62-63'!F34+'Tacoma-Pierce Pgs 64-65'!F34+'Thurston Pgs 66-67'!F34+'Wahkiakum Pgs 68-69'!F34+'Walla Walla Pgs 70-71'!F34+'Whatcom Pgs 72-73'!F34+'Whitman Pgs 74-75'!F34+'Yakima Pgs 76-77'!F34</f>
        <v>178</v>
      </c>
      <c r="G34" s="220">
        <f>'Adams Pgs 8-9'!G34+'Asotin Pgs 10-11'!G34+'Benton-Franklin Pgs 12-13'!G34+'Chelan-Douglas Pgs 14-15'!G34+'Clallam Pgs 16-17'!G34+'Clark Pgs 18-19'!G34+'Columbia Pgs 20-21'!G34+'Cowlitz Pgs 22-23'!G34+'Garfield Pgs 24-25'!G34+'Grant Pgs 26-27'!G34+'Grays Harbor Pgs 28-29'!G34+'Island Pgs 30-31'!G34+'Jefferson Pgs 32-33'!G34+'Kitsap Pgs 34-35'!G34+'Kittitas Pgs 36-37'!G34+'Klickitat Pgs 38-39'!G34+'Lewis Pgs 40-41'!G34+'Lincoln Pgs 42-43'!G34+'Mason Pgs 44-45'!G34+'Northeast Tri Pgs 46-47'!G34+'Okanogan Pgs 48-49'!G34+'Pacific Pgs 50-51'!G34+'San Juan Pgs 52-53'!G34+'Skagit Pgs 56-57'!G34+'Skamania Pgs 58-59'!G34+'Snohomish Pgs 60-61'!G34+'Spokane Pgs 62-63'!G34+'Tacoma-Pierce Pgs 64-65'!G34+'Thurston Pgs 66-67'!G34+'Wahkiakum Pgs 68-69'!G34+'Walla Walla Pgs 70-71'!G34+'Whatcom Pgs 72-73'!G34+'Whitman Pgs 74-75'!G34+'Yakima Pgs 76-77'!G34+'Seattle-King Pgs 54-55'!G34</f>
        <v>1503</v>
      </c>
      <c r="H34" s="219">
        <f>'Adams Pgs 8-9'!H34+'Asotin Pgs 10-11'!H34+'Benton-Franklin Pgs 12-13'!H34+'Chelan-Douglas Pgs 14-15'!H34+'Clallam Pgs 16-17'!H34+'Clark Pgs 18-19'!H34+'Columbia Pgs 20-21'!H34+'Cowlitz Pgs 22-23'!H34+'Garfield Pgs 24-25'!H34+'Grant Pgs 26-27'!H34+'Grays Harbor Pgs 28-29'!H34+'Island Pgs 30-31'!H34+'Jefferson Pgs 32-33'!H34+'Kitsap Pgs 34-35'!H34+'Kittitas Pgs 36-37'!H34+'Klickitat Pgs 38-39'!H34+'Lewis Pgs 40-41'!H34+'Lincoln Pgs 42-43'!H34+'Mason Pgs 44-45'!H34+'Northeast Tri Pgs 46-47'!H34+'Okanogan Pgs 48-49'!H34+'Pacific Pgs 50-51'!H34+'San Juan Pgs 52-53'!H34+'Skagit Pgs 56-57'!H34+'Skamania Pgs 58-59'!H34+'Snohomish Pgs 60-61'!H34+'Spokane Pgs 62-63'!H34+'Tacoma-Pierce Pgs 64-65'!H34+'Thurston Pgs 66-67'!H34+'Wahkiakum Pgs 68-69'!H34+'Walla Walla Pgs 70-71'!H34+'Whatcom Pgs 72-73'!H34+'Whitman Pgs 74-75'!H34+'Yakima Pgs 76-77'!H34+'Seattle-King Pgs 54-55'!H34</f>
        <v>53937</v>
      </c>
      <c r="I34" s="228" t="s">
        <v>154</v>
      </c>
      <c r="J34" s="217">
        <f>'Adams Pgs 8-9'!J34+'Asotin Pgs 10-11'!J34+'Benton-Franklin Pgs 12-13'!J34+'Chelan-Douglas Pgs 14-15'!J34+'Clallam Pgs 16-17'!J34+'Clark Pgs 18-19'!J34+'Columbia Pgs 20-21'!J34+'Cowlitz Pgs 22-23'!J34+'Garfield Pgs 24-25'!J34+'Grant Pgs 26-27'!J34+'Grays Harbor Pgs 28-29'!J34+'Island Pgs 30-31'!J34+'Jefferson Pgs 32-33'!J34+'Kitsap Pgs 34-35'!J34+'Kittitas Pgs 36-37'!J34+'Klickitat Pgs 38-39'!J34+'Lewis Pgs 40-41'!J34+'Lincoln Pgs 42-43'!J34+'Mason Pgs 44-45'!J34+'Northeast Tri Pgs 46-47'!J34+'Okanogan Pgs 48-49'!J34+'Pacific Pgs 50-51'!J34+'San Juan Pgs 52-53'!J34+'Snohomish Pgs 60-61'!J34+'Spokane Pgs 62-63'!J34+'Tacoma-Pierce Pgs 64-65'!J34+'Thurston Pgs 66-67'!J34+'Wahkiakum Pgs 68-69'!J34+'Walla Walla Pgs 70-71'!J34+'Whatcom Pgs 72-73'!J34+'Whitman Pgs 74-75'!J34+'Yakima Pgs 76-77'!J34+'Seattle-King Pgs 54-55'!J34+'Skagit Pgs 56-57'!J34+'Skamania Pgs 58-59'!J34</f>
        <v>4131</v>
      </c>
      <c r="K34" s="229" t="s">
        <v>154</v>
      </c>
      <c r="L34" s="223">
        <f t="shared" si="1"/>
        <v>733497</v>
      </c>
    </row>
    <row r="35" spans="1:13" s="224" customFormat="1" ht="14.45" customHeight="1" x14ac:dyDescent="0.2">
      <c r="A35" s="214">
        <v>562.58000000000004</v>
      </c>
      <c r="B35" s="215" t="s">
        <v>47</v>
      </c>
      <c r="C35" s="216">
        <f>'Adams Pgs 8-9'!C35+'Asotin Pgs 10-11'!C35+'Benton-Franklin Pgs 12-13'!C35+'Chelan-Douglas Pgs 14-15'!C35+'Clallam Pgs 16-17'!C35+'Clark Pgs 18-19'!C35+'Columbia Pgs 20-21'!C35+'Cowlitz Pgs 22-23'!C35+'Garfield Pgs 24-25'!C35+'Grant Pgs 26-27'!C35+'Grays Harbor Pgs 28-29'!C35+'Island Pgs 30-31'!C35+'Jefferson Pgs 32-33'!C35+'Kitsap Pgs 34-35'!C35+'Kittitas Pgs 36-37'!C35+'Klickitat Pgs 38-39'!C35+'Lewis Pgs 40-41'!C35+'Lincoln Pgs 42-43'!C35+'Mason Pgs 44-45'!C35+'Northeast Tri Pgs 46-47'!C35+'Okanogan Pgs 48-49'!C35+'Pacific Pgs 50-51'!C35+'San Juan Pgs 52-53'!C35+'Skagit Pgs 56-57'!C35+'Skamania Pgs 58-59'!C35+'Snohomish Pgs 60-61'!C35+'Spokane Pgs 62-63'!C35+'Tacoma-Pierce Pgs 64-65'!C35+'Thurston Pgs 66-67'!C35+'Wahkiakum Pgs 68-69'!C35+'Walla Walla Pgs 70-71'!C35+'Whatcom Pgs 72-73'!C35+'Whitman Pgs 74-75'!C35+'Yakima Pgs 76-77'!C35+'Seattle-King Pgs 54-55'!C35</f>
        <v>41043</v>
      </c>
      <c r="D35" s="217">
        <f>'Adams Pgs 8-9'!D35+'Asotin Pgs 10-11'!D35+'Benton-Franklin Pgs 12-13'!D35+'Chelan-Douglas Pgs 14-15'!D35+'Clallam Pgs 16-17'!D35+'Clark Pgs 18-19'!D35+'Columbia Pgs 20-21'!D35+'Cowlitz Pgs 22-23'!D35+'Garfield Pgs 24-25'!D35+'Grant Pgs 26-27'!D35+'Grays Harbor Pgs 28-29'!D35+'Island Pgs 30-31'!D35+'Jefferson Pgs 32-33'!D35+'Kitsap Pgs 34-35'!D35+'Kittitas Pgs 36-37'!D35+'Klickitat Pgs 38-39'!D35+'Lewis Pgs 40-41'!D35+'Lincoln Pgs 42-43'!D35+'Mason Pgs 44-45'!D35+'Northeast Tri Pgs 46-47'!D35+'Okanogan Pgs 48-49'!D35+'Pacific Pgs 50-51'!D35+'San Juan Pgs 52-53'!D35+'Skagit Pgs 56-57'!D35+'Skamania Pgs 58-59'!D35+'Snohomish Pgs 60-61'!D35+'Spokane Pgs 62-63'!D35+'Tacoma-Pierce Pgs 64-65'!D35+'Thurston Pgs 66-67'!D35+'Wahkiakum Pgs 68-69'!D35+'Walla Walla Pgs 70-71'!D35+'Whatcom Pgs 72-73'!D35+'Whitman Pgs 74-75'!D35+'Yakima Pgs 76-77'!D35+'Seattle-King Pgs 54-55'!D35</f>
        <v>2868724</v>
      </c>
      <c r="E35" s="226" t="s">
        <v>154</v>
      </c>
      <c r="F35" s="219">
        <f>'Adams Pgs 8-9'!F35+'Asotin Pgs 10-11'!F35+'Benton-Franklin Pgs 12-13'!F35+'Chelan-Douglas Pgs 14-15'!F35+'Clallam Pgs 16-17'!F35+'Clark Pgs 18-19'!F35+'Columbia Pgs 20-21'!F35+'Cowlitz Pgs 22-23'!F35+'Garfield Pgs 24-25'!F35+'Grant Pgs 26-27'!F35+'Grays Harbor Pgs 28-29'!F35+'Island Pgs 30-31'!F35+'Jefferson Pgs 32-33'!F35+'Kitsap Pgs 34-35'!F35+'Kittitas Pgs 36-37'!F35+'Klickitat Pgs 38-39'!F35+'Lewis Pgs 40-41'!F35+'Lincoln Pgs 42-43'!F35+'Mason Pgs 44-45'!F35+'Northeast Tri Pgs 46-47'!F35+'Okanogan Pgs 48-49'!F35+'Pacific Pgs 50-51'!F35+'San Juan Pgs 52-53'!F35+'Seattle-King Pgs 54-55'!F35+'Skagit Pgs 56-57'!F35+'Skamania Pgs 58-59'!F35+'Snohomish Pgs 60-61'!F35+'Spokane Pgs 62-63'!F35+'Tacoma-Pierce Pgs 64-65'!F35+'Thurston Pgs 66-67'!F35+'Wahkiakum Pgs 68-69'!F35+'Walla Walla Pgs 70-71'!F35+'Whatcom Pgs 72-73'!F35+'Whitman Pgs 74-75'!F35+'Yakima Pgs 76-77'!F35</f>
        <v>940</v>
      </c>
      <c r="G35" s="220">
        <f>'Adams Pgs 8-9'!G35+'Asotin Pgs 10-11'!G35+'Benton-Franklin Pgs 12-13'!G35+'Chelan-Douglas Pgs 14-15'!G35+'Clallam Pgs 16-17'!G35+'Clark Pgs 18-19'!G35+'Columbia Pgs 20-21'!G35+'Cowlitz Pgs 22-23'!G35+'Garfield Pgs 24-25'!G35+'Grant Pgs 26-27'!G35+'Grays Harbor Pgs 28-29'!G35+'Island Pgs 30-31'!G35+'Jefferson Pgs 32-33'!G35+'Kitsap Pgs 34-35'!G35+'Kittitas Pgs 36-37'!G35+'Klickitat Pgs 38-39'!G35+'Lewis Pgs 40-41'!G35+'Lincoln Pgs 42-43'!G35+'Mason Pgs 44-45'!G35+'Northeast Tri Pgs 46-47'!G35+'Okanogan Pgs 48-49'!G35+'Pacific Pgs 50-51'!G35+'San Juan Pgs 52-53'!G35+'Skagit Pgs 56-57'!G35+'Skamania Pgs 58-59'!G35+'Snohomish Pgs 60-61'!G35+'Spokane Pgs 62-63'!G35+'Tacoma-Pierce Pgs 64-65'!G35+'Thurston Pgs 66-67'!G35+'Wahkiakum Pgs 68-69'!G35+'Walla Walla Pgs 70-71'!G35+'Whatcom Pgs 72-73'!G35+'Whitman Pgs 74-75'!G35+'Yakima Pgs 76-77'!G35+'Seattle-King Pgs 54-55'!G35</f>
        <v>813623</v>
      </c>
      <c r="H35" s="219">
        <f>'Adams Pgs 8-9'!H35+'Asotin Pgs 10-11'!H35+'Benton-Franklin Pgs 12-13'!H35+'Chelan-Douglas Pgs 14-15'!H35+'Clallam Pgs 16-17'!H35+'Clark Pgs 18-19'!H35+'Columbia Pgs 20-21'!H35+'Cowlitz Pgs 22-23'!H35+'Garfield Pgs 24-25'!H35+'Grant Pgs 26-27'!H35+'Grays Harbor Pgs 28-29'!H35+'Island Pgs 30-31'!H35+'Jefferson Pgs 32-33'!H35+'Kitsap Pgs 34-35'!H35+'Kittitas Pgs 36-37'!H35+'Klickitat Pgs 38-39'!H35+'Lewis Pgs 40-41'!H35+'Lincoln Pgs 42-43'!H35+'Mason Pgs 44-45'!H35+'Northeast Tri Pgs 46-47'!H35+'Okanogan Pgs 48-49'!H35+'Pacific Pgs 50-51'!H35+'San Juan Pgs 52-53'!H35+'Skagit Pgs 56-57'!H35+'Skamania Pgs 58-59'!H35+'Snohomish Pgs 60-61'!H35+'Spokane Pgs 62-63'!H35+'Tacoma-Pierce Pgs 64-65'!H35+'Thurston Pgs 66-67'!H35+'Wahkiakum Pgs 68-69'!H35+'Walla Walla Pgs 70-71'!H35+'Whatcom Pgs 72-73'!H35+'Whitman Pgs 74-75'!H35+'Yakima Pgs 76-77'!H35+'Seattle-King Pgs 54-55'!H35</f>
        <v>32845</v>
      </c>
      <c r="I35" s="221">
        <f>'Adams Pgs 8-9'!I35+'Asotin Pgs 10-11'!I35+'Benton-Franklin Pgs 12-13'!I35+'Chelan-Douglas Pgs 14-15'!I35+'Clallam Pgs 16-17'!I35+'Clark Pgs 18-19'!I35+'Columbia Pgs 20-21'!I35+'Cowlitz Pgs 22-23'!I35+'Garfield Pgs 24-25'!I35+'Grant Pgs 26-27'!I35+'Grays Harbor Pgs 28-29'!I35+'Island Pgs 30-31'!I35+'Jefferson Pgs 32-33'!I35+'Kitsap Pgs 34-35'!I35+'Kittitas Pgs 36-37'!I35+'Klickitat Pgs 38-39'!I35+'Lewis Pgs 40-41'!I35+'Lincoln Pgs 42-43'!I35+'Mason Pgs 44-45'!I35+'Northeast Tri Pgs 46-47'!I35+'Okanogan Pgs 48-49'!I35+'Pacific Pgs 50-51'!I35+'San Juan Pgs 52-53'!I35+'Skagit Pgs 56-57'!I35+'Skamania Pgs 58-59'!I35+'Snohomish Pgs 60-61'!I35+'Spokane Pgs 62-63'!I35+'Tacoma-Pierce Pgs 64-65'!I35+'Thurston Pgs 66-67'!I35+'Wahkiakum Pgs 68-69'!I35+'Walla Walla Pgs 70-71'!I35+'Whatcom Pgs 72-73'!I35+'Whitman Pgs 74-75'!I35+'Yakima Pgs 76-77'!I35+'Seattle-King Pgs 54-55'!I35</f>
        <v>9936</v>
      </c>
      <c r="J35" s="217">
        <f>'Adams Pgs 8-9'!J35+'Asotin Pgs 10-11'!J35+'Benton-Franklin Pgs 12-13'!J35+'Chelan-Douglas Pgs 14-15'!J35+'Clallam Pgs 16-17'!J35+'Clark Pgs 18-19'!J35+'Columbia Pgs 20-21'!J35+'Cowlitz Pgs 22-23'!J35+'Garfield Pgs 24-25'!J35+'Grant Pgs 26-27'!J35+'Grays Harbor Pgs 28-29'!J35+'Island Pgs 30-31'!J35+'Jefferson Pgs 32-33'!J35+'Kitsap Pgs 34-35'!J35+'Kittitas Pgs 36-37'!J35+'Klickitat Pgs 38-39'!J35+'Lewis Pgs 40-41'!J35+'Lincoln Pgs 42-43'!J35+'Mason Pgs 44-45'!J35+'Northeast Tri Pgs 46-47'!J35+'Okanogan Pgs 48-49'!J35+'Pacific Pgs 50-51'!J35+'San Juan Pgs 52-53'!J35+'Snohomish Pgs 60-61'!J35+'Spokane Pgs 62-63'!J35+'Tacoma-Pierce Pgs 64-65'!J35+'Thurston Pgs 66-67'!J35+'Wahkiakum Pgs 68-69'!J35+'Walla Walla Pgs 70-71'!J35+'Whatcom Pgs 72-73'!J35+'Whitman Pgs 74-75'!J35+'Yakima Pgs 76-77'!J35+'Seattle-King Pgs 54-55'!J35+'Skagit Pgs 56-57'!J35+'Skamania Pgs 58-59'!J35</f>
        <v>2000</v>
      </c>
      <c r="K35" s="222">
        <f>'Adams Pgs 8-9'!K35+'Asotin Pgs 10-11'!K35+'Benton-Franklin Pgs 12-13'!K35+'Chelan-Douglas Pgs 14-15'!K35+'Clallam Pgs 16-17'!K35+'Clark Pgs 18-19'!K35+'Columbia Pgs 20-21'!K35+'Cowlitz Pgs 22-23'!K35+'Garfield Pgs 24-25'!K35+'Grant Pgs 26-27'!K35+'Grays Harbor Pgs 28-29'!K35+'Island Pgs 30-31'!K35+'Jefferson Pgs 32-33'!K35+'Kitsap Pgs 34-35'!K35+'Kittitas Pgs 36-37'!K35+'Klickitat Pgs 38-39'!K35+'Lewis Pgs 40-41'!K35+'Lincoln Pgs 42-43'!K35+'Mason Pgs 44-45'!K35+'Northeast Tri Pgs 46-47'!K35+'Okanogan Pgs 48-49'!K35+'Pacific Pgs 50-51'!K35+'San Juan Pgs 52-53'!K35+'Skagit Pgs 56-57'!K35+'Skamania Pgs 58-59'!K35+'Snohomish Pgs 60-61'!K35+'Spokane Pgs 62-63'!K35+'Tacoma-Pierce Pgs 64-65'!K35+'Thurston Pgs 66-67'!K35+'Wahkiakum Pgs 68-69'!K35+'Walla Walla Pgs 70-71'!K35+'Whatcom Pgs 72-73'!K35+'Whitman Pgs 74-75'!K35+'Yakima Pgs 76-77'!K35+'Seattle-King Pgs 54-55'!K35</f>
        <v>89927</v>
      </c>
      <c r="L35" s="223">
        <f t="shared" si="1"/>
        <v>3859038</v>
      </c>
    </row>
    <row r="36" spans="1:13" s="224" customFormat="1" ht="14.45" customHeight="1" x14ac:dyDescent="0.2">
      <c r="A36" s="214">
        <v>562.59</v>
      </c>
      <c r="B36" s="215" t="s">
        <v>48</v>
      </c>
      <c r="C36" s="216">
        <f>'Adams Pgs 8-9'!C36+'Asotin Pgs 10-11'!C36+'Benton-Franklin Pgs 12-13'!C36+'Chelan-Douglas Pgs 14-15'!C36+'Clallam Pgs 16-17'!C36+'Clark Pgs 18-19'!C36+'Columbia Pgs 20-21'!C36+'Cowlitz Pgs 22-23'!C36+'Garfield Pgs 24-25'!C36+'Grant Pgs 26-27'!C36+'Grays Harbor Pgs 28-29'!C36+'Island Pgs 30-31'!C36+'Jefferson Pgs 32-33'!C36+'Kitsap Pgs 34-35'!C36+'Kittitas Pgs 36-37'!C36+'Klickitat Pgs 38-39'!C36+'Lewis Pgs 40-41'!C36+'Lincoln Pgs 42-43'!C36+'Mason Pgs 44-45'!C36+'Northeast Tri Pgs 46-47'!C36+'Okanogan Pgs 48-49'!C36+'Pacific Pgs 50-51'!C36+'San Juan Pgs 52-53'!C36+'Skagit Pgs 56-57'!C36+'Skamania Pgs 58-59'!C36+'Snohomish Pgs 60-61'!C36+'Spokane Pgs 62-63'!C36+'Tacoma-Pierce Pgs 64-65'!C36+'Thurston Pgs 66-67'!C36+'Wahkiakum Pgs 68-69'!C36+'Walla Walla Pgs 70-71'!C36+'Whatcom Pgs 72-73'!C36+'Whitman Pgs 74-75'!C36+'Yakima Pgs 76-77'!C36+'Seattle-King Pgs 54-55'!C36</f>
        <v>745608</v>
      </c>
      <c r="D36" s="217">
        <f>'Adams Pgs 8-9'!D36+'Asotin Pgs 10-11'!D36+'Benton-Franklin Pgs 12-13'!D36+'Chelan-Douglas Pgs 14-15'!D36+'Clallam Pgs 16-17'!D36+'Clark Pgs 18-19'!D36+'Columbia Pgs 20-21'!D36+'Cowlitz Pgs 22-23'!D36+'Garfield Pgs 24-25'!D36+'Grant Pgs 26-27'!D36+'Grays Harbor Pgs 28-29'!D36+'Island Pgs 30-31'!D36+'Jefferson Pgs 32-33'!D36+'Kitsap Pgs 34-35'!D36+'Kittitas Pgs 36-37'!D36+'Klickitat Pgs 38-39'!D36+'Lewis Pgs 40-41'!D36+'Lincoln Pgs 42-43'!D36+'Mason Pgs 44-45'!D36+'Northeast Tri Pgs 46-47'!D36+'Okanogan Pgs 48-49'!D36+'Pacific Pgs 50-51'!D36+'San Juan Pgs 52-53'!D36+'Skagit Pgs 56-57'!D36+'Skamania Pgs 58-59'!D36+'Snohomish Pgs 60-61'!D36+'Spokane Pgs 62-63'!D36+'Tacoma-Pierce Pgs 64-65'!D36+'Thurston Pgs 66-67'!D36+'Wahkiakum Pgs 68-69'!D36+'Walla Walla Pgs 70-71'!D36+'Whatcom Pgs 72-73'!D36+'Whitman Pgs 74-75'!D36+'Yakima Pgs 76-77'!D36+'Seattle-King Pgs 54-55'!D36</f>
        <v>4008880</v>
      </c>
      <c r="E36" s="226" t="s">
        <v>154</v>
      </c>
      <c r="F36" s="219">
        <f>'Adams Pgs 8-9'!F36+'Asotin Pgs 10-11'!F36+'Benton-Franklin Pgs 12-13'!F36+'Chelan-Douglas Pgs 14-15'!F36+'Clallam Pgs 16-17'!F36+'Clark Pgs 18-19'!F36+'Columbia Pgs 20-21'!F36+'Cowlitz Pgs 22-23'!F36+'Garfield Pgs 24-25'!F36+'Grant Pgs 26-27'!F36+'Grays Harbor Pgs 28-29'!F36+'Island Pgs 30-31'!F36+'Jefferson Pgs 32-33'!F36+'Kitsap Pgs 34-35'!F36+'Kittitas Pgs 36-37'!F36+'Klickitat Pgs 38-39'!F36+'Lewis Pgs 40-41'!F36+'Lincoln Pgs 42-43'!F36+'Mason Pgs 44-45'!F36+'Northeast Tri Pgs 46-47'!F36+'Okanogan Pgs 48-49'!F36+'Pacific Pgs 50-51'!F36+'San Juan Pgs 52-53'!F36+'Seattle-King Pgs 54-55'!F36+'Skagit Pgs 56-57'!F36+'Skamania Pgs 58-59'!F36+'Snohomish Pgs 60-61'!F36+'Spokane Pgs 62-63'!F36+'Tacoma-Pierce Pgs 64-65'!F36+'Thurston Pgs 66-67'!F36+'Wahkiakum Pgs 68-69'!F36+'Walla Walla Pgs 70-71'!F36+'Whatcom Pgs 72-73'!F36+'Whitman Pgs 74-75'!F36+'Yakima Pgs 76-77'!F36</f>
        <v>37</v>
      </c>
      <c r="G36" s="220">
        <f>'Adams Pgs 8-9'!G36+'Asotin Pgs 10-11'!G36+'Benton-Franklin Pgs 12-13'!G36+'Chelan-Douglas Pgs 14-15'!G36+'Clallam Pgs 16-17'!G36+'Clark Pgs 18-19'!G36+'Columbia Pgs 20-21'!G36+'Cowlitz Pgs 22-23'!G36+'Garfield Pgs 24-25'!G36+'Grant Pgs 26-27'!G36+'Grays Harbor Pgs 28-29'!G36+'Island Pgs 30-31'!G36+'Jefferson Pgs 32-33'!G36+'Kitsap Pgs 34-35'!G36+'Kittitas Pgs 36-37'!G36+'Klickitat Pgs 38-39'!G36+'Lewis Pgs 40-41'!G36+'Lincoln Pgs 42-43'!G36+'Mason Pgs 44-45'!G36+'Northeast Tri Pgs 46-47'!G36+'Okanogan Pgs 48-49'!G36+'Pacific Pgs 50-51'!G36+'San Juan Pgs 52-53'!G36+'Skagit Pgs 56-57'!G36+'Skamania Pgs 58-59'!G36+'Snohomish Pgs 60-61'!G36+'Spokane Pgs 62-63'!G36+'Tacoma-Pierce Pgs 64-65'!G36+'Thurston Pgs 66-67'!G36+'Wahkiakum Pgs 68-69'!G36+'Walla Walla Pgs 70-71'!G36+'Whatcom Pgs 72-73'!G36+'Whitman Pgs 74-75'!G36+'Yakima Pgs 76-77'!G36+'Seattle-King Pgs 54-55'!G36</f>
        <v>208522</v>
      </c>
      <c r="H36" s="227" t="s">
        <v>154</v>
      </c>
      <c r="I36" s="228" t="s">
        <v>154</v>
      </c>
      <c r="J36" s="217">
        <f>'Adams Pgs 8-9'!J36+'Asotin Pgs 10-11'!J36+'Benton-Franklin Pgs 12-13'!J36+'Chelan-Douglas Pgs 14-15'!J36+'Clallam Pgs 16-17'!J36+'Clark Pgs 18-19'!J36+'Columbia Pgs 20-21'!J36+'Cowlitz Pgs 22-23'!J36+'Garfield Pgs 24-25'!J36+'Grant Pgs 26-27'!J36+'Grays Harbor Pgs 28-29'!J36+'Island Pgs 30-31'!J36+'Jefferson Pgs 32-33'!J36+'Kitsap Pgs 34-35'!J36+'Kittitas Pgs 36-37'!J36+'Klickitat Pgs 38-39'!J36+'Lewis Pgs 40-41'!J36+'Lincoln Pgs 42-43'!J36+'Mason Pgs 44-45'!J36+'Northeast Tri Pgs 46-47'!J36+'Okanogan Pgs 48-49'!J36+'Pacific Pgs 50-51'!J36+'San Juan Pgs 52-53'!J36+'Snohomish Pgs 60-61'!J36+'Spokane Pgs 62-63'!J36+'Tacoma-Pierce Pgs 64-65'!J36+'Thurston Pgs 66-67'!J36+'Wahkiakum Pgs 68-69'!J36+'Walla Walla Pgs 70-71'!J36+'Whatcom Pgs 72-73'!J36+'Whitman Pgs 74-75'!J36+'Yakima Pgs 76-77'!J36+'Seattle-King Pgs 54-55'!J36+'Skagit Pgs 56-57'!J36+'Skamania Pgs 58-59'!J36</f>
        <v>4131</v>
      </c>
      <c r="K36" s="222">
        <f>'Adams Pgs 8-9'!K36+'Asotin Pgs 10-11'!K36+'Benton-Franklin Pgs 12-13'!K36+'Chelan-Douglas Pgs 14-15'!K36+'Clallam Pgs 16-17'!K36+'Clark Pgs 18-19'!K36+'Columbia Pgs 20-21'!K36+'Cowlitz Pgs 22-23'!K36+'Garfield Pgs 24-25'!K36+'Grant Pgs 26-27'!K36+'Grays Harbor Pgs 28-29'!K36+'Island Pgs 30-31'!K36+'Jefferson Pgs 32-33'!K36+'Kitsap Pgs 34-35'!K36+'Kittitas Pgs 36-37'!K36+'Klickitat Pgs 38-39'!K36+'Lewis Pgs 40-41'!K36+'Lincoln Pgs 42-43'!K36+'Mason Pgs 44-45'!K36+'Northeast Tri Pgs 46-47'!K36+'Okanogan Pgs 48-49'!K36+'Pacific Pgs 50-51'!K36+'San Juan Pgs 52-53'!K36+'Skagit Pgs 56-57'!K36+'Skamania Pgs 58-59'!K36+'Snohomish Pgs 60-61'!K36+'Spokane Pgs 62-63'!K36+'Tacoma-Pierce Pgs 64-65'!K36+'Thurston Pgs 66-67'!K36+'Wahkiakum Pgs 68-69'!K36+'Walla Walla Pgs 70-71'!K36+'Whatcom Pgs 72-73'!K36+'Whitman Pgs 74-75'!K36+'Yakima Pgs 76-77'!K36+'Seattle-King Pgs 54-55'!K36</f>
        <v>125044</v>
      </c>
      <c r="L36" s="223">
        <f t="shared" si="1"/>
        <v>5092222</v>
      </c>
    </row>
    <row r="37" spans="1:13" s="224" customFormat="1" ht="14.45" customHeight="1" x14ac:dyDescent="0.2">
      <c r="A37" s="214">
        <v>562.6</v>
      </c>
      <c r="B37" s="215" t="s">
        <v>20</v>
      </c>
      <c r="C37" s="216">
        <f>'Adams Pgs 8-9'!C37+'Asotin Pgs 10-11'!C37+'Benton-Franklin Pgs 12-13'!C37+'Chelan-Douglas Pgs 14-15'!C37+'Clallam Pgs 16-17'!C37+'Clark Pgs 18-19'!C37+'Columbia Pgs 20-21'!C37+'Cowlitz Pgs 22-23'!C37+'Garfield Pgs 24-25'!C37+'Grant Pgs 26-27'!C37+'Grays Harbor Pgs 28-29'!C37+'Island Pgs 30-31'!C37+'Jefferson Pgs 32-33'!C37+'Kitsap Pgs 34-35'!C37+'Kittitas Pgs 36-37'!C37+'Klickitat Pgs 38-39'!C37+'Lewis Pgs 40-41'!C37+'Lincoln Pgs 42-43'!C37+'Mason Pgs 44-45'!C37+'Northeast Tri Pgs 46-47'!C37+'Okanogan Pgs 48-49'!C37+'Pacific Pgs 50-51'!C37+'San Juan Pgs 52-53'!C37+'Skagit Pgs 56-57'!C37+'Skamania Pgs 58-59'!C37+'Snohomish Pgs 60-61'!C37+'Spokane Pgs 62-63'!C37+'Tacoma-Pierce Pgs 64-65'!C37+'Thurston Pgs 66-67'!C37+'Wahkiakum Pgs 68-69'!C37+'Walla Walla Pgs 70-71'!C37+'Whatcom Pgs 72-73'!C37+'Whitman Pgs 74-75'!C37+'Yakima Pgs 76-77'!C37+'Seattle-King Pgs 54-55'!C37</f>
        <v>1817434</v>
      </c>
      <c r="D37" s="217">
        <f>'Adams Pgs 8-9'!D37+'Asotin Pgs 10-11'!D37+'Benton-Franklin Pgs 12-13'!D37+'Chelan-Douglas Pgs 14-15'!D37+'Clallam Pgs 16-17'!D37+'Clark Pgs 18-19'!D37+'Columbia Pgs 20-21'!D37+'Cowlitz Pgs 22-23'!D37+'Garfield Pgs 24-25'!D37+'Grant Pgs 26-27'!D37+'Grays Harbor Pgs 28-29'!D37+'Island Pgs 30-31'!D37+'Jefferson Pgs 32-33'!D37+'Kitsap Pgs 34-35'!D37+'Kittitas Pgs 36-37'!D37+'Klickitat Pgs 38-39'!D37+'Lewis Pgs 40-41'!D37+'Lincoln Pgs 42-43'!D37+'Mason Pgs 44-45'!D37+'Northeast Tri Pgs 46-47'!D37+'Okanogan Pgs 48-49'!D37+'Pacific Pgs 50-51'!D37+'San Juan Pgs 52-53'!D37+'Skagit Pgs 56-57'!D37+'Skamania Pgs 58-59'!D37+'Snohomish Pgs 60-61'!D37+'Spokane Pgs 62-63'!D37+'Tacoma-Pierce Pgs 64-65'!D37+'Thurston Pgs 66-67'!D37+'Wahkiakum Pgs 68-69'!D37+'Walla Walla Pgs 70-71'!D37+'Whatcom Pgs 72-73'!D37+'Whitman Pgs 74-75'!D37+'Yakima Pgs 76-77'!D37+'Seattle-King Pgs 54-55'!D37</f>
        <v>810753</v>
      </c>
      <c r="E37" s="218">
        <f>'Adams Pgs 8-9'!E37+'Asotin Pgs 10-11'!E37+'Benton-Franklin Pgs 12-13'!E37+'Chelan-Douglas Pgs 14-15'!E37+'Clallam Pgs 16-17'!E37+'Clark Pgs 18-19'!E37+'Columbia Pgs 20-21'!E37+'Cowlitz Pgs 22-23'!E37+'Garfield Pgs 24-25'!E37+'Grant Pgs 26-27'!E37+'Grays Harbor Pgs 28-29'!E37+'Island Pgs 30-31'!E37+'Jefferson Pgs 32-33'!E37+'Kitsap Pgs 34-35'!E37+'Kittitas Pgs 36-37'!E37+'Klickitat Pgs 38-39'!E37+'Lewis Pgs 40-41'!E37+'Lincoln Pgs 42-43'!E37+'Mason Pgs 44-45'!E37+'Northeast Tri Pgs 46-47'!E37+'Okanogan Pgs 48-49'!E37+'Pacific Pgs 50-51'!E37+'San Juan Pgs 52-53'!E37+'Skagit Pgs 56-57'!E37+'Skamania Pgs 58-59'!E37+'Snohomish Pgs 60-61'!E37+'Spokane Pgs 62-63'!E37+'Tacoma-Pierce Pgs 64-65'!E37+'Thurston Pgs 66-67'!E37+'Wahkiakum Pgs 68-69'!E37+'Walla Walla Pgs 70-71'!E37+'Whatcom Pgs 72-73'!E37+'Whitman Pgs 74-75'!E37+'Yakima Pgs 76-77'!E37+'Seattle-King Pgs 54-55'!E37</f>
        <v>60784</v>
      </c>
      <c r="F37" s="219">
        <f>'Adams Pgs 8-9'!F37+'Asotin Pgs 10-11'!F37+'Benton-Franklin Pgs 12-13'!F37+'Chelan-Douglas Pgs 14-15'!F37+'Clallam Pgs 16-17'!F37+'Clark Pgs 18-19'!F37+'Columbia Pgs 20-21'!F37+'Cowlitz Pgs 22-23'!F37+'Garfield Pgs 24-25'!F37+'Grant Pgs 26-27'!F37+'Grays Harbor Pgs 28-29'!F37+'Island Pgs 30-31'!F37+'Jefferson Pgs 32-33'!F37+'Kitsap Pgs 34-35'!F37+'Kittitas Pgs 36-37'!F37+'Klickitat Pgs 38-39'!F37+'Lewis Pgs 40-41'!F37+'Lincoln Pgs 42-43'!F37+'Mason Pgs 44-45'!F37+'Northeast Tri Pgs 46-47'!F37+'Okanogan Pgs 48-49'!F37+'Pacific Pgs 50-51'!F37+'San Juan Pgs 52-53'!F37+'Seattle-King Pgs 54-55'!F37+'Skagit Pgs 56-57'!F37+'Skamania Pgs 58-59'!F37+'Snohomish Pgs 60-61'!F37+'Spokane Pgs 62-63'!F37+'Tacoma-Pierce Pgs 64-65'!F37+'Thurston Pgs 66-67'!F37+'Wahkiakum Pgs 68-69'!F37+'Walla Walla Pgs 70-71'!F37+'Whatcom Pgs 72-73'!F37+'Whitman Pgs 74-75'!F37+'Yakima Pgs 76-77'!F37</f>
        <v>202</v>
      </c>
      <c r="G37" s="220">
        <f>'Adams Pgs 8-9'!G37+'Asotin Pgs 10-11'!G37+'Benton-Franklin Pgs 12-13'!G37+'Chelan-Douglas Pgs 14-15'!G37+'Clallam Pgs 16-17'!G37+'Clark Pgs 18-19'!G37+'Columbia Pgs 20-21'!G37+'Cowlitz Pgs 22-23'!G37+'Garfield Pgs 24-25'!G37+'Grant Pgs 26-27'!G37+'Grays Harbor Pgs 28-29'!G37+'Island Pgs 30-31'!G37+'Jefferson Pgs 32-33'!G37+'Kitsap Pgs 34-35'!G37+'Kittitas Pgs 36-37'!G37+'Klickitat Pgs 38-39'!G37+'Lewis Pgs 40-41'!G37+'Lincoln Pgs 42-43'!G37+'Mason Pgs 44-45'!G37+'Northeast Tri Pgs 46-47'!G37+'Okanogan Pgs 48-49'!G37+'Pacific Pgs 50-51'!G37+'San Juan Pgs 52-53'!G37+'Skagit Pgs 56-57'!G37+'Skamania Pgs 58-59'!G37+'Snohomish Pgs 60-61'!G37+'Spokane Pgs 62-63'!G37+'Tacoma-Pierce Pgs 64-65'!G37+'Thurston Pgs 66-67'!G37+'Wahkiakum Pgs 68-69'!G37+'Walla Walla Pgs 70-71'!G37+'Whatcom Pgs 72-73'!G37+'Whitman Pgs 74-75'!G37+'Yakima Pgs 76-77'!G37+'Seattle-King Pgs 54-55'!G37</f>
        <v>181546</v>
      </c>
      <c r="H37" s="219">
        <f>'Adams Pgs 8-9'!H37+'Asotin Pgs 10-11'!H37+'Benton-Franklin Pgs 12-13'!H37+'Chelan-Douglas Pgs 14-15'!H37+'Clallam Pgs 16-17'!H37+'Clark Pgs 18-19'!H37+'Columbia Pgs 20-21'!H37+'Cowlitz Pgs 22-23'!H37+'Garfield Pgs 24-25'!H37+'Grant Pgs 26-27'!H37+'Grays Harbor Pgs 28-29'!H37+'Island Pgs 30-31'!H37+'Jefferson Pgs 32-33'!H37+'Kitsap Pgs 34-35'!H37+'Kittitas Pgs 36-37'!H37+'Klickitat Pgs 38-39'!H37+'Lewis Pgs 40-41'!H37+'Lincoln Pgs 42-43'!H37+'Mason Pgs 44-45'!H37+'Northeast Tri Pgs 46-47'!H37+'Okanogan Pgs 48-49'!H37+'Pacific Pgs 50-51'!H37+'San Juan Pgs 52-53'!H37+'Skagit Pgs 56-57'!H37+'Skamania Pgs 58-59'!H37+'Snohomish Pgs 60-61'!H37+'Spokane Pgs 62-63'!H37+'Tacoma-Pierce Pgs 64-65'!H37+'Thurston Pgs 66-67'!H37+'Wahkiakum Pgs 68-69'!H37+'Walla Walla Pgs 70-71'!H37+'Whatcom Pgs 72-73'!H37+'Whitman Pgs 74-75'!H37+'Yakima Pgs 76-77'!H37+'Seattle-King Pgs 54-55'!H37</f>
        <v>447932</v>
      </c>
      <c r="I37" s="221">
        <f>'Adams Pgs 8-9'!I37+'Asotin Pgs 10-11'!I37+'Benton-Franklin Pgs 12-13'!I37+'Chelan-Douglas Pgs 14-15'!I37+'Clallam Pgs 16-17'!I37+'Clark Pgs 18-19'!I37+'Columbia Pgs 20-21'!I37+'Cowlitz Pgs 22-23'!I37+'Garfield Pgs 24-25'!I37+'Grant Pgs 26-27'!I37+'Grays Harbor Pgs 28-29'!I37+'Island Pgs 30-31'!I37+'Jefferson Pgs 32-33'!I37+'Kitsap Pgs 34-35'!I37+'Kittitas Pgs 36-37'!I37+'Klickitat Pgs 38-39'!I37+'Lewis Pgs 40-41'!I37+'Lincoln Pgs 42-43'!I37+'Mason Pgs 44-45'!I37+'Northeast Tri Pgs 46-47'!I37+'Okanogan Pgs 48-49'!I37+'Pacific Pgs 50-51'!I37+'San Juan Pgs 52-53'!I37+'Skagit Pgs 56-57'!I37+'Skamania Pgs 58-59'!I37+'Snohomish Pgs 60-61'!I37+'Spokane Pgs 62-63'!I37+'Tacoma-Pierce Pgs 64-65'!I37+'Thurston Pgs 66-67'!I37+'Wahkiakum Pgs 68-69'!I37+'Walla Walla Pgs 70-71'!I37+'Whatcom Pgs 72-73'!I37+'Whitman Pgs 74-75'!I37+'Yakima Pgs 76-77'!I37+'Seattle-King Pgs 54-55'!I37</f>
        <v>443965</v>
      </c>
      <c r="J37" s="217">
        <f>'Adams Pgs 8-9'!J37+'Asotin Pgs 10-11'!J37+'Benton-Franklin Pgs 12-13'!J37+'Chelan-Douglas Pgs 14-15'!J37+'Clallam Pgs 16-17'!J37+'Clark Pgs 18-19'!J37+'Columbia Pgs 20-21'!J37+'Cowlitz Pgs 22-23'!J37+'Garfield Pgs 24-25'!J37+'Grant Pgs 26-27'!J37+'Grays Harbor Pgs 28-29'!J37+'Island Pgs 30-31'!J37+'Jefferson Pgs 32-33'!J37+'Kitsap Pgs 34-35'!J37+'Kittitas Pgs 36-37'!J37+'Klickitat Pgs 38-39'!J37+'Lewis Pgs 40-41'!J37+'Lincoln Pgs 42-43'!J37+'Mason Pgs 44-45'!J37+'Northeast Tri Pgs 46-47'!J37+'Okanogan Pgs 48-49'!J37+'Pacific Pgs 50-51'!J37+'San Juan Pgs 52-53'!J37+'Snohomish Pgs 60-61'!J37+'Spokane Pgs 62-63'!J37+'Tacoma-Pierce Pgs 64-65'!J37+'Thurston Pgs 66-67'!J37+'Wahkiakum Pgs 68-69'!J37+'Walla Walla Pgs 70-71'!J37+'Whatcom Pgs 72-73'!J37+'Whitman Pgs 74-75'!J37+'Yakima Pgs 76-77'!J37+'Seattle-King Pgs 54-55'!J37+'Skagit Pgs 56-57'!J37+'Skamania Pgs 58-59'!J37</f>
        <v>197821</v>
      </c>
      <c r="K37" s="222">
        <f>'Adams Pgs 8-9'!K37+'Asotin Pgs 10-11'!K37+'Benton-Franklin Pgs 12-13'!K37+'Chelan-Douglas Pgs 14-15'!K37+'Clallam Pgs 16-17'!K37+'Clark Pgs 18-19'!K37+'Columbia Pgs 20-21'!K37+'Cowlitz Pgs 22-23'!K37+'Garfield Pgs 24-25'!K37+'Grant Pgs 26-27'!K37+'Grays Harbor Pgs 28-29'!K37+'Island Pgs 30-31'!K37+'Jefferson Pgs 32-33'!K37+'Kitsap Pgs 34-35'!K37+'Kittitas Pgs 36-37'!K37+'Klickitat Pgs 38-39'!K37+'Lewis Pgs 40-41'!K37+'Lincoln Pgs 42-43'!K37+'Mason Pgs 44-45'!K37+'Northeast Tri Pgs 46-47'!K37+'Okanogan Pgs 48-49'!K37+'Pacific Pgs 50-51'!K37+'San Juan Pgs 52-53'!K37+'Skagit Pgs 56-57'!K37+'Skamania Pgs 58-59'!K37+'Snohomish Pgs 60-61'!K37+'Spokane Pgs 62-63'!K37+'Tacoma-Pierce Pgs 64-65'!K37+'Thurston Pgs 66-67'!K37+'Wahkiakum Pgs 68-69'!K37+'Walla Walla Pgs 70-71'!K37+'Whatcom Pgs 72-73'!K37+'Whitman Pgs 74-75'!K37+'Yakima Pgs 76-77'!K37+'Seattle-King Pgs 54-55'!K37</f>
        <v>77055</v>
      </c>
      <c r="L37" s="223">
        <f t="shared" si="1"/>
        <v>4037492</v>
      </c>
    </row>
    <row r="38" spans="1:13" s="224" customFormat="1" ht="14.45" customHeight="1" x14ac:dyDescent="0.2">
      <c r="A38" s="214">
        <v>562.71</v>
      </c>
      <c r="B38" s="215" t="s">
        <v>21</v>
      </c>
      <c r="C38" s="216">
        <f>'Adams Pgs 8-9'!C38+'Asotin Pgs 10-11'!C38+'Benton-Franklin Pgs 12-13'!C38+'Chelan-Douglas Pgs 14-15'!C38+'Clallam Pgs 16-17'!C38+'Clark Pgs 18-19'!C38+'Columbia Pgs 20-21'!C38+'Cowlitz Pgs 22-23'!C38+'Garfield Pgs 24-25'!C38+'Grant Pgs 26-27'!C38+'Grays Harbor Pgs 28-29'!C38+'Island Pgs 30-31'!C38+'Jefferson Pgs 32-33'!C38+'Kitsap Pgs 34-35'!C38+'Kittitas Pgs 36-37'!C38+'Klickitat Pgs 38-39'!C38+'Lewis Pgs 40-41'!C38+'Lincoln Pgs 42-43'!C38+'Mason Pgs 44-45'!C38+'Northeast Tri Pgs 46-47'!C38+'Okanogan Pgs 48-49'!C38+'Pacific Pgs 50-51'!C38+'San Juan Pgs 52-53'!C38+'Skagit Pgs 56-57'!C38+'Skamania Pgs 58-59'!C38+'Snohomish Pgs 60-61'!C38+'Spokane Pgs 62-63'!C38+'Tacoma-Pierce Pgs 64-65'!C38+'Thurston Pgs 66-67'!C38+'Wahkiakum Pgs 68-69'!C38+'Walla Walla Pgs 70-71'!C38+'Whatcom Pgs 72-73'!C38+'Whitman Pgs 74-75'!C38+'Yakima Pgs 76-77'!C38+'Seattle-King Pgs 54-55'!C38</f>
        <v>319579</v>
      </c>
      <c r="D38" s="217">
        <f>'Adams Pgs 8-9'!D38+'Asotin Pgs 10-11'!D38+'Benton-Franklin Pgs 12-13'!D38+'Chelan-Douglas Pgs 14-15'!D38+'Clallam Pgs 16-17'!D38+'Clark Pgs 18-19'!D38+'Columbia Pgs 20-21'!D38+'Cowlitz Pgs 22-23'!D38+'Garfield Pgs 24-25'!D38+'Grant Pgs 26-27'!D38+'Grays Harbor Pgs 28-29'!D38+'Island Pgs 30-31'!D38+'Jefferson Pgs 32-33'!D38+'Kitsap Pgs 34-35'!D38+'Kittitas Pgs 36-37'!D38+'Klickitat Pgs 38-39'!D38+'Lewis Pgs 40-41'!D38+'Lincoln Pgs 42-43'!D38+'Mason Pgs 44-45'!D38+'Northeast Tri Pgs 46-47'!D38+'Okanogan Pgs 48-49'!D38+'Pacific Pgs 50-51'!D38+'San Juan Pgs 52-53'!D38+'Skagit Pgs 56-57'!D38+'Skamania Pgs 58-59'!D38+'Snohomish Pgs 60-61'!D38+'Spokane Pgs 62-63'!D38+'Tacoma-Pierce Pgs 64-65'!D38+'Thurston Pgs 66-67'!D38+'Wahkiakum Pgs 68-69'!D38+'Walla Walla Pgs 70-71'!D38+'Whatcom Pgs 72-73'!D38+'Whitman Pgs 74-75'!D38+'Yakima Pgs 76-77'!D38+'Seattle-King Pgs 54-55'!D38</f>
        <v>4604538</v>
      </c>
      <c r="E38" s="226" t="s">
        <v>154</v>
      </c>
      <c r="F38" s="219">
        <f>'Adams Pgs 8-9'!F38+'Asotin Pgs 10-11'!F38+'Benton-Franklin Pgs 12-13'!F38+'Chelan-Douglas Pgs 14-15'!F38+'Clallam Pgs 16-17'!F38+'Clark Pgs 18-19'!F38+'Columbia Pgs 20-21'!F38+'Cowlitz Pgs 22-23'!F38+'Garfield Pgs 24-25'!F38+'Grant Pgs 26-27'!F38+'Grays Harbor Pgs 28-29'!F38+'Island Pgs 30-31'!F38+'Jefferson Pgs 32-33'!F38+'Kitsap Pgs 34-35'!F38+'Kittitas Pgs 36-37'!F38+'Klickitat Pgs 38-39'!F38+'Lewis Pgs 40-41'!F38+'Lincoln Pgs 42-43'!F38+'Mason Pgs 44-45'!F38+'Northeast Tri Pgs 46-47'!F38+'Okanogan Pgs 48-49'!F38+'Pacific Pgs 50-51'!F38+'San Juan Pgs 52-53'!F38+'Seattle-King Pgs 54-55'!F38+'Skagit Pgs 56-57'!F38+'Skamania Pgs 58-59'!F38+'Snohomish Pgs 60-61'!F38+'Spokane Pgs 62-63'!F38+'Tacoma-Pierce Pgs 64-65'!F38+'Thurston Pgs 66-67'!F38+'Wahkiakum Pgs 68-69'!F38+'Walla Walla Pgs 70-71'!F38+'Whatcom Pgs 72-73'!F38+'Whitman Pgs 74-75'!F38+'Yakima Pgs 76-77'!F38</f>
        <v>9497</v>
      </c>
      <c r="G38" s="220">
        <f>'Adams Pgs 8-9'!G38+'Asotin Pgs 10-11'!G38+'Benton-Franklin Pgs 12-13'!G38+'Chelan-Douglas Pgs 14-15'!G38+'Clallam Pgs 16-17'!G38+'Clark Pgs 18-19'!G38+'Columbia Pgs 20-21'!G38+'Cowlitz Pgs 22-23'!G38+'Garfield Pgs 24-25'!G38+'Grant Pgs 26-27'!G38+'Grays Harbor Pgs 28-29'!G38+'Island Pgs 30-31'!G38+'Jefferson Pgs 32-33'!G38+'Kitsap Pgs 34-35'!G38+'Kittitas Pgs 36-37'!G38+'Klickitat Pgs 38-39'!G38+'Lewis Pgs 40-41'!G38+'Lincoln Pgs 42-43'!G38+'Mason Pgs 44-45'!G38+'Northeast Tri Pgs 46-47'!G38+'Okanogan Pgs 48-49'!G38+'Pacific Pgs 50-51'!G38+'San Juan Pgs 52-53'!G38+'Skagit Pgs 56-57'!G38+'Skamania Pgs 58-59'!G38+'Snohomish Pgs 60-61'!G38+'Spokane Pgs 62-63'!G38+'Tacoma-Pierce Pgs 64-65'!G38+'Thurston Pgs 66-67'!G38+'Wahkiakum Pgs 68-69'!G38+'Walla Walla Pgs 70-71'!G38+'Whatcom Pgs 72-73'!G38+'Whitman Pgs 74-75'!G38+'Yakima Pgs 76-77'!G38+'Seattle-King Pgs 54-55'!G38</f>
        <v>75731</v>
      </c>
      <c r="H38" s="227" t="s">
        <v>154</v>
      </c>
      <c r="I38" s="228" t="s">
        <v>154</v>
      </c>
      <c r="J38" s="225" t="s">
        <v>154</v>
      </c>
      <c r="K38" s="222">
        <f>'Adams Pgs 8-9'!K38+'Asotin Pgs 10-11'!K38+'Benton-Franklin Pgs 12-13'!K38+'Chelan-Douglas Pgs 14-15'!K38+'Clallam Pgs 16-17'!K38+'Clark Pgs 18-19'!K38+'Columbia Pgs 20-21'!K38+'Cowlitz Pgs 22-23'!K38+'Garfield Pgs 24-25'!K38+'Grant Pgs 26-27'!K38+'Grays Harbor Pgs 28-29'!K38+'Island Pgs 30-31'!K38+'Jefferson Pgs 32-33'!K38+'Kitsap Pgs 34-35'!K38+'Kittitas Pgs 36-37'!K38+'Klickitat Pgs 38-39'!K38+'Lewis Pgs 40-41'!K38+'Lincoln Pgs 42-43'!K38+'Mason Pgs 44-45'!K38+'Northeast Tri Pgs 46-47'!K38+'Okanogan Pgs 48-49'!K38+'Pacific Pgs 50-51'!K38+'San Juan Pgs 52-53'!K38+'Skagit Pgs 56-57'!K38+'Skamania Pgs 58-59'!K38+'Snohomish Pgs 60-61'!K38+'Spokane Pgs 62-63'!K38+'Tacoma-Pierce Pgs 64-65'!K38+'Thurston Pgs 66-67'!K38+'Wahkiakum Pgs 68-69'!K38+'Walla Walla Pgs 70-71'!K38+'Whatcom Pgs 72-73'!K38+'Whitman Pgs 74-75'!K38+'Yakima Pgs 76-77'!K38+'Seattle-King Pgs 54-55'!K38</f>
        <v>96214</v>
      </c>
      <c r="L38" s="223">
        <f t="shared" si="1"/>
        <v>5105559</v>
      </c>
    </row>
    <row r="39" spans="1:13" s="224" customFormat="1" ht="14.45" customHeight="1" x14ac:dyDescent="0.2">
      <c r="A39" s="214">
        <v>562.72</v>
      </c>
      <c r="B39" s="215" t="s">
        <v>22</v>
      </c>
      <c r="C39" s="216">
        <f>'Adams Pgs 8-9'!C39+'Asotin Pgs 10-11'!C39+'Benton-Franklin Pgs 12-13'!C39+'Chelan-Douglas Pgs 14-15'!C39+'Clallam Pgs 16-17'!C39+'Clark Pgs 18-19'!C39+'Columbia Pgs 20-21'!C39+'Cowlitz Pgs 22-23'!C39+'Garfield Pgs 24-25'!C39+'Grant Pgs 26-27'!C39+'Grays Harbor Pgs 28-29'!C39+'Island Pgs 30-31'!C39+'Jefferson Pgs 32-33'!C39+'Kitsap Pgs 34-35'!C39+'Kittitas Pgs 36-37'!C39+'Klickitat Pgs 38-39'!C39+'Lewis Pgs 40-41'!C39+'Lincoln Pgs 42-43'!C39+'Mason Pgs 44-45'!C39+'Northeast Tri Pgs 46-47'!C39+'Okanogan Pgs 48-49'!C39+'Pacific Pgs 50-51'!C39+'San Juan Pgs 52-53'!C39+'Skagit Pgs 56-57'!C39+'Skamania Pgs 58-59'!C39+'Snohomish Pgs 60-61'!C39+'Spokane Pgs 62-63'!C39+'Tacoma-Pierce Pgs 64-65'!C39+'Thurston Pgs 66-67'!C39+'Wahkiakum Pgs 68-69'!C39+'Walla Walla Pgs 70-71'!C39+'Whatcom Pgs 72-73'!C39+'Whitman Pgs 74-75'!C39+'Yakima Pgs 76-77'!C39+'Seattle-King Pgs 54-55'!C39</f>
        <v>36917</v>
      </c>
      <c r="D39" s="217">
        <f>'Adams Pgs 8-9'!D39+'Asotin Pgs 10-11'!D39+'Benton-Franklin Pgs 12-13'!D39+'Chelan-Douglas Pgs 14-15'!D39+'Clallam Pgs 16-17'!D39+'Clark Pgs 18-19'!D39+'Columbia Pgs 20-21'!D39+'Cowlitz Pgs 22-23'!D39+'Garfield Pgs 24-25'!D39+'Grant Pgs 26-27'!D39+'Grays Harbor Pgs 28-29'!D39+'Island Pgs 30-31'!D39+'Jefferson Pgs 32-33'!D39+'Kitsap Pgs 34-35'!D39+'Kittitas Pgs 36-37'!D39+'Klickitat Pgs 38-39'!D39+'Lewis Pgs 40-41'!D39+'Lincoln Pgs 42-43'!D39+'Mason Pgs 44-45'!D39+'Northeast Tri Pgs 46-47'!D39+'Okanogan Pgs 48-49'!D39+'Pacific Pgs 50-51'!D39+'San Juan Pgs 52-53'!D39+'Skagit Pgs 56-57'!D39+'Skamania Pgs 58-59'!D39+'Snohomish Pgs 60-61'!D39+'Spokane Pgs 62-63'!D39+'Tacoma-Pierce Pgs 64-65'!D39+'Thurston Pgs 66-67'!D39+'Wahkiakum Pgs 68-69'!D39+'Walla Walla Pgs 70-71'!D39+'Whatcom Pgs 72-73'!D39+'Whitman Pgs 74-75'!D39+'Yakima Pgs 76-77'!D39+'Seattle-King Pgs 54-55'!D39</f>
        <v>3209170</v>
      </c>
      <c r="E39" s="226" t="s">
        <v>154</v>
      </c>
      <c r="F39" s="227" t="s">
        <v>154</v>
      </c>
      <c r="G39" s="220">
        <f>'Adams Pgs 8-9'!G39+'Asotin Pgs 10-11'!G39+'Benton-Franklin Pgs 12-13'!G39+'Chelan-Douglas Pgs 14-15'!G39+'Clallam Pgs 16-17'!G39+'Clark Pgs 18-19'!G39+'Columbia Pgs 20-21'!G39+'Cowlitz Pgs 22-23'!G39+'Garfield Pgs 24-25'!G39+'Grant Pgs 26-27'!G39+'Grays Harbor Pgs 28-29'!G39+'Island Pgs 30-31'!G39+'Jefferson Pgs 32-33'!G39+'Kitsap Pgs 34-35'!G39+'Kittitas Pgs 36-37'!G39+'Klickitat Pgs 38-39'!G39+'Lewis Pgs 40-41'!G39+'Lincoln Pgs 42-43'!G39+'Mason Pgs 44-45'!G39+'Northeast Tri Pgs 46-47'!G39+'Okanogan Pgs 48-49'!G39+'Pacific Pgs 50-51'!G39+'San Juan Pgs 52-53'!G39+'Skagit Pgs 56-57'!G39+'Skamania Pgs 58-59'!G39+'Snohomish Pgs 60-61'!G39+'Spokane Pgs 62-63'!G39+'Tacoma-Pierce Pgs 64-65'!G39+'Thurston Pgs 66-67'!G39+'Wahkiakum Pgs 68-69'!G39+'Walla Walla Pgs 70-71'!G39+'Whatcom Pgs 72-73'!G39+'Whitman Pgs 74-75'!G39+'Yakima Pgs 76-77'!G39+'Seattle-King Pgs 54-55'!G39</f>
        <v>365805</v>
      </c>
      <c r="H39" s="227" t="s">
        <v>154</v>
      </c>
      <c r="I39" s="228" t="s">
        <v>154</v>
      </c>
      <c r="J39" s="225" t="s">
        <v>154</v>
      </c>
      <c r="K39" s="229" t="s">
        <v>154</v>
      </c>
      <c r="L39" s="223">
        <f t="shared" si="1"/>
        <v>3611892</v>
      </c>
    </row>
    <row r="40" spans="1:13" s="224" customFormat="1" ht="14.45" customHeight="1" x14ac:dyDescent="0.2">
      <c r="A40" s="214">
        <v>562.73</v>
      </c>
      <c r="B40" s="215" t="s">
        <v>23</v>
      </c>
      <c r="C40" s="216">
        <f>'Adams Pgs 8-9'!C40+'Asotin Pgs 10-11'!C40+'Benton-Franklin Pgs 12-13'!C40+'Chelan-Douglas Pgs 14-15'!C40+'Clallam Pgs 16-17'!C40+'Clark Pgs 18-19'!C40+'Columbia Pgs 20-21'!C40+'Cowlitz Pgs 22-23'!C40+'Garfield Pgs 24-25'!C40+'Grant Pgs 26-27'!C40+'Grays Harbor Pgs 28-29'!C40+'Island Pgs 30-31'!C40+'Jefferson Pgs 32-33'!C40+'Kitsap Pgs 34-35'!C40+'Kittitas Pgs 36-37'!C40+'Klickitat Pgs 38-39'!C40+'Lewis Pgs 40-41'!C40+'Lincoln Pgs 42-43'!C40+'Mason Pgs 44-45'!C40+'Northeast Tri Pgs 46-47'!C40+'Okanogan Pgs 48-49'!C40+'Pacific Pgs 50-51'!C40+'San Juan Pgs 52-53'!C40+'Skagit Pgs 56-57'!C40+'Skamania Pgs 58-59'!C40+'Snohomish Pgs 60-61'!C40+'Spokane Pgs 62-63'!C40+'Tacoma-Pierce Pgs 64-65'!C40+'Thurston Pgs 66-67'!C40+'Wahkiakum Pgs 68-69'!C40+'Walla Walla Pgs 70-71'!C40+'Whatcom Pgs 72-73'!C40+'Whitman Pgs 74-75'!C40+'Yakima Pgs 76-77'!C40+'Seattle-King Pgs 54-55'!C40</f>
        <v>42755</v>
      </c>
      <c r="D40" s="217">
        <f>'Adams Pgs 8-9'!D40+'Asotin Pgs 10-11'!D40+'Benton-Franklin Pgs 12-13'!D40+'Chelan-Douglas Pgs 14-15'!D40+'Clallam Pgs 16-17'!D40+'Clark Pgs 18-19'!D40+'Columbia Pgs 20-21'!D40+'Cowlitz Pgs 22-23'!D40+'Garfield Pgs 24-25'!D40+'Grant Pgs 26-27'!D40+'Grays Harbor Pgs 28-29'!D40+'Island Pgs 30-31'!D40+'Jefferson Pgs 32-33'!D40+'Kitsap Pgs 34-35'!D40+'Kittitas Pgs 36-37'!D40+'Klickitat Pgs 38-39'!D40+'Lewis Pgs 40-41'!D40+'Lincoln Pgs 42-43'!D40+'Mason Pgs 44-45'!D40+'Northeast Tri Pgs 46-47'!D40+'Okanogan Pgs 48-49'!D40+'Pacific Pgs 50-51'!D40+'San Juan Pgs 52-53'!D40+'Skagit Pgs 56-57'!D40+'Skamania Pgs 58-59'!D40+'Snohomish Pgs 60-61'!D40+'Spokane Pgs 62-63'!D40+'Tacoma-Pierce Pgs 64-65'!D40+'Thurston Pgs 66-67'!D40+'Wahkiakum Pgs 68-69'!D40+'Walla Walla Pgs 70-71'!D40+'Whatcom Pgs 72-73'!D40+'Whitman Pgs 74-75'!D40+'Yakima Pgs 76-77'!D40+'Seattle-King Pgs 54-55'!D40</f>
        <v>4500</v>
      </c>
      <c r="E40" s="218">
        <f>'Adams Pgs 8-9'!E40+'Asotin Pgs 10-11'!E40+'Benton-Franklin Pgs 12-13'!E40+'Chelan-Douglas Pgs 14-15'!E40+'Clallam Pgs 16-17'!E40+'Clark Pgs 18-19'!E40+'Columbia Pgs 20-21'!E40+'Cowlitz Pgs 22-23'!E40+'Garfield Pgs 24-25'!E40+'Grant Pgs 26-27'!E40+'Grays Harbor Pgs 28-29'!E40+'Island Pgs 30-31'!E40+'Jefferson Pgs 32-33'!E40+'Kitsap Pgs 34-35'!E40+'Kittitas Pgs 36-37'!E40+'Klickitat Pgs 38-39'!E40+'Lewis Pgs 40-41'!E40+'Lincoln Pgs 42-43'!E40+'Mason Pgs 44-45'!E40+'Northeast Tri Pgs 46-47'!E40+'Okanogan Pgs 48-49'!E40+'Pacific Pgs 50-51'!E40+'San Juan Pgs 52-53'!E40+'Skagit Pgs 56-57'!E40+'Skamania Pgs 58-59'!E40+'Snohomish Pgs 60-61'!E40+'Spokane Pgs 62-63'!E40+'Tacoma-Pierce Pgs 64-65'!E40+'Thurston Pgs 66-67'!E40+'Wahkiakum Pgs 68-69'!E40+'Walla Walla Pgs 70-71'!E40+'Whatcom Pgs 72-73'!E40+'Whitman Pgs 74-75'!E40+'Yakima Pgs 76-77'!E40+'Seattle-King Pgs 54-55'!E40</f>
        <v>353554</v>
      </c>
      <c r="F40" s="227" t="s">
        <v>154</v>
      </c>
      <c r="G40" s="220">
        <f>'Adams Pgs 8-9'!G40+'Asotin Pgs 10-11'!G40+'Benton-Franklin Pgs 12-13'!G40+'Chelan-Douglas Pgs 14-15'!G40+'Clallam Pgs 16-17'!G40+'Clark Pgs 18-19'!G40+'Columbia Pgs 20-21'!G40+'Cowlitz Pgs 22-23'!G40+'Garfield Pgs 24-25'!G40+'Grant Pgs 26-27'!G40+'Grays Harbor Pgs 28-29'!G40+'Island Pgs 30-31'!G40+'Jefferson Pgs 32-33'!G40+'Kitsap Pgs 34-35'!G40+'Kittitas Pgs 36-37'!G40+'Klickitat Pgs 38-39'!G40+'Lewis Pgs 40-41'!G40+'Lincoln Pgs 42-43'!G40+'Mason Pgs 44-45'!G40+'Northeast Tri Pgs 46-47'!G40+'Okanogan Pgs 48-49'!G40+'Pacific Pgs 50-51'!G40+'San Juan Pgs 52-53'!G40+'Skagit Pgs 56-57'!G40+'Skamania Pgs 58-59'!G40+'Snohomish Pgs 60-61'!G40+'Spokane Pgs 62-63'!G40+'Tacoma-Pierce Pgs 64-65'!G40+'Thurston Pgs 66-67'!G40+'Wahkiakum Pgs 68-69'!G40+'Walla Walla Pgs 70-71'!G40+'Whatcom Pgs 72-73'!G40+'Whitman Pgs 74-75'!G40+'Yakima Pgs 76-77'!G40+'Seattle-King Pgs 54-55'!G40</f>
        <v>128378</v>
      </c>
      <c r="H40" s="227" t="s">
        <v>154</v>
      </c>
      <c r="I40" s="221">
        <f>'Adams Pgs 8-9'!I40+'Asotin Pgs 10-11'!I40+'Benton-Franklin Pgs 12-13'!I40+'Chelan-Douglas Pgs 14-15'!I40+'Clallam Pgs 16-17'!I40+'Clark Pgs 18-19'!I40+'Columbia Pgs 20-21'!I40+'Cowlitz Pgs 22-23'!I40+'Garfield Pgs 24-25'!I40+'Grant Pgs 26-27'!I40+'Grays Harbor Pgs 28-29'!I40+'Island Pgs 30-31'!I40+'Jefferson Pgs 32-33'!I40+'Kitsap Pgs 34-35'!I40+'Kittitas Pgs 36-37'!I40+'Klickitat Pgs 38-39'!I40+'Lewis Pgs 40-41'!I40+'Lincoln Pgs 42-43'!I40+'Mason Pgs 44-45'!I40+'Northeast Tri Pgs 46-47'!I40+'Okanogan Pgs 48-49'!I40+'Pacific Pgs 50-51'!I40+'San Juan Pgs 52-53'!I40+'Skagit Pgs 56-57'!I40+'Skamania Pgs 58-59'!I40+'Snohomish Pgs 60-61'!I40+'Spokane Pgs 62-63'!I40+'Tacoma-Pierce Pgs 64-65'!I40+'Thurston Pgs 66-67'!I40+'Wahkiakum Pgs 68-69'!I40+'Walla Walla Pgs 70-71'!I40+'Whatcom Pgs 72-73'!I40+'Whitman Pgs 74-75'!I40+'Yakima Pgs 76-77'!I40+'Seattle-King Pgs 54-55'!I40</f>
        <v>611700</v>
      </c>
      <c r="J40" s="217">
        <f>'Adams Pgs 8-9'!J40+'Asotin Pgs 10-11'!J40+'Benton-Franklin Pgs 12-13'!J40+'Chelan-Douglas Pgs 14-15'!J40+'Clallam Pgs 16-17'!J40+'Clark Pgs 18-19'!J40+'Columbia Pgs 20-21'!J40+'Cowlitz Pgs 22-23'!J40+'Garfield Pgs 24-25'!J40+'Grant Pgs 26-27'!J40+'Grays Harbor Pgs 28-29'!J40+'Island Pgs 30-31'!J40+'Jefferson Pgs 32-33'!J40+'Kitsap Pgs 34-35'!J40+'Kittitas Pgs 36-37'!J40+'Klickitat Pgs 38-39'!J40+'Lewis Pgs 40-41'!J40+'Lincoln Pgs 42-43'!J40+'Mason Pgs 44-45'!J40+'Northeast Tri Pgs 46-47'!J40+'Okanogan Pgs 48-49'!J40+'Pacific Pgs 50-51'!J40+'San Juan Pgs 52-53'!J40+'Snohomish Pgs 60-61'!J40+'Spokane Pgs 62-63'!J40+'Tacoma-Pierce Pgs 64-65'!J40+'Thurston Pgs 66-67'!J40+'Wahkiakum Pgs 68-69'!J40+'Walla Walla Pgs 70-71'!J40+'Whatcom Pgs 72-73'!J40+'Whitman Pgs 74-75'!J40+'Yakima Pgs 76-77'!J40+'Seattle-King Pgs 54-55'!J40+'Skagit Pgs 56-57'!J40+'Skamania Pgs 58-59'!J40</f>
        <v>1480445</v>
      </c>
      <c r="K40" s="222">
        <f>'Adams Pgs 8-9'!K40+'Asotin Pgs 10-11'!K40+'Benton-Franklin Pgs 12-13'!K40+'Chelan-Douglas Pgs 14-15'!K40+'Clallam Pgs 16-17'!K40+'Clark Pgs 18-19'!K40+'Columbia Pgs 20-21'!K40+'Cowlitz Pgs 22-23'!K40+'Garfield Pgs 24-25'!K40+'Grant Pgs 26-27'!K40+'Grays Harbor Pgs 28-29'!K40+'Island Pgs 30-31'!K40+'Jefferson Pgs 32-33'!K40+'Kitsap Pgs 34-35'!K40+'Kittitas Pgs 36-37'!K40+'Klickitat Pgs 38-39'!K40+'Lewis Pgs 40-41'!K40+'Lincoln Pgs 42-43'!K40+'Mason Pgs 44-45'!K40+'Northeast Tri Pgs 46-47'!K40+'Okanogan Pgs 48-49'!K40+'Pacific Pgs 50-51'!K40+'San Juan Pgs 52-53'!K40+'Skagit Pgs 56-57'!K40+'Skamania Pgs 58-59'!K40+'Snohomish Pgs 60-61'!K40+'Spokane Pgs 62-63'!K40+'Tacoma-Pierce Pgs 64-65'!K40+'Thurston Pgs 66-67'!K40+'Wahkiakum Pgs 68-69'!K40+'Walla Walla Pgs 70-71'!K40+'Whatcom Pgs 72-73'!K40+'Whitman Pgs 74-75'!K40+'Yakima Pgs 76-77'!K40+'Seattle-King Pgs 54-55'!K40</f>
        <v>6322</v>
      </c>
      <c r="L40" s="223">
        <f t="shared" si="1"/>
        <v>2627654</v>
      </c>
    </row>
    <row r="41" spans="1:13" s="224" customFormat="1" ht="14.45" customHeight="1" x14ac:dyDescent="0.2">
      <c r="A41" s="214">
        <v>562.74</v>
      </c>
      <c r="B41" s="215" t="s">
        <v>49</v>
      </c>
      <c r="C41" s="216">
        <f>'Adams Pgs 8-9'!C41+'Asotin Pgs 10-11'!C41+'Benton-Franklin Pgs 12-13'!C41+'Chelan-Douglas Pgs 14-15'!C41+'Clallam Pgs 16-17'!C41+'Clark Pgs 18-19'!C41+'Columbia Pgs 20-21'!C41+'Cowlitz Pgs 22-23'!C41+'Garfield Pgs 24-25'!C41+'Grant Pgs 26-27'!C41+'Grays Harbor Pgs 28-29'!C41+'Island Pgs 30-31'!C41+'Jefferson Pgs 32-33'!C41+'Kitsap Pgs 34-35'!C41+'Kittitas Pgs 36-37'!C41+'Klickitat Pgs 38-39'!C41+'Lewis Pgs 40-41'!C41+'Lincoln Pgs 42-43'!C41+'Mason Pgs 44-45'!C41+'Northeast Tri Pgs 46-47'!C41+'Okanogan Pgs 48-49'!C41+'Pacific Pgs 50-51'!C41+'San Juan Pgs 52-53'!C41+'Skagit Pgs 56-57'!C41+'Skamania Pgs 58-59'!C41+'Snohomish Pgs 60-61'!C41+'Spokane Pgs 62-63'!C41+'Tacoma-Pierce Pgs 64-65'!C41+'Thurston Pgs 66-67'!C41+'Wahkiakum Pgs 68-69'!C41+'Walla Walla Pgs 70-71'!C41+'Whatcom Pgs 72-73'!C41+'Whitman Pgs 74-75'!C41+'Yakima Pgs 76-77'!C41+'Seattle-King Pgs 54-55'!C41</f>
        <v>16992613</v>
      </c>
      <c r="D41" s="225" t="s">
        <v>154</v>
      </c>
      <c r="E41" s="226" t="s">
        <v>154</v>
      </c>
      <c r="F41" s="227" t="s">
        <v>154</v>
      </c>
      <c r="G41" s="220">
        <f>'Adams Pgs 8-9'!G41+'Asotin Pgs 10-11'!G41+'Benton-Franklin Pgs 12-13'!G41+'Chelan-Douglas Pgs 14-15'!G41+'Clallam Pgs 16-17'!G41+'Clark Pgs 18-19'!G41+'Columbia Pgs 20-21'!G41+'Cowlitz Pgs 22-23'!G41+'Garfield Pgs 24-25'!G41+'Grant Pgs 26-27'!G41+'Grays Harbor Pgs 28-29'!G41+'Island Pgs 30-31'!G41+'Jefferson Pgs 32-33'!G41+'Kitsap Pgs 34-35'!G41+'Kittitas Pgs 36-37'!G41+'Klickitat Pgs 38-39'!G41+'Lewis Pgs 40-41'!G41+'Lincoln Pgs 42-43'!G41+'Mason Pgs 44-45'!G41+'Northeast Tri Pgs 46-47'!G41+'Okanogan Pgs 48-49'!G41+'Pacific Pgs 50-51'!G41+'San Juan Pgs 52-53'!G41+'Skagit Pgs 56-57'!G41+'Skamania Pgs 58-59'!G41+'Snohomish Pgs 60-61'!G41+'Spokane Pgs 62-63'!G41+'Tacoma-Pierce Pgs 64-65'!G41+'Thurston Pgs 66-67'!G41+'Wahkiakum Pgs 68-69'!G41+'Walla Walla Pgs 70-71'!G41+'Whatcom Pgs 72-73'!G41+'Whitman Pgs 74-75'!G41+'Yakima Pgs 76-77'!G41+'Seattle-King Pgs 54-55'!G41</f>
        <v>166939</v>
      </c>
      <c r="H41" s="227" t="s">
        <v>154</v>
      </c>
      <c r="I41" s="228" t="s">
        <v>154</v>
      </c>
      <c r="J41" s="217">
        <f>'Adams Pgs 8-9'!J41+'Asotin Pgs 10-11'!J41+'Benton-Franklin Pgs 12-13'!J41+'Chelan-Douglas Pgs 14-15'!J41+'Clallam Pgs 16-17'!J41+'Clark Pgs 18-19'!J41+'Columbia Pgs 20-21'!J41+'Cowlitz Pgs 22-23'!J41+'Garfield Pgs 24-25'!J41+'Grant Pgs 26-27'!J41+'Grays Harbor Pgs 28-29'!J41+'Island Pgs 30-31'!J41+'Jefferson Pgs 32-33'!J41+'Kitsap Pgs 34-35'!J41+'Kittitas Pgs 36-37'!J41+'Klickitat Pgs 38-39'!J41+'Lewis Pgs 40-41'!J41+'Lincoln Pgs 42-43'!J41+'Mason Pgs 44-45'!J41+'Northeast Tri Pgs 46-47'!J41+'Okanogan Pgs 48-49'!J41+'Pacific Pgs 50-51'!J41+'San Juan Pgs 52-53'!J41+'Snohomish Pgs 60-61'!J41+'Spokane Pgs 62-63'!J41+'Tacoma-Pierce Pgs 64-65'!J41+'Thurston Pgs 66-67'!J41+'Wahkiakum Pgs 68-69'!J41+'Walla Walla Pgs 70-71'!J41+'Whatcom Pgs 72-73'!J41+'Whitman Pgs 74-75'!J41+'Yakima Pgs 76-77'!J41+'Seattle-King Pgs 54-55'!J41+'Skagit Pgs 56-57'!J41+'Skamania Pgs 58-59'!J41</f>
        <v>1497799</v>
      </c>
      <c r="K41" s="222">
        <f>'Adams Pgs 8-9'!K41+'Asotin Pgs 10-11'!K41+'Benton-Franklin Pgs 12-13'!K41+'Chelan-Douglas Pgs 14-15'!K41+'Clallam Pgs 16-17'!K41+'Clark Pgs 18-19'!K41+'Columbia Pgs 20-21'!K41+'Cowlitz Pgs 22-23'!K41+'Garfield Pgs 24-25'!K41+'Grant Pgs 26-27'!K41+'Grays Harbor Pgs 28-29'!K41+'Island Pgs 30-31'!K41+'Jefferson Pgs 32-33'!K41+'Kitsap Pgs 34-35'!K41+'Kittitas Pgs 36-37'!K41+'Klickitat Pgs 38-39'!K41+'Lewis Pgs 40-41'!K41+'Lincoln Pgs 42-43'!K41+'Mason Pgs 44-45'!K41+'Northeast Tri Pgs 46-47'!K41+'Okanogan Pgs 48-49'!K41+'Pacific Pgs 50-51'!K41+'San Juan Pgs 52-53'!K41+'Skagit Pgs 56-57'!K41+'Skamania Pgs 58-59'!K41+'Snohomish Pgs 60-61'!K41+'Spokane Pgs 62-63'!K41+'Tacoma-Pierce Pgs 64-65'!K41+'Thurston Pgs 66-67'!K41+'Wahkiakum Pgs 68-69'!K41+'Walla Walla Pgs 70-71'!K41+'Whatcom Pgs 72-73'!K41+'Whitman Pgs 74-75'!K41+'Yakima Pgs 76-77'!K41+'Seattle-King Pgs 54-55'!K41</f>
        <v>317744</v>
      </c>
      <c r="L41" s="223">
        <f t="shared" si="1"/>
        <v>18975095</v>
      </c>
    </row>
    <row r="42" spans="1:13" s="224" customFormat="1" ht="14.45" customHeight="1" x14ac:dyDescent="0.2">
      <c r="A42" s="214">
        <v>562.78</v>
      </c>
      <c r="B42" s="215" t="s">
        <v>24</v>
      </c>
      <c r="C42" s="216">
        <f>'Adams Pgs 8-9'!C42+'Asotin Pgs 10-11'!C42+'Benton-Franklin Pgs 12-13'!C42+'Chelan-Douglas Pgs 14-15'!C42+'Clallam Pgs 16-17'!C42+'Clark Pgs 18-19'!C42+'Columbia Pgs 20-21'!C42+'Cowlitz Pgs 22-23'!C42+'Garfield Pgs 24-25'!C42+'Grant Pgs 26-27'!C42+'Grays Harbor Pgs 28-29'!C42+'Island Pgs 30-31'!C42+'Jefferson Pgs 32-33'!C42+'Kitsap Pgs 34-35'!C42+'Kittitas Pgs 36-37'!C42+'Klickitat Pgs 38-39'!C42+'Lewis Pgs 40-41'!C42+'Lincoln Pgs 42-43'!C42+'Mason Pgs 44-45'!C42+'Northeast Tri Pgs 46-47'!C42+'Okanogan Pgs 48-49'!C42+'Pacific Pgs 50-51'!C42+'San Juan Pgs 52-53'!C42+'Skagit Pgs 56-57'!C42+'Skamania Pgs 58-59'!C42+'Snohomish Pgs 60-61'!C42+'Spokane Pgs 62-63'!C42+'Tacoma-Pierce Pgs 64-65'!C42+'Thurston Pgs 66-67'!C42+'Wahkiakum Pgs 68-69'!C42+'Walla Walla Pgs 70-71'!C42+'Whatcom Pgs 72-73'!C42+'Whitman Pgs 74-75'!C42+'Yakima Pgs 76-77'!C42+'Seattle-King Pgs 54-55'!C42</f>
        <v>571959</v>
      </c>
      <c r="D42" s="217">
        <f>'Adams Pgs 8-9'!D42+'Asotin Pgs 10-11'!D42+'Benton-Franklin Pgs 12-13'!D42+'Chelan-Douglas Pgs 14-15'!D42+'Clallam Pgs 16-17'!D42+'Clark Pgs 18-19'!D42+'Columbia Pgs 20-21'!D42+'Cowlitz Pgs 22-23'!D42+'Garfield Pgs 24-25'!D42+'Grant Pgs 26-27'!D42+'Grays Harbor Pgs 28-29'!D42+'Island Pgs 30-31'!D42+'Jefferson Pgs 32-33'!D42+'Kitsap Pgs 34-35'!D42+'Kittitas Pgs 36-37'!D42+'Klickitat Pgs 38-39'!D42+'Lewis Pgs 40-41'!D42+'Lincoln Pgs 42-43'!D42+'Mason Pgs 44-45'!D42+'Northeast Tri Pgs 46-47'!D42+'Okanogan Pgs 48-49'!D42+'Pacific Pgs 50-51'!D42+'San Juan Pgs 52-53'!D42+'Skagit Pgs 56-57'!D42+'Skamania Pgs 58-59'!D42+'Snohomish Pgs 60-61'!D42+'Spokane Pgs 62-63'!D42+'Tacoma-Pierce Pgs 64-65'!D42+'Thurston Pgs 66-67'!D42+'Wahkiakum Pgs 68-69'!D42+'Walla Walla Pgs 70-71'!D42+'Whatcom Pgs 72-73'!D42+'Whitman Pgs 74-75'!D42+'Yakima Pgs 76-77'!D42+'Seattle-King Pgs 54-55'!D42</f>
        <v>529327</v>
      </c>
      <c r="E42" s="226" t="s">
        <v>154</v>
      </c>
      <c r="F42" s="227" t="s">
        <v>154</v>
      </c>
      <c r="G42" s="220">
        <f>'Adams Pgs 8-9'!G42+'Asotin Pgs 10-11'!G42+'Benton-Franklin Pgs 12-13'!G42+'Chelan-Douglas Pgs 14-15'!G42+'Clallam Pgs 16-17'!G42+'Clark Pgs 18-19'!G42+'Columbia Pgs 20-21'!G42+'Cowlitz Pgs 22-23'!G42+'Garfield Pgs 24-25'!G42+'Grant Pgs 26-27'!G42+'Grays Harbor Pgs 28-29'!G42+'Island Pgs 30-31'!G42+'Jefferson Pgs 32-33'!G42+'Kitsap Pgs 34-35'!G42+'Kittitas Pgs 36-37'!G42+'Klickitat Pgs 38-39'!G42+'Lewis Pgs 40-41'!G42+'Lincoln Pgs 42-43'!G42+'Mason Pgs 44-45'!G42+'Northeast Tri Pgs 46-47'!G42+'Okanogan Pgs 48-49'!G42+'Pacific Pgs 50-51'!G42+'San Juan Pgs 52-53'!G42+'Skagit Pgs 56-57'!G42+'Skamania Pgs 58-59'!G42+'Snohomish Pgs 60-61'!G42+'Spokane Pgs 62-63'!G42+'Tacoma-Pierce Pgs 64-65'!G42+'Thurston Pgs 66-67'!G42+'Wahkiakum Pgs 68-69'!G42+'Walla Walla Pgs 70-71'!G42+'Whatcom Pgs 72-73'!G42+'Whitman Pgs 74-75'!G42+'Yakima Pgs 76-77'!G42+'Seattle-King Pgs 54-55'!G42</f>
        <v>106445</v>
      </c>
      <c r="H42" s="227" t="s">
        <v>154</v>
      </c>
      <c r="I42" s="228" t="s">
        <v>154</v>
      </c>
      <c r="J42" s="225" t="s">
        <v>154</v>
      </c>
      <c r="K42" s="222">
        <f>'Adams Pgs 8-9'!K42+'Asotin Pgs 10-11'!K42+'Benton-Franklin Pgs 12-13'!K42+'Chelan-Douglas Pgs 14-15'!K42+'Clallam Pgs 16-17'!K42+'Clark Pgs 18-19'!K42+'Columbia Pgs 20-21'!K42+'Cowlitz Pgs 22-23'!K42+'Garfield Pgs 24-25'!K42+'Grant Pgs 26-27'!K42+'Grays Harbor Pgs 28-29'!K42+'Island Pgs 30-31'!K42+'Jefferson Pgs 32-33'!K42+'Kitsap Pgs 34-35'!K42+'Kittitas Pgs 36-37'!K42+'Klickitat Pgs 38-39'!K42+'Lewis Pgs 40-41'!K42+'Lincoln Pgs 42-43'!K42+'Mason Pgs 44-45'!K42+'Northeast Tri Pgs 46-47'!K42+'Okanogan Pgs 48-49'!K42+'Pacific Pgs 50-51'!K42+'San Juan Pgs 52-53'!K42+'Skagit Pgs 56-57'!K42+'Skamania Pgs 58-59'!K42+'Snohomish Pgs 60-61'!K42+'Spokane Pgs 62-63'!K42+'Tacoma-Pierce Pgs 64-65'!K42+'Thurston Pgs 66-67'!K42+'Wahkiakum Pgs 68-69'!K42+'Walla Walla Pgs 70-71'!K42+'Whatcom Pgs 72-73'!K42+'Whitman Pgs 74-75'!K42+'Yakima Pgs 76-77'!K42+'Seattle-King Pgs 54-55'!K42</f>
        <v>38035</v>
      </c>
      <c r="L42" s="223">
        <f t="shared" si="1"/>
        <v>1245766</v>
      </c>
    </row>
    <row r="43" spans="1:13" s="224" customFormat="1" ht="14.45" customHeight="1" x14ac:dyDescent="0.2">
      <c r="A43" s="214">
        <v>562.79</v>
      </c>
      <c r="B43" s="215" t="s">
        <v>25</v>
      </c>
      <c r="C43" s="216">
        <f>'Adams Pgs 8-9'!C43+'Asotin Pgs 10-11'!C43+'Benton-Franklin Pgs 12-13'!C43+'Chelan-Douglas Pgs 14-15'!C43+'Clallam Pgs 16-17'!C43+'Clark Pgs 18-19'!C43+'Columbia Pgs 20-21'!C43+'Cowlitz Pgs 22-23'!C43+'Garfield Pgs 24-25'!C43+'Grant Pgs 26-27'!C43+'Grays Harbor Pgs 28-29'!C43+'Island Pgs 30-31'!C43+'Jefferson Pgs 32-33'!C43+'Kitsap Pgs 34-35'!C43+'Kittitas Pgs 36-37'!C43+'Klickitat Pgs 38-39'!C43+'Lewis Pgs 40-41'!C43+'Lincoln Pgs 42-43'!C43+'Mason Pgs 44-45'!C43+'Northeast Tri Pgs 46-47'!C43+'Okanogan Pgs 48-49'!C43+'Pacific Pgs 50-51'!C43+'San Juan Pgs 52-53'!C43+'Skagit Pgs 56-57'!C43+'Skamania Pgs 58-59'!C43+'Snohomish Pgs 60-61'!C43+'Spokane Pgs 62-63'!C43+'Tacoma-Pierce Pgs 64-65'!C43+'Thurston Pgs 66-67'!C43+'Wahkiakum Pgs 68-69'!C43+'Walla Walla Pgs 70-71'!C43+'Whatcom Pgs 72-73'!C43+'Whitman Pgs 74-75'!C43+'Yakima Pgs 76-77'!C43+'Seattle-King Pgs 54-55'!C43</f>
        <v>1377096</v>
      </c>
      <c r="D43" s="217">
        <f>'Adams Pgs 8-9'!D43+'Asotin Pgs 10-11'!D43+'Benton-Franklin Pgs 12-13'!D43+'Chelan-Douglas Pgs 14-15'!D43+'Clallam Pgs 16-17'!D43+'Clark Pgs 18-19'!D43+'Columbia Pgs 20-21'!D43+'Cowlitz Pgs 22-23'!D43+'Garfield Pgs 24-25'!D43+'Grant Pgs 26-27'!D43+'Grays Harbor Pgs 28-29'!D43+'Island Pgs 30-31'!D43+'Jefferson Pgs 32-33'!D43+'Kitsap Pgs 34-35'!D43+'Kittitas Pgs 36-37'!D43+'Klickitat Pgs 38-39'!D43+'Lewis Pgs 40-41'!D43+'Lincoln Pgs 42-43'!D43+'Mason Pgs 44-45'!D43+'Northeast Tri Pgs 46-47'!D43+'Okanogan Pgs 48-49'!D43+'Pacific Pgs 50-51'!D43+'San Juan Pgs 52-53'!D43+'Skagit Pgs 56-57'!D43+'Skamania Pgs 58-59'!D43+'Snohomish Pgs 60-61'!D43+'Spokane Pgs 62-63'!D43+'Tacoma-Pierce Pgs 64-65'!D43+'Thurston Pgs 66-67'!D43+'Wahkiakum Pgs 68-69'!D43+'Walla Walla Pgs 70-71'!D43+'Whatcom Pgs 72-73'!D43+'Whitman Pgs 74-75'!D43+'Yakima Pgs 76-77'!D43+'Seattle-King Pgs 54-55'!D43</f>
        <v>324215</v>
      </c>
      <c r="E43" s="226" t="s">
        <v>154</v>
      </c>
      <c r="F43" s="219">
        <f>'Adams Pgs 8-9'!F43+'Asotin Pgs 10-11'!F43+'Benton-Franklin Pgs 12-13'!F43+'Chelan-Douglas Pgs 14-15'!F43+'Clallam Pgs 16-17'!F43+'Clark Pgs 18-19'!F43+'Columbia Pgs 20-21'!F43+'Cowlitz Pgs 22-23'!F43+'Garfield Pgs 24-25'!F43+'Grant Pgs 26-27'!F43+'Grays Harbor Pgs 28-29'!F43+'Island Pgs 30-31'!F43+'Jefferson Pgs 32-33'!F43+'Kitsap Pgs 34-35'!F43+'Kittitas Pgs 36-37'!F43+'Klickitat Pgs 38-39'!F43+'Lewis Pgs 40-41'!F43+'Lincoln Pgs 42-43'!F43+'Mason Pgs 44-45'!F43+'Northeast Tri Pgs 46-47'!F43+'Okanogan Pgs 48-49'!F43+'Pacific Pgs 50-51'!F43+'San Juan Pgs 52-53'!F43+'Seattle-King Pgs 54-55'!F43+'Skagit Pgs 56-57'!F43+'Skamania Pgs 58-59'!F43+'Snohomish Pgs 60-61'!F43+'Spokane Pgs 62-63'!F43+'Tacoma-Pierce Pgs 64-65'!F43+'Thurston Pgs 66-67'!F43+'Wahkiakum Pgs 68-69'!F43+'Walla Walla Pgs 70-71'!F43+'Whatcom Pgs 72-73'!F43+'Whitman Pgs 74-75'!F43+'Yakima Pgs 76-77'!F43</f>
        <v>35625</v>
      </c>
      <c r="G43" s="220">
        <f>'Adams Pgs 8-9'!G43+'Asotin Pgs 10-11'!G43+'Benton-Franklin Pgs 12-13'!G43+'Chelan-Douglas Pgs 14-15'!G43+'Clallam Pgs 16-17'!G43+'Clark Pgs 18-19'!G43+'Columbia Pgs 20-21'!G43+'Cowlitz Pgs 22-23'!G43+'Garfield Pgs 24-25'!G43+'Grant Pgs 26-27'!G43+'Grays Harbor Pgs 28-29'!G43+'Island Pgs 30-31'!G43+'Jefferson Pgs 32-33'!G43+'Kitsap Pgs 34-35'!G43+'Kittitas Pgs 36-37'!G43+'Klickitat Pgs 38-39'!G43+'Lewis Pgs 40-41'!G43+'Lincoln Pgs 42-43'!G43+'Mason Pgs 44-45'!G43+'Northeast Tri Pgs 46-47'!G43+'Okanogan Pgs 48-49'!G43+'Pacific Pgs 50-51'!G43+'San Juan Pgs 52-53'!G43+'Skagit Pgs 56-57'!G43+'Skamania Pgs 58-59'!G43+'Snohomish Pgs 60-61'!G43+'Spokane Pgs 62-63'!G43+'Tacoma-Pierce Pgs 64-65'!G43+'Thurston Pgs 66-67'!G43+'Wahkiakum Pgs 68-69'!G43+'Walla Walla Pgs 70-71'!G43+'Whatcom Pgs 72-73'!G43+'Whitman Pgs 74-75'!G43+'Yakima Pgs 76-77'!G43+'Seattle-King Pgs 54-55'!G43</f>
        <v>2426201</v>
      </c>
      <c r="H43" s="227" t="s">
        <v>154</v>
      </c>
      <c r="I43" s="221">
        <f>'Adams Pgs 8-9'!I43+'Asotin Pgs 10-11'!I43+'Benton-Franklin Pgs 12-13'!I43+'Chelan-Douglas Pgs 14-15'!I43+'Clallam Pgs 16-17'!I43+'Clark Pgs 18-19'!I43+'Columbia Pgs 20-21'!I43+'Cowlitz Pgs 22-23'!I43+'Garfield Pgs 24-25'!I43+'Grant Pgs 26-27'!I43+'Grays Harbor Pgs 28-29'!I43+'Island Pgs 30-31'!I43+'Jefferson Pgs 32-33'!I43+'Kitsap Pgs 34-35'!I43+'Kittitas Pgs 36-37'!I43+'Klickitat Pgs 38-39'!I43+'Lewis Pgs 40-41'!I43+'Lincoln Pgs 42-43'!I43+'Mason Pgs 44-45'!I43+'Northeast Tri Pgs 46-47'!I43+'Okanogan Pgs 48-49'!I43+'Pacific Pgs 50-51'!I43+'San Juan Pgs 52-53'!I43+'Skagit Pgs 56-57'!I43+'Skamania Pgs 58-59'!I43+'Snohomish Pgs 60-61'!I43+'Spokane Pgs 62-63'!I43+'Tacoma-Pierce Pgs 64-65'!I43+'Thurston Pgs 66-67'!I43+'Wahkiakum Pgs 68-69'!I43+'Walla Walla Pgs 70-71'!I43+'Whatcom Pgs 72-73'!I43+'Whitman Pgs 74-75'!I43+'Yakima Pgs 76-77'!I43+'Seattle-King Pgs 54-55'!I43</f>
        <v>145537</v>
      </c>
      <c r="J43" s="217">
        <f>'Adams Pgs 8-9'!J43+'Asotin Pgs 10-11'!J43+'Benton-Franklin Pgs 12-13'!J43+'Chelan-Douglas Pgs 14-15'!J43+'Clallam Pgs 16-17'!J43+'Clark Pgs 18-19'!J43+'Columbia Pgs 20-21'!J43+'Cowlitz Pgs 22-23'!J43+'Garfield Pgs 24-25'!J43+'Grant Pgs 26-27'!J43+'Grays Harbor Pgs 28-29'!J43+'Island Pgs 30-31'!J43+'Jefferson Pgs 32-33'!J43+'Kitsap Pgs 34-35'!J43+'Kittitas Pgs 36-37'!J43+'Klickitat Pgs 38-39'!J43+'Lewis Pgs 40-41'!J43+'Lincoln Pgs 42-43'!J43+'Mason Pgs 44-45'!J43+'Northeast Tri Pgs 46-47'!J43+'Okanogan Pgs 48-49'!J43+'Pacific Pgs 50-51'!J43+'San Juan Pgs 52-53'!J43+'Snohomish Pgs 60-61'!J43+'Spokane Pgs 62-63'!J43+'Tacoma-Pierce Pgs 64-65'!J43+'Thurston Pgs 66-67'!J43+'Wahkiakum Pgs 68-69'!J43+'Walla Walla Pgs 70-71'!J43+'Whatcom Pgs 72-73'!J43+'Whitman Pgs 74-75'!J43+'Yakima Pgs 76-77'!J43+'Seattle-King Pgs 54-55'!J43+'Skagit Pgs 56-57'!J43+'Skamania Pgs 58-59'!J43</f>
        <v>486798</v>
      </c>
      <c r="K43" s="229" t="s">
        <v>154</v>
      </c>
      <c r="L43" s="223">
        <f t="shared" si="1"/>
        <v>4795472</v>
      </c>
    </row>
    <row r="44" spans="1:13" s="224" customFormat="1" ht="14.45" customHeight="1" x14ac:dyDescent="0.2">
      <c r="A44" s="214">
        <v>562.79999999999995</v>
      </c>
      <c r="B44" s="215" t="s">
        <v>26</v>
      </c>
      <c r="C44" s="216">
        <f>'Adams Pgs 8-9'!C44+'Asotin Pgs 10-11'!C44+'Benton-Franklin Pgs 12-13'!C44+'Chelan-Douglas Pgs 14-15'!C44+'Clallam Pgs 16-17'!C44+'Clark Pgs 18-19'!C44+'Columbia Pgs 20-21'!C44+'Cowlitz Pgs 22-23'!C44+'Garfield Pgs 24-25'!C44+'Grant Pgs 26-27'!C44+'Grays Harbor Pgs 28-29'!C44+'Island Pgs 30-31'!C44+'Jefferson Pgs 32-33'!C44+'Kitsap Pgs 34-35'!C44+'Kittitas Pgs 36-37'!C44+'Klickitat Pgs 38-39'!C44+'Lewis Pgs 40-41'!C44+'Lincoln Pgs 42-43'!C44+'Mason Pgs 44-45'!C44+'Northeast Tri Pgs 46-47'!C44+'Okanogan Pgs 48-49'!C44+'Pacific Pgs 50-51'!C44+'San Juan Pgs 52-53'!C44+'Skagit Pgs 56-57'!C44+'Skamania Pgs 58-59'!C44+'Snohomish Pgs 60-61'!C44+'Spokane Pgs 62-63'!C44+'Tacoma-Pierce Pgs 64-65'!C44+'Thurston Pgs 66-67'!C44+'Wahkiakum Pgs 68-69'!C44+'Walla Walla Pgs 70-71'!C44+'Whatcom Pgs 72-73'!C44+'Whitman Pgs 74-75'!C44+'Yakima Pgs 76-77'!C44+'Seattle-King Pgs 54-55'!C44</f>
        <v>2227645</v>
      </c>
      <c r="D44" s="217">
        <f>'Adams Pgs 8-9'!D44+'Asotin Pgs 10-11'!D44+'Benton-Franklin Pgs 12-13'!D44+'Chelan-Douglas Pgs 14-15'!D44+'Clallam Pgs 16-17'!D44+'Clark Pgs 18-19'!D44+'Columbia Pgs 20-21'!D44+'Cowlitz Pgs 22-23'!D44+'Garfield Pgs 24-25'!D44+'Grant Pgs 26-27'!D44+'Grays Harbor Pgs 28-29'!D44+'Island Pgs 30-31'!D44+'Jefferson Pgs 32-33'!D44+'Kitsap Pgs 34-35'!D44+'Kittitas Pgs 36-37'!D44+'Klickitat Pgs 38-39'!D44+'Lewis Pgs 40-41'!D44+'Lincoln Pgs 42-43'!D44+'Mason Pgs 44-45'!D44+'Northeast Tri Pgs 46-47'!D44+'Okanogan Pgs 48-49'!D44+'Pacific Pgs 50-51'!D44+'San Juan Pgs 52-53'!D44+'Skagit Pgs 56-57'!D44+'Skamania Pgs 58-59'!D44+'Snohomish Pgs 60-61'!D44+'Spokane Pgs 62-63'!D44+'Tacoma-Pierce Pgs 64-65'!D44+'Thurston Pgs 66-67'!D44+'Wahkiakum Pgs 68-69'!D44+'Walla Walla Pgs 70-71'!D44+'Whatcom Pgs 72-73'!D44+'Whitman Pgs 74-75'!D44+'Yakima Pgs 76-77'!D44+'Seattle-King Pgs 54-55'!D44</f>
        <v>273600</v>
      </c>
      <c r="E44" s="218">
        <f>'Adams Pgs 8-9'!E44+'Asotin Pgs 10-11'!E44+'Benton-Franklin Pgs 12-13'!E44+'Chelan-Douglas Pgs 14-15'!E44+'Clallam Pgs 16-17'!E44+'Clark Pgs 18-19'!E44+'Columbia Pgs 20-21'!E44+'Cowlitz Pgs 22-23'!E44+'Garfield Pgs 24-25'!E44+'Grant Pgs 26-27'!E44+'Grays Harbor Pgs 28-29'!E44+'Island Pgs 30-31'!E44+'Jefferson Pgs 32-33'!E44+'Kitsap Pgs 34-35'!E44+'Kittitas Pgs 36-37'!E44+'Klickitat Pgs 38-39'!E44+'Lewis Pgs 40-41'!E44+'Lincoln Pgs 42-43'!E44+'Mason Pgs 44-45'!E44+'Northeast Tri Pgs 46-47'!E44+'Okanogan Pgs 48-49'!E44+'Pacific Pgs 50-51'!E44+'San Juan Pgs 52-53'!E44+'Skagit Pgs 56-57'!E44+'Skamania Pgs 58-59'!E44+'Snohomish Pgs 60-61'!E44+'Spokane Pgs 62-63'!E44+'Tacoma-Pierce Pgs 64-65'!E44+'Thurston Pgs 66-67'!E44+'Wahkiakum Pgs 68-69'!E44+'Walla Walla Pgs 70-71'!E44+'Whatcom Pgs 72-73'!E44+'Whitman Pgs 74-75'!E44+'Yakima Pgs 76-77'!E44+'Seattle-King Pgs 54-55'!E44</f>
        <v>817</v>
      </c>
      <c r="F44" s="219">
        <f>'Adams Pgs 8-9'!F44+'Asotin Pgs 10-11'!F44+'Benton-Franklin Pgs 12-13'!F44+'Chelan-Douglas Pgs 14-15'!F44+'Clallam Pgs 16-17'!F44+'Clark Pgs 18-19'!F44+'Columbia Pgs 20-21'!F44+'Cowlitz Pgs 22-23'!F44+'Garfield Pgs 24-25'!F44+'Grant Pgs 26-27'!F44+'Grays Harbor Pgs 28-29'!F44+'Island Pgs 30-31'!F44+'Jefferson Pgs 32-33'!F44+'Kitsap Pgs 34-35'!F44+'Kittitas Pgs 36-37'!F44+'Klickitat Pgs 38-39'!F44+'Lewis Pgs 40-41'!F44+'Lincoln Pgs 42-43'!F44+'Mason Pgs 44-45'!F44+'Northeast Tri Pgs 46-47'!F44+'Okanogan Pgs 48-49'!F44+'Pacific Pgs 50-51'!F44+'San Juan Pgs 52-53'!F44+'Seattle-King Pgs 54-55'!F44+'Skagit Pgs 56-57'!F44+'Skamania Pgs 58-59'!F44+'Snohomish Pgs 60-61'!F44+'Spokane Pgs 62-63'!F44+'Tacoma-Pierce Pgs 64-65'!F44+'Thurston Pgs 66-67'!F44+'Wahkiakum Pgs 68-69'!F44+'Walla Walla Pgs 70-71'!F44+'Whatcom Pgs 72-73'!F44+'Whitman Pgs 74-75'!F44+'Yakima Pgs 76-77'!F44</f>
        <v>326985</v>
      </c>
      <c r="G44" s="220">
        <f>'Adams Pgs 8-9'!G44+'Asotin Pgs 10-11'!G44+'Benton-Franklin Pgs 12-13'!G44+'Chelan-Douglas Pgs 14-15'!G44+'Clallam Pgs 16-17'!G44+'Clark Pgs 18-19'!G44+'Columbia Pgs 20-21'!G44+'Cowlitz Pgs 22-23'!G44+'Garfield Pgs 24-25'!G44+'Grant Pgs 26-27'!G44+'Grays Harbor Pgs 28-29'!G44+'Island Pgs 30-31'!G44+'Jefferson Pgs 32-33'!G44+'Kitsap Pgs 34-35'!G44+'Kittitas Pgs 36-37'!G44+'Klickitat Pgs 38-39'!G44+'Lewis Pgs 40-41'!G44+'Lincoln Pgs 42-43'!G44+'Mason Pgs 44-45'!G44+'Northeast Tri Pgs 46-47'!G44+'Okanogan Pgs 48-49'!G44+'Pacific Pgs 50-51'!G44+'San Juan Pgs 52-53'!G44+'Skagit Pgs 56-57'!G44+'Skamania Pgs 58-59'!G44+'Snohomish Pgs 60-61'!G44+'Spokane Pgs 62-63'!G44+'Tacoma-Pierce Pgs 64-65'!G44+'Thurston Pgs 66-67'!G44+'Wahkiakum Pgs 68-69'!G44+'Walla Walla Pgs 70-71'!G44+'Whatcom Pgs 72-73'!G44+'Whitman Pgs 74-75'!G44+'Yakima Pgs 76-77'!G44+'Seattle-King Pgs 54-55'!G44</f>
        <v>3531873</v>
      </c>
      <c r="H44" s="227" t="s">
        <v>154</v>
      </c>
      <c r="I44" s="221">
        <f>'Adams Pgs 8-9'!I44+'Asotin Pgs 10-11'!I44+'Benton-Franklin Pgs 12-13'!I44+'Chelan-Douglas Pgs 14-15'!I44+'Clallam Pgs 16-17'!I44+'Clark Pgs 18-19'!I44+'Columbia Pgs 20-21'!I44+'Cowlitz Pgs 22-23'!I44+'Garfield Pgs 24-25'!I44+'Grant Pgs 26-27'!I44+'Grays Harbor Pgs 28-29'!I44+'Island Pgs 30-31'!I44+'Jefferson Pgs 32-33'!I44+'Kitsap Pgs 34-35'!I44+'Kittitas Pgs 36-37'!I44+'Klickitat Pgs 38-39'!I44+'Lewis Pgs 40-41'!I44+'Lincoln Pgs 42-43'!I44+'Mason Pgs 44-45'!I44+'Northeast Tri Pgs 46-47'!I44+'Okanogan Pgs 48-49'!I44+'Pacific Pgs 50-51'!I44+'San Juan Pgs 52-53'!I44+'Skagit Pgs 56-57'!I44+'Skamania Pgs 58-59'!I44+'Snohomish Pgs 60-61'!I44+'Spokane Pgs 62-63'!I44+'Tacoma-Pierce Pgs 64-65'!I44+'Thurston Pgs 66-67'!I44+'Wahkiakum Pgs 68-69'!I44+'Walla Walla Pgs 70-71'!I44+'Whatcom Pgs 72-73'!I44+'Whitman Pgs 74-75'!I44+'Yakima Pgs 76-77'!I44+'Seattle-King Pgs 54-55'!I44</f>
        <v>584972</v>
      </c>
      <c r="J44" s="217">
        <f>'Adams Pgs 8-9'!J44+'Asotin Pgs 10-11'!J44+'Benton-Franklin Pgs 12-13'!J44+'Chelan-Douglas Pgs 14-15'!J44+'Clallam Pgs 16-17'!J44+'Clark Pgs 18-19'!J44+'Columbia Pgs 20-21'!J44+'Cowlitz Pgs 22-23'!J44+'Garfield Pgs 24-25'!J44+'Grant Pgs 26-27'!J44+'Grays Harbor Pgs 28-29'!J44+'Island Pgs 30-31'!J44+'Jefferson Pgs 32-33'!J44+'Kitsap Pgs 34-35'!J44+'Kittitas Pgs 36-37'!J44+'Klickitat Pgs 38-39'!J44+'Lewis Pgs 40-41'!J44+'Lincoln Pgs 42-43'!J44+'Mason Pgs 44-45'!J44+'Northeast Tri Pgs 46-47'!J44+'Okanogan Pgs 48-49'!J44+'Pacific Pgs 50-51'!J44+'San Juan Pgs 52-53'!J44+'Snohomish Pgs 60-61'!J44+'Spokane Pgs 62-63'!J44+'Tacoma-Pierce Pgs 64-65'!J44+'Thurston Pgs 66-67'!J44+'Wahkiakum Pgs 68-69'!J44+'Walla Walla Pgs 70-71'!J44+'Whatcom Pgs 72-73'!J44+'Whitman Pgs 74-75'!J44+'Yakima Pgs 76-77'!J44+'Seattle-King Pgs 54-55'!J44+'Skagit Pgs 56-57'!J44+'Skamania Pgs 58-59'!J44</f>
        <v>84670</v>
      </c>
      <c r="K44" s="229">
        <f>'Adams Pgs 8-9'!K44+'Asotin Pgs 10-11'!K44+'Benton-Franklin Pgs 12-13'!K44+'Chelan-Douglas Pgs 14-15'!K44+'Clallam Pgs 16-17'!K44+'Clark Pgs 18-19'!K44+'Columbia Pgs 20-21'!K44+'Cowlitz Pgs 22-23'!K44+'Garfield Pgs 24-25'!K44+'Grant Pgs 26-27'!K44+'Grays Harbor Pgs 28-29'!K44+'Island Pgs 30-31'!K44+'Jefferson Pgs 32-33'!K44+'Kitsap Pgs 34-35'!K44+'Kittitas Pgs 36-37'!K44+'Klickitat Pgs 38-39'!K44+'Lewis Pgs 40-41'!K44+'Lincoln Pgs 42-43'!K44+'Mason Pgs 44-45'!K44+'Northeast Tri Pgs 46-47'!K44+'Okanogan Pgs 48-49'!K44+'Pacific Pgs 50-51'!K44+'San Juan Pgs 52-53'!K44+'Skagit Pgs 56-57'!K44+'Skamania Pgs 58-59'!K44+'Snohomish Pgs 60-61'!K44+'Spokane Pgs 62-63'!K44+'Tacoma-Pierce Pgs 64-65'!K44+'Thurston Pgs 66-67'!K44+'Wahkiakum Pgs 68-69'!K44+'Walla Walla Pgs 70-71'!K44+'Whatcom Pgs 72-73'!K44+'Whitman Pgs 74-75'!K44+'Yakima Pgs 76-77'!K44+'Seattle-King Pgs 54-55'!K44</f>
        <v>1231864</v>
      </c>
      <c r="L44" s="223">
        <f t="shared" si="1"/>
        <v>8262426</v>
      </c>
    </row>
    <row r="45" spans="1:13" s="224" customFormat="1" ht="14.45" customHeight="1" x14ac:dyDescent="0.2">
      <c r="A45" s="214">
        <v>562.88</v>
      </c>
      <c r="B45" s="215" t="s">
        <v>50</v>
      </c>
      <c r="C45" s="216">
        <f>'Adams Pgs 8-9'!C45+'Asotin Pgs 10-11'!C45+'Benton-Franklin Pgs 12-13'!C45+'Chelan-Douglas Pgs 14-15'!C45+'Clallam Pgs 16-17'!C45+'Clark Pgs 18-19'!C45+'Columbia Pgs 20-21'!C45+'Cowlitz Pgs 22-23'!C45+'Garfield Pgs 24-25'!C45+'Grant Pgs 26-27'!C45+'Grays Harbor Pgs 28-29'!C45+'Island Pgs 30-31'!C45+'Jefferson Pgs 32-33'!C45+'Kitsap Pgs 34-35'!C45+'Kittitas Pgs 36-37'!C45+'Klickitat Pgs 38-39'!C45+'Lewis Pgs 40-41'!C45+'Lincoln Pgs 42-43'!C45+'Mason Pgs 44-45'!C45+'Northeast Tri Pgs 46-47'!C45+'Okanogan Pgs 48-49'!C45+'Pacific Pgs 50-51'!C45+'San Juan Pgs 52-53'!C45+'Skagit Pgs 56-57'!C45+'Skamania Pgs 58-59'!C45+'Snohomish Pgs 60-61'!C45+'Spokane Pgs 62-63'!C45+'Tacoma-Pierce Pgs 64-65'!C45+'Thurston Pgs 66-67'!C45+'Wahkiakum Pgs 68-69'!C45+'Walla Walla Pgs 70-71'!C45+'Whatcom Pgs 72-73'!C45+'Whitman Pgs 74-75'!C45+'Yakima Pgs 76-77'!C45+'Seattle-King Pgs 54-55'!C45</f>
        <v>225549</v>
      </c>
      <c r="D45" s="217">
        <f>'Adams Pgs 8-9'!D45+'Asotin Pgs 10-11'!D45+'Benton-Franklin Pgs 12-13'!D45+'Chelan-Douglas Pgs 14-15'!D45+'Clallam Pgs 16-17'!D45+'Clark Pgs 18-19'!D45+'Columbia Pgs 20-21'!D45+'Cowlitz Pgs 22-23'!D45+'Garfield Pgs 24-25'!D45+'Grant Pgs 26-27'!D45+'Grays Harbor Pgs 28-29'!D45+'Island Pgs 30-31'!D45+'Jefferson Pgs 32-33'!D45+'Kitsap Pgs 34-35'!D45+'Kittitas Pgs 36-37'!D45+'Klickitat Pgs 38-39'!D45+'Lewis Pgs 40-41'!D45+'Lincoln Pgs 42-43'!D45+'Mason Pgs 44-45'!D45+'Northeast Tri Pgs 46-47'!D45+'Okanogan Pgs 48-49'!D45+'Pacific Pgs 50-51'!D45+'San Juan Pgs 52-53'!D45+'Skagit Pgs 56-57'!D45+'Skamania Pgs 58-59'!D45+'Snohomish Pgs 60-61'!D45+'Spokane Pgs 62-63'!D45+'Tacoma-Pierce Pgs 64-65'!D45+'Thurston Pgs 66-67'!D45+'Wahkiakum Pgs 68-69'!D45+'Walla Walla Pgs 70-71'!D45+'Whatcom Pgs 72-73'!D45+'Whitman Pgs 74-75'!D45+'Yakima Pgs 76-77'!D45+'Seattle-King Pgs 54-55'!D45</f>
        <v>65912</v>
      </c>
      <c r="E45" s="226" t="s">
        <v>154</v>
      </c>
      <c r="F45" s="219">
        <f>'Adams Pgs 8-9'!F45+'Asotin Pgs 10-11'!F45+'Benton-Franklin Pgs 12-13'!F45+'Chelan-Douglas Pgs 14-15'!F45+'Clallam Pgs 16-17'!F45+'Clark Pgs 18-19'!F45+'Columbia Pgs 20-21'!F45+'Cowlitz Pgs 22-23'!F45+'Garfield Pgs 24-25'!F45+'Grant Pgs 26-27'!F45+'Grays Harbor Pgs 28-29'!F45+'Island Pgs 30-31'!F45+'Jefferson Pgs 32-33'!F45+'Kitsap Pgs 34-35'!F45+'Kittitas Pgs 36-37'!F45+'Klickitat Pgs 38-39'!F45+'Lewis Pgs 40-41'!F45+'Lincoln Pgs 42-43'!F45+'Mason Pgs 44-45'!F45+'Northeast Tri Pgs 46-47'!F45+'Okanogan Pgs 48-49'!F45+'Pacific Pgs 50-51'!F45+'San Juan Pgs 52-53'!F45+'Seattle-King Pgs 54-55'!F45+'Skagit Pgs 56-57'!F45+'Skamania Pgs 58-59'!F45+'Snohomish Pgs 60-61'!F45+'Spokane Pgs 62-63'!F45+'Tacoma-Pierce Pgs 64-65'!F45+'Thurston Pgs 66-67'!F45+'Wahkiakum Pgs 68-69'!F45+'Walla Walla Pgs 70-71'!F45+'Whatcom Pgs 72-73'!F45+'Whitman Pgs 74-75'!F45+'Yakima Pgs 76-77'!F45</f>
        <v>3106</v>
      </c>
      <c r="G45" s="220">
        <f>'Adams Pgs 8-9'!G45+'Asotin Pgs 10-11'!G45+'Benton-Franklin Pgs 12-13'!G45+'Chelan-Douglas Pgs 14-15'!G45+'Clallam Pgs 16-17'!G45+'Clark Pgs 18-19'!G45+'Columbia Pgs 20-21'!G45+'Cowlitz Pgs 22-23'!G45+'Garfield Pgs 24-25'!G45+'Grant Pgs 26-27'!G45+'Grays Harbor Pgs 28-29'!G45+'Island Pgs 30-31'!G45+'Jefferson Pgs 32-33'!G45+'Kitsap Pgs 34-35'!G45+'Kittitas Pgs 36-37'!G45+'Klickitat Pgs 38-39'!G45+'Lewis Pgs 40-41'!G45+'Lincoln Pgs 42-43'!G45+'Mason Pgs 44-45'!G45+'Northeast Tri Pgs 46-47'!G45+'Okanogan Pgs 48-49'!G45+'Pacific Pgs 50-51'!G45+'San Juan Pgs 52-53'!G45+'Skagit Pgs 56-57'!G45+'Skamania Pgs 58-59'!G45+'Snohomish Pgs 60-61'!G45+'Spokane Pgs 62-63'!G45+'Tacoma-Pierce Pgs 64-65'!G45+'Thurston Pgs 66-67'!G45+'Wahkiakum Pgs 68-69'!G45+'Walla Walla Pgs 70-71'!G45+'Whatcom Pgs 72-73'!G45+'Whitman Pgs 74-75'!G45+'Yakima Pgs 76-77'!G45+'Seattle-King Pgs 54-55'!G45</f>
        <v>252247</v>
      </c>
      <c r="H45" s="227" t="s">
        <v>154</v>
      </c>
      <c r="I45" s="221">
        <f>'Adams Pgs 8-9'!I45+'Asotin Pgs 10-11'!I45+'Benton-Franklin Pgs 12-13'!I45+'Chelan-Douglas Pgs 14-15'!I45+'Clallam Pgs 16-17'!I45+'Clark Pgs 18-19'!I45+'Columbia Pgs 20-21'!I45+'Cowlitz Pgs 22-23'!I45+'Garfield Pgs 24-25'!I45+'Grant Pgs 26-27'!I45+'Grays Harbor Pgs 28-29'!I45+'Island Pgs 30-31'!I45+'Jefferson Pgs 32-33'!I45+'Kitsap Pgs 34-35'!I45+'Kittitas Pgs 36-37'!I45+'Klickitat Pgs 38-39'!I45+'Lewis Pgs 40-41'!I45+'Lincoln Pgs 42-43'!I45+'Mason Pgs 44-45'!I45+'Northeast Tri Pgs 46-47'!I45+'Okanogan Pgs 48-49'!I45+'Pacific Pgs 50-51'!I45+'San Juan Pgs 52-53'!I45+'Skagit Pgs 56-57'!I45+'Skamania Pgs 58-59'!I45+'Snohomish Pgs 60-61'!I45+'Spokane Pgs 62-63'!I45+'Tacoma-Pierce Pgs 64-65'!I45+'Thurston Pgs 66-67'!I45+'Wahkiakum Pgs 68-69'!I45+'Walla Walla Pgs 70-71'!I45+'Whatcom Pgs 72-73'!I45+'Whitman Pgs 74-75'!I45+'Yakima Pgs 76-77'!I45+'Seattle-King Pgs 54-55'!I45</f>
        <v>7130721</v>
      </c>
      <c r="J45" s="217">
        <f>'Adams Pgs 8-9'!J45+'Asotin Pgs 10-11'!J45+'Benton-Franklin Pgs 12-13'!J45+'Chelan-Douglas Pgs 14-15'!J45+'Clallam Pgs 16-17'!J45+'Clark Pgs 18-19'!J45+'Columbia Pgs 20-21'!J45+'Cowlitz Pgs 22-23'!J45+'Garfield Pgs 24-25'!J45+'Grant Pgs 26-27'!J45+'Grays Harbor Pgs 28-29'!J45+'Island Pgs 30-31'!J45+'Jefferson Pgs 32-33'!J45+'Kitsap Pgs 34-35'!J45+'Kittitas Pgs 36-37'!J45+'Klickitat Pgs 38-39'!J45+'Lewis Pgs 40-41'!J45+'Lincoln Pgs 42-43'!J45+'Mason Pgs 44-45'!J45+'Northeast Tri Pgs 46-47'!J45+'Okanogan Pgs 48-49'!J45+'Pacific Pgs 50-51'!J45+'San Juan Pgs 52-53'!J45+'Snohomish Pgs 60-61'!J45+'Spokane Pgs 62-63'!J45+'Tacoma-Pierce Pgs 64-65'!J45+'Thurston Pgs 66-67'!J45+'Wahkiakum Pgs 68-69'!J45+'Walla Walla Pgs 70-71'!J45+'Whatcom Pgs 72-73'!J45+'Whitman Pgs 74-75'!J45+'Yakima Pgs 76-77'!J45+'Seattle-King Pgs 54-55'!J45+'Skagit Pgs 56-57'!J45+'Skamania Pgs 58-59'!J45</f>
        <v>53486</v>
      </c>
      <c r="K45" s="229">
        <f>'Adams Pgs 8-9'!K45+'Asotin Pgs 10-11'!K45+'Benton-Franklin Pgs 12-13'!K45+'Chelan-Douglas Pgs 14-15'!K45+'Clallam Pgs 16-17'!K45+'Clark Pgs 18-19'!K45+'Columbia Pgs 20-21'!K45+'Cowlitz Pgs 22-23'!K45+'Garfield Pgs 24-25'!K45+'Grant Pgs 26-27'!K45+'Grays Harbor Pgs 28-29'!K45+'Island Pgs 30-31'!K45+'Jefferson Pgs 32-33'!K45+'Kitsap Pgs 34-35'!K45+'Kittitas Pgs 36-37'!K45+'Klickitat Pgs 38-39'!K45+'Lewis Pgs 40-41'!K45+'Lincoln Pgs 42-43'!K45+'Mason Pgs 44-45'!K45+'Northeast Tri Pgs 46-47'!K45+'Okanogan Pgs 48-49'!K45+'Pacific Pgs 50-51'!K45+'San Juan Pgs 52-53'!K45+'Skagit Pgs 56-57'!K45+'Skamania Pgs 58-59'!K45+'Snohomish Pgs 60-61'!K45+'Spokane Pgs 62-63'!K45+'Tacoma-Pierce Pgs 64-65'!K45+'Thurston Pgs 66-67'!K45+'Wahkiakum Pgs 68-69'!K45+'Walla Walla Pgs 70-71'!K45+'Whatcom Pgs 72-73'!K45+'Whitman Pgs 74-75'!K45+'Yakima Pgs 76-77'!K45+'Seattle-King Pgs 54-55'!K45</f>
        <v>65573</v>
      </c>
      <c r="L45" s="223">
        <f t="shared" si="1"/>
        <v>7796594</v>
      </c>
    </row>
    <row r="46" spans="1:13" s="224" customFormat="1" ht="14.45" customHeight="1" x14ac:dyDescent="0.2">
      <c r="A46" s="214">
        <v>562.9</v>
      </c>
      <c r="B46" s="215" t="s">
        <v>27</v>
      </c>
      <c r="C46" s="216">
        <f>'Adams Pgs 8-9'!C46+'Asotin Pgs 10-11'!C46+'Benton-Franklin Pgs 12-13'!C46+'Chelan-Douglas Pgs 14-15'!C46+'Clallam Pgs 16-17'!C46+'Clark Pgs 18-19'!C46+'Columbia Pgs 20-21'!C46+'Cowlitz Pgs 22-23'!C46+'Garfield Pgs 24-25'!C46+'Grant Pgs 26-27'!C46+'Grays Harbor Pgs 28-29'!C46+'Island Pgs 30-31'!C46+'Jefferson Pgs 32-33'!C46+'Kitsap Pgs 34-35'!C46+'Kittitas Pgs 36-37'!C46+'Klickitat Pgs 38-39'!C46+'Lewis Pgs 40-41'!C46+'Lincoln Pgs 42-43'!C46+'Mason Pgs 44-45'!C46+'Northeast Tri Pgs 46-47'!C46+'Okanogan Pgs 48-49'!C46+'Pacific Pgs 50-51'!C46+'San Juan Pgs 52-53'!C46+'Skagit Pgs 56-57'!C46+'Skamania Pgs 58-59'!C46+'Snohomish Pgs 60-61'!C46+'Spokane Pgs 62-63'!C46+'Tacoma-Pierce Pgs 64-65'!C46+'Thurston Pgs 66-67'!C46+'Wahkiakum Pgs 68-69'!C46+'Walla Walla Pgs 70-71'!C46+'Whatcom Pgs 72-73'!C46+'Whitman Pgs 74-75'!C46+'Yakima Pgs 76-77'!C46+'Seattle-King Pgs 54-55'!C46</f>
        <v>872115</v>
      </c>
      <c r="D46" s="217">
        <f>'Adams Pgs 8-9'!D46+'Asotin Pgs 10-11'!D46+'Benton-Franklin Pgs 12-13'!D46+'Chelan-Douglas Pgs 14-15'!D46+'Clallam Pgs 16-17'!D46+'Clark Pgs 18-19'!D46+'Columbia Pgs 20-21'!D46+'Cowlitz Pgs 22-23'!D46+'Garfield Pgs 24-25'!D46+'Grant Pgs 26-27'!D46+'Grays Harbor Pgs 28-29'!D46+'Island Pgs 30-31'!D46+'Jefferson Pgs 32-33'!D46+'Kitsap Pgs 34-35'!D46+'Kittitas Pgs 36-37'!D46+'Klickitat Pgs 38-39'!D46+'Lewis Pgs 40-41'!D46+'Lincoln Pgs 42-43'!D46+'Mason Pgs 44-45'!D46+'Northeast Tri Pgs 46-47'!D46+'Okanogan Pgs 48-49'!D46+'Pacific Pgs 50-51'!D46+'San Juan Pgs 52-53'!D46+'Skagit Pgs 56-57'!D46+'Skamania Pgs 58-59'!D46+'Snohomish Pgs 60-61'!D46+'Spokane Pgs 62-63'!D46+'Tacoma-Pierce Pgs 64-65'!D46+'Thurston Pgs 66-67'!D46+'Wahkiakum Pgs 68-69'!D46+'Walla Walla Pgs 70-71'!D46+'Whatcom Pgs 72-73'!D46+'Whitman Pgs 74-75'!D46+'Yakima Pgs 76-77'!D46+'Seattle-King Pgs 54-55'!D46</f>
        <v>812793</v>
      </c>
      <c r="E46" s="226" t="s">
        <v>154</v>
      </c>
      <c r="F46" s="227" t="s">
        <v>154</v>
      </c>
      <c r="G46" s="220">
        <f>'Adams Pgs 8-9'!G46+'Asotin Pgs 10-11'!G46+'Benton-Franklin Pgs 12-13'!G46+'Chelan-Douglas Pgs 14-15'!G46+'Clallam Pgs 16-17'!G46+'Clark Pgs 18-19'!G46+'Columbia Pgs 20-21'!G46+'Cowlitz Pgs 22-23'!G46+'Garfield Pgs 24-25'!G46+'Grant Pgs 26-27'!G46+'Grays Harbor Pgs 28-29'!G46+'Island Pgs 30-31'!G46+'Jefferson Pgs 32-33'!G46+'Kitsap Pgs 34-35'!G46+'Kittitas Pgs 36-37'!G46+'Klickitat Pgs 38-39'!G46+'Lewis Pgs 40-41'!G46+'Lincoln Pgs 42-43'!G46+'Mason Pgs 44-45'!G46+'Northeast Tri Pgs 46-47'!G46+'Okanogan Pgs 48-49'!G46+'Pacific Pgs 50-51'!G46+'San Juan Pgs 52-53'!G46+'Skagit Pgs 56-57'!G46+'Skamania Pgs 58-59'!G46+'Snohomish Pgs 60-61'!G46+'Spokane Pgs 62-63'!G46+'Tacoma-Pierce Pgs 64-65'!G46+'Thurston Pgs 66-67'!G46+'Wahkiakum Pgs 68-69'!G46+'Walla Walla Pgs 70-71'!G46+'Whatcom Pgs 72-73'!G46+'Whitman Pgs 74-75'!G46+'Yakima Pgs 76-77'!G46+'Seattle-King Pgs 54-55'!G46</f>
        <v>137693</v>
      </c>
      <c r="H46" s="219">
        <f>'Adams Pgs 8-9'!H46+'Asotin Pgs 10-11'!H46+'Benton-Franklin Pgs 12-13'!H46+'Chelan-Douglas Pgs 14-15'!H46+'Clallam Pgs 16-17'!H46+'Clark Pgs 18-19'!H46+'Columbia Pgs 20-21'!H46+'Cowlitz Pgs 22-23'!H46+'Garfield Pgs 24-25'!H46+'Grant Pgs 26-27'!H46+'Grays Harbor Pgs 28-29'!H46+'Island Pgs 30-31'!H46+'Jefferson Pgs 32-33'!H46+'Kitsap Pgs 34-35'!H46+'Kittitas Pgs 36-37'!H46+'Klickitat Pgs 38-39'!H46+'Lewis Pgs 40-41'!H46+'Lincoln Pgs 42-43'!H46+'Mason Pgs 44-45'!H46+'Northeast Tri Pgs 46-47'!H46+'Okanogan Pgs 48-49'!H46+'Pacific Pgs 50-51'!H46+'San Juan Pgs 52-53'!H46+'Skagit Pgs 56-57'!H46+'Skamania Pgs 58-59'!H46+'Snohomish Pgs 60-61'!H46+'Spokane Pgs 62-63'!H46+'Tacoma-Pierce Pgs 64-65'!H46+'Thurston Pgs 66-67'!H46+'Wahkiakum Pgs 68-69'!H46+'Walla Walla Pgs 70-71'!H46+'Whatcom Pgs 72-73'!H46+'Whitman Pgs 74-75'!H46+'Yakima Pgs 76-77'!H46+'Seattle-King Pgs 54-55'!H46</f>
        <v>4674</v>
      </c>
      <c r="I46" s="221">
        <f>'Adams Pgs 8-9'!I46+'Asotin Pgs 10-11'!I46+'Benton-Franklin Pgs 12-13'!I46+'Chelan-Douglas Pgs 14-15'!I46+'Clallam Pgs 16-17'!I46+'Clark Pgs 18-19'!I46+'Columbia Pgs 20-21'!I46+'Cowlitz Pgs 22-23'!I46+'Garfield Pgs 24-25'!I46+'Grant Pgs 26-27'!I46+'Grays Harbor Pgs 28-29'!I46+'Island Pgs 30-31'!I46+'Jefferson Pgs 32-33'!I46+'Kitsap Pgs 34-35'!I46+'Kittitas Pgs 36-37'!I46+'Klickitat Pgs 38-39'!I46+'Lewis Pgs 40-41'!I46+'Lincoln Pgs 42-43'!I46+'Mason Pgs 44-45'!I46+'Northeast Tri Pgs 46-47'!I46+'Okanogan Pgs 48-49'!I46+'Pacific Pgs 50-51'!I46+'San Juan Pgs 52-53'!I46+'Skagit Pgs 56-57'!I46+'Skamania Pgs 58-59'!I46+'Snohomish Pgs 60-61'!I46+'Spokane Pgs 62-63'!I46+'Tacoma-Pierce Pgs 64-65'!I46+'Thurston Pgs 66-67'!I46+'Wahkiakum Pgs 68-69'!I46+'Walla Walla Pgs 70-71'!I46+'Whatcom Pgs 72-73'!I46+'Whitman Pgs 74-75'!I46+'Yakima Pgs 76-77'!I46+'Seattle-King Pgs 54-55'!I46</f>
        <v>71891</v>
      </c>
      <c r="J46" s="217">
        <f>'Adams Pgs 8-9'!J46+'Asotin Pgs 10-11'!J46+'Benton-Franklin Pgs 12-13'!J46+'Chelan-Douglas Pgs 14-15'!J46+'Clallam Pgs 16-17'!J46+'Clark Pgs 18-19'!J46+'Columbia Pgs 20-21'!J46+'Cowlitz Pgs 22-23'!J46+'Garfield Pgs 24-25'!J46+'Grant Pgs 26-27'!J46+'Grays Harbor Pgs 28-29'!J46+'Island Pgs 30-31'!J46+'Jefferson Pgs 32-33'!J46+'Kitsap Pgs 34-35'!J46+'Kittitas Pgs 36-37'!J46+'Klickitat Pgs 38-39'!J46+'Lewis Pgs 40-41'!J46+'Lincoln Pgs 42-43'!J46+'Mason Pgs 44-45'!J46+'Northeast Tri Pgs 46-47'!J46+'Okanogan Pgs 48-49'!J46+'Pacific Pgs 50-51'!J46+'San Juan Pgs 52-53'!J46+'Snohomish Pgs 60-61'!J46+'Spokane Pgs 62-63'!J46+'Tacoma-Pierce Pgs 64-65'!J46+'Thurston Pgs 66-67'!J46+'Wahkiakum Pgs 68-69'!J46+'Walla Walla Pgs 70-71'!J46+'Whatcom Pgs 72-73'!J46+'Whitman Pgs 74-75'!J46+'Yakima Pgs 76-77'!J46+'Seattle-King Pgs 54-55'!J46+'Skagit Pgs 56-57'!J46+'Skamania Pgs 58-59'!J46</f>
        <v>156379</v>
      </c>
      <c r="K46" s="233">
        <f>'Adams Pgs 8-9'!K46+'Asotin Pgs 10-11'!K46+'Benton-Franklin Pgs 12-13'!K46+'Chelan-Douglas Pgs 14-15'!K46+'Clallam Pgs 16-17'!K46+'Clark Pgs 18-19'!K46+'Columbia Pgs 20-21'!K46+'Cowlitz Pgs 22-23'!K46+'Garfield Pgs 24-25'!K46+'Grant Pgs 26-27'!K46+'Grays Harbor Pgs 28-29'!K46+'Island Pgs 30-31'!K46+'Jefferson Pgs 32-33'!K46+'Kitsap Pgs 34-35'!K46+'Kittitas Pgs 36-37'!K46+'Klickitat Pgs 38-39'!K46+'Lewis Pgs 40-41'!K46+'Lincoln Pgs 42-43'!K46+'Mason Pgs 44-45'!K46+'Northeast Tri Pgs 46-47'!K46+'Okanogan Pgs 48-49'!K46+'Pacific Pgs 50-51'!K46+'San Juan Pgs 52-53'!K46+'Skagit Pgs 56-57'!K46+'Skamania Pgs 58-59'!K46+'Snohomish Pgs 60-61'!K46+'Spokane Pgs 62-63'!K46+'Tacoma-Pierce Pgs 64-65'!K46+'Thurston Pgs 66-67'!K46+'Wahkiakum Pgs 68-69'!K46+'Walla Walla Pgs 70-71'!K46+'Whatcom Pgs 72-73'!K46+'Whitman Pgs 74-75'!K46+'Yakima Pgs 76-77'!K46+'Seattle-King Pgs 54-55'!K46</f>
        <v>11986</v>
      </c>
      <c r="L46" s="223">
        <f t="shared" si="1"/>
        <v>2067531</v>
      </c>
    </row>
    <row r="47" spans="1:13" s="224" customFormat="1" ht="14.45" customHeight="1" thickBot="1" x14ac:dyDescent="0.25">
      <c r="A47" s="214">
        <v>562.99</v>
      </c>
      <c r="B47" s="215" t="s">
        <v>28</v>
      </c>
      <c r="C47" s="216">
        <f>'Adams Pgs 8-9'!C47+'Asotin Pgs 10-11'!C47+'Benton-Franklin Pgs 12-13'!C47+'Chelan-Douglas Pgs 14-15'!C47+'Clallam Pgs 16-17'!C47+'Clark Pgs 18-19'!C47+'Columbia Pgs 20-21'!C47+'Cowlitz Pgs 22-23'!C47+'Garfield Pgs 24-25'!C47+'Grant Pgs 26-27'!C47+'Grays Harbor Pgs 28-29'!C47+'Island Pgs 30-31'!C47+'Jefferson Pgs 32-33'!C47+'Kitsap Pgs 34-35'!C47+'Kittitas Pgs 36-37'!C47+'Klickitat Pgs 38-39'!C47+'Lewis Pgs 40-41'!C47+'Lincoln Pgs 42-43'!C47+'Mason Pgs 44-45'!C47+'Northeast Tri Pgs 46-47'!C47+'Okanogan Pgs 48-49'!C47+'Pacific Pgs 50-51'!C47+'San Juan Pgs 52-53'!C47+'Skagit Pgs 56-57'!C47+'Skamania Pgs 58-59'!C47+'Snohomish Pgs 60-61'!C47+'Spokane Pgs 62-63'!C47+'Tacoma-Pierce Pgs 64-65'!C47+'Thurston Pgs 66-67'!C47+'Wahkiakum Pgs 68-69'!C47+'Walla Walla Pgs 70-71'!C47+'Whatcom Pgs 72-73'!C47+'Whitman Pgs 74-75'!C47+'Yakima Pgs 76-77'!C47+'Seattle-King Pgs 54-55'!C47</f>
        <v>39973</v>
      </c>
      <c r="D47" s="225" t="s">
        <v>154</v>
      </c>
      <c r="E47" s="226" t="s">
        <v>154</v>
      </c>
      <c r="F47" s="219">
        <f>'Adams Pgs 8-9'!F47+'Asotin Pgs 10-11'!F47+'Benton-Franklin Pgs 12-13'!F47+'Chelan-Douglas Pgs 14-15'!F47+'Clallam Pgs 16-17'!F47+'Clark Pgs 18-19'!F47+'Columbia Pgs 20-21'!F47+'Cowlitz Pgs 22-23'!F47+'Garfield Pgs 24-25'!F47+'Grant Pgs 26-27'!F47+'Grays Harbor Pgs 28-29'!F47+'Island Pgs 30-31'!F47+'Jefferson Pgs 32-33'!F47+'Kitsap Pgs 34-35'!F47+'Kittitas Pgs 36-37'!F47+'Klickitat Pgs 38-39'!F47+'Lewis Pgs 40-41'!F47+'Lincoln Pgs 42-43'!F47+'Mason Pgs 44-45'!F47+'Northeast Tri Pgs 46-47'!F47+'Okanogan Pgs 48-49'!F47+'Pacific Pgs 50-51'!F47+'San Juan Pgs 52-53'!F47+'Seattle-King Pgs 54-55'!F47+'Skagit Pgs 56-57'!F47+'Skamania Pgs 58-59'!F47+'Snohomish Pgs 60-61'!F47+'Spokane Pgs 62-63'!F47+'Tacoma-Pierce Pgs 64-65'!F47+'Thurston Pgs 66-67'!F47+'Wahkiakum Pgs 68-69'!F47+'Walla Walla Pgs 70-71'!F47+'Whatcom Pgs 72-73'!F47+'Whitman Pgs 74-75'!F47+'Yakima Pgs 76-77'!F47</f>
        <v>920</v>
      </c>
      <c r="G47" s="220">
        <f>'Adams Pgs 8-9'!G47+'Asotin Pgs 10-11'!G47+'Benton-Franklin Pgs 12-13'!G47+'Chelan-Douglas Pgs 14-15'!G47+'Clallam Pgs 16-17'!G47+'Clark Pgs 18-19'!G47+'Columbia Pgs 20-21'!G47+'Cowlitz Pgs 22-23'!G47+'Garfield Pgs 24-25'!G47+'Grant Pgs 26-27'!G47+'Grays Harbor Pgs 28-29'!G47+'Island Pgs 30-31'!G47+'Jefferson Pgs 32-33'!G47+'Kitsap Pgs 34-35'!G47+'Kittitas Pgs 36-37'!G47+'Klickitat Pgs 38-39'!G47+'Lewis Pgs 40-41'!G47+'Lincoln Pgs 42-43'!G47+'Mason Pgs 44-45'!G47+'Northeast Tri Pgs 46-47'!G47+'Okanogan Pgs 48-49'!G47+'Pacific Pgs 50-51'!G47+'San Juan Pgs 52-53'!G47+'Skagit Pgs 56-57'!G47+'Skamania Pgs 58-59'!G47+'Snohomish Pgs 60-61'!G47+'Spokane Pgs 62-63'!G47+'Tacoma-Pierce Pgs 64-65'!G47+'Thurston Pgs 66-67'!G47+'Wahkiakum Pgs 68-69'!G47+'Walla Walla Pgs 70-71'!G47+'Whatcom Pgs 72-73'!G47+'Whitman Pgs 74-75'!G47+'Yakima Pgs 76-77'!G47+'Seattle-King Pgs 54-55'!G47</f>
        <v>5462</v>
      </c>
      <c r="H47" s="227" t="s">
        <v>154</v>
      </c>
      <c r="I47" s="228" t="s">
        <v>154</v>
      </c>
      <c r="J47" s="217">
        <f>'Adams Pgs 8-9'!J47+'Asotin Pgs 10-11'!J47+'Benton-Franklin Pgs 12-13'!J47+'Chelan-Douglas Pgs 14-15'!J47+'Clallam Pgs 16-17'!J47+'Clark Pgs 18-19'!J47+'Columbia Pgs 20-21'!J47+'Cowlitz Pgs 22-23'!J47+'Garfield Pgs 24-25'!J47+'Grant Pgs 26-27'!J47+'Grays Harbor Pgs 28-29'!J47+'Island Pgs 30-31'!J47+'Jefferson Pgs 32-33'!J47+'Kitsap Pgs 34-35'!J47+'Kittitas Pgs 36-37'!J47+'Klickitat Pgs 38-39'!J47+'Lewis Pgs 40-41'!J47+'Lincoln Pgs 42-43'!J47+'Mason Pgs 44-45'!J47+'Northeast Tri Pgs 46-47'!J47+'Okanogan Pgs 48-49'!J47+'Pacific Pgs 50-51'!J47+'San Juan Pgs 52-53'!J47+'Snohomish Pgs 60-61'!J47+'Spokane Pgs 62-63'!J47+'Tacoma-Pierce Pgs 64-65'!J47+'Thurston Pgs 66-67'!J47+'Wahkiakum Pgs 68-69'!J47+'Walla Walla Pgs 70-71'!J47+'Whatcom Pgs 72-73'!J47+'Whitman Pgs 74-75'!J47+'Yakima Pgs 76-77'!J47+'Seattle-King Pgs 54-55'!J47+'Skagit Pgs 56-57'!J47+'Skamania Pgs 58-59'!J47</f>
        <v>9881</v>
      </c>
      <c r="K47" s="229" t="s">
        <v>154</v>
      </c>
      <c r="L47" s="223">
        <f t="shared" si="1"/>
        <v>56236</v>
      </c>
    </row>
    <row r="48" spans="1:13" ht="15.75" customHeight="1" thickBot="1" x14ac:dyDescent="0.3">
      <c r="A48" s="153" t="s">
        <v>63</v>
      </c>
      <c r="B48" s="154" t="s">
        <v>29</v>
      </c>
      <c r="C48" s="155">
        <f t="shared" ref="C48:J48" si="2">SUM(C5:C47)</f>
        <v>117199413</v>
      </c>
      <c r="D48" s="111">
        <f t="shared" si="2"/>
        <v>120482574</v>
      </c>
      <c r="E48" s="156">
        <f t="shared" si="2"/>
        <v>10179585</v>
      </c>
      <c r="F48" s="112">
        <f>SUM(F5:F47)</f>
        <v>3487275</v>
      </c>
      <c r="G48" s="157">
        <f t="shared" si="2"/>
        <v>35865521</v>
      </c>
      <c r="H48" s="112">
        <f t="shared" si="2"/>
        <v>12509450</v>
      </c>
      <c r="I48" s="158">
        <f t="shared" si="2"/>
        <v>41676801</v>
      </c>
      <c r="J48" s="111">
        <f t="shared" si="2"/>
        <v>31017227</v>
      </c>
      <c r="K48" s="159">
        <f>SUM(K5:K47)</f>
        <v>12462194</v>
      </c>
      <c r="L48" s="160">
        <f>SUM(C48:K48)</f>
        <v>384880040</v>
      </c>
      <c r="M48" s="11"/>
    </row>
    <row r="49" spans="1:13" ht="15.75" customHeight="1" x14ac:dyDescent="0.25">
      <c r="A49" s="161">
        <v>523</v>
      </c>
      <c r="B49" s="162" t="s">
        <v>30</v>
      </c>
      <c r="C49" s="163" t="s">
        <v>154</v>
      </c>
      <c r="D49" s="164" t="s">
        <v>154</v>
      </c>
      <c r="E49" s="165" t="s">
        <v>154</v>
      </c>
      <c r="F49" s="166" t="s">
        <v>154</v>
      </c>
      <c r="G49" s="167" t="s">
        <v>154</v>
      </c>
      <c r="H49" s="166" t="s">
        <v>154</v>
      </c>
      <c r="I49" s="168" t="s">
        <v>154</v>
      </c>
      <c r="J49" s="169">
        <f>'Adams Pgs 8-9'!J49+'Asotin Pgs 10-11'!J49+'Benton-Franklin Pgs 12-13'!J49+'Chelan-Douglas Pgs 14-15'!J49+'Clallam Pgs 16-17'!J49+'Clark Pgs 18-19'!J49+'Columbia Pgs 20-21'!J49+'Cowlitz Pgs 22-23'!J49+'Garfield Pgs 24-25'!J49+'Grant Pgs 26-27'!J49+'Grays Harbor Pgs 28-29'!J49+'Island Pgs 30-31'!J49+'Jefferson Pgs 32-33'!J49+'Kitsap Pgs 34-35'!J49+'Kittitas Pgs 36-37'!J49+'Klickitat Pgs 38-39'!J49+'Lewis Pgs 40-41'!J49+'Lincoln Pgs 42-43'!J49+'Mason Pgs 44-45'!J49+'Northeast Tri Pgs 46-47'!J49+'Okanogan Pgs 48-49'!J49+'Pacific Pgs 50-51'!J49+'San Juan Pgs 52-53'!J49+'Skagit Pgs 56-57'!J49+'Skamania Pgs 58-59'!J49+'Snohomish Pgs 60-61'!J49+'Spokane Pgs 62-63'!J49+'Tacoma-Pierce Pgs 64-65'!J49+'Thurston Pgs 66-67'!J49+'Wahkiakum Pgs 68-69'!J49+'Walla Walla Pgs 70-71'!J49+'Whatcom Pgs 72-73'!J49+'Whitman Pgs 74-75'!J49+'Yakima Pgs 76-77'!J49+'Seattle-King Pgs 54-55'!J49</f>
        <v>4215</v>
      </c>
      <c r="K49" s="166" t="s">
        <v>154</v>
      </c>
      <c r="L49" s="170">
        <f t="shared" ref="L49:L59" si="3">SUM(C49:K49)</f>
        <v>4215</v>
      </c>
      <c r="M49" s="11"/>
    </row>
    <row r="50" spans="1:13" ht="15.75" customHeight="1" x14ac:dyDescent="0.25">
      <c r="A50" s="90">
        <v>526</v>
      </c>
      <c r="B50" s="171" t="s">
        <v>31</v>
      </c>
      <c r="C50" s="144">
        <f>'Adams Pgs 8-9'!C50+'Asotin Pgs 10-11'!C50+'Benton-Franklin Pgs 12-13'!C50+'Chelan-Douglas Pgs 14-15'!C50+'Clallam Pgs 16-17'!C50+'Clark Pgs 18-19'!C50+'Columbia Pgs 20-21'!C50+'Cowlitz Pgs 22-23'!C50+'Garfield Pgs 24-25'!C50+'Grant Pgs 26-27'!C50+'Grays Harbor Pgs 28-29'!C50+'Island Pgs 30-31'!C50+'Jefferson Pgs 32-33'!C50+'Kitsap Pgs 34-35'!C50+'Kittitas Pgs 36-37'!C50+'Klickitat Pgs 38-39'!C50+'Lewis Pgs 40-41'!C50+'Lincoln Pgs 42-43'!C50+'Mason Pgs 44-45'!C50+'Northeast Tri Pgs 46-47'!C50+'Okanogan Pgs 48-49'!C50+'Pacific Pgs 50-51'!C50+'San Juan Pgs 52-53'!C50+'Skagit Pgs 56-57'!C50+'Skamania Pgs 58-59'!C50+'Snohomish Pgs 60-61'!C50+'Spokane Pgs 62-63'!C50+'Tacoma-Pierce Pgs 64-65'!C50+'Thurston Pgs 66-67'!C50+'Wahkiakum Pgs 68-69'!C50+'Walla Walla Pgs 70-71'!C50+'Whatcom Pgs 72-73'!C50+'Whitman Pgs 74-75'!C50+'Yakima Pgs 76-77'!C50+'Seattle-King Pgs 54-55'!C50</f>
        <v>-34859</v>
      </c>
      <c r="D50" s="94">
        <f>'Adams Pgs 8-9'!D50+'Asotin Pgs 10-11'!D50+'Benton-Franklin Pgs 12-13'!D50+'Chelan-Douglas Pgs 14-15'!D50+'Clallam Pgs 16-17'!D50+'Clark Pgs 18-19'!D50+'Columbia Pgs 20-21'!D50+'Cowlitz Pgs 22-23'!D50+'Garfield Pgs 24-25'!D50+'Grant Pgs 26-27'!D50+'Grays Harbor Pgs 28-29'!D50+'Island Pgs 30-31'!D50+'Jefferson Pgs 32-33'!D50+'Kitsap Pgs 34-35'!D50+'Kittitas Pgs 36-37'!D50+'Klickitat Pgs 38-39'!D50+'Lewis Pgs 40-41'!D50+'Lincoln Pgs 42-43'!D50+'Mason Pgs 44-45'!D50+'Northeast Tri Pgs 46-47'!D50+'Okanogan Pgs 48-49'!D50+'Pacific Pgs 50-51'!D50+'San Juan Pgs 52-53'!D50+'Skagit Pgs 56-57'!D50+'Skamania Pgs 58-59'!D50+'Snohomish Pgs 60-61'!D50+'Spokane Pgs 62-63'!D50+'Tacoma-Pierce Pgs 64-65'!D50+'Thurston Pgs 66-67'!D50+'Wahkiakum Pgs 68-69'!D50+'Walla Walla Pgs 70-71'!D50+'Whatcom Pgs 72-73'!D50+'Whitman Pgs 74-75'!D50+'Yakima Pgs 76-77'!D50+'Seattle-King Pgs 54-55'!D50</f>
        <v>335721</v>
      </c>
      <c r="E50" s="145">
        <f>'Adams Pgs 8-9'!E50+'Asotin Pgs 10-11'!E50+'Benton-Franklin Pgs 12-13'!E50+'Chelan-Douglas Pgs 14-15'!E50+'Clallam Pgs 16-17'!E50+'Clark Pgs 18-19'!E50+'Columbia Pgs 20-21'!E50+'Cowlitz Pgs 22-23'!E50+'Garfield Pgs 24-25'!E50+'Grant Pgs 26-27'!E50+'Grays Harbor Pgs 28-29'!E50+'Island Pgs 30-31'!E50+'Jefferson Pgs 32-33'!E50+'Kitsap Pgs 34-35'!E50+'Kittitas Pgs 36-37'!E50+'Klickitat Pgs 38-39'!E50+'Lewis Pgs 40-41'!E50+'Lincoln Pgs 42-43'!E50+'Mason Pgs 44-45'!E50+'Northeast Tri Pgs 46-47'!E50+'Okanogan Pgs 48-49'!E50+'Pacific Pgs 50-51'!E50+'San Juan Pgs 52-53'!E50+'Skagit Pgs 56-57'!E50+'Skamania Pgs 58-59'!E50+'Snohomish Pgs 60-61'!E50+'Spokane Pgs 62-63'!E50+'Tacoma-Pierce Pgs 64-65'!E50+'Thurston Pgs 66-67'!E50+'Wahkiakum Pgs 68-69'!E50+'Walla Walla Pgs 70-71'!E50+'Whatcom Pgs 72-73'!E50+'Whitman Pgs 74-75'!E50+'Yakima Pgs 76-77'!E50+'Seattle-King Pgs 54-55'!E50</f>
        <v>1270</v>
      </c>
      <c r="F50" s="149" t="s">
        <v>154</v>
      </c>
      <c r="G50" s="151" t="s">
        <v>154</v>
      </c>
      <c r="H50" s="95">
        <f>'Adams Pgs 8-9'!H50+'Asotin Pgs 10-11'!H50+'Benton-Franklin Pgs 12-13'!H50+'Chelan-Douglas Pgs 14-15'!H50+'Clallam Pgs 16-17'!H50+'Clark Pgs 18-19'!H50+'Columbia Pgs 20-21'!H50+'Cowlitz Pgs 22-23'!H50+'Garfield Pgs 24-25'!H50+'Grant Pgs 26-27'!H50+'Grays Harbor Pgs 28-29'!H50+'Island Pgs 30-31'!H50+'Jefferson Pgs 32-33'!H50+'Kitsap Pgs 34-35'!H50+'Kittitas Pgs 36-37'!H50+'Klickitat Pgs 38-39'!H50+'Lewis Pgs 40-41'!H50+'Lincoln Pgs 42-43'!H50+'Mason Pgs 44-45'!H50+'Northeast Tri Pgs 46-47'!H50+'Okanogan Pgs 48-49'!H50+'Pacific Pgs 50-51'!H50+'San Juan Pgs 52-53'!H50+'Skagit Pgs 56-57'!H50+'Skamania Pgs 58-59'!H50+'Snohomish Pgs 60-61'!H50+'Spokane Pgs 62-63'!H50+'Tacoma-Pierce Pgs 64-65'!H50+'Thurston Pgs 66-67'!H50+'Wahkiakum Pgs 68-69'!H50+'Walla Walla Pgs 70-71'!H50+'Whatcom Pgs 72-73'!H50+'Whitman Pgs 74-75'!H50+'Yakima Pgs 76-77'!H50+'Seattle-King Pgs 54-55'!H50</f>
        <v>48369</v>
      </c>
      <c r="I50" s="150" t="s">
        <v>154</v>
      </c>
      <c r="J50" s="99" t="s">
        <v>154</v>
      </c>
      <c r="K50" s="95">
        <f>'Adams Pgs 8-9'!K50+'Asotin Pgs 10-11'!K50+'Benton-Franklin Pgs 12-13'!K50+'Chelan-Douglas Pgs 14-15'!K50+'Clallam Pgs 16-17'!K50+'Clark Pgs 18-19'!K50+'Columbia Pgs 20-21'!K50+'Cowlitz Pgs 22-23'!K50+'Garfield Pgs 24-25'!K50+'Grant Pgs 26-27'!K50+'Grays Harbor Pgs 28-29'!K50+'Island Pgs 30-31'!K50+'Jefferson Pgs 32-33'!K50+'Kitsap Pgs 34-35'!K50+'Kittitas Pgs 36-37'!K50+'Klickitat Pgs 38-39'!K50+'Lewis Pgs 40-41'!K50+'Lincoln Pgs 42-43'!K50+'Mason Pgs 44-45'!K50+'Northeast Tri Pgs 46-47'!K50+'Okanogan Pgs 48-49'!K50+'Pacific Pgs 50-51'!K50+'San Juan Pgs 52-53'!K50+'Skagit Pgs 56-57'!K50+'Skamania Pgs 58-59'!K50+'Snohomish Pgs 60-61'!K50+'Spokane Pgs 62-63'!K50+'Tacoma-Pierce Pgs 64-65'!K50+'Thurston Pgs 66-67'!K50+'Wahkiakum Pgs 68-69'!K50+'Walla Walla Pgs 70-71'!K50+'Whatcom Pgs 72-73'!K50+'Whitman Pgs 74-75'!K50+'Yakima Pgs 76-77'!K50+'Seattle-King Pgs 54-55'!K50</f>
        <v>111286</v>
      </c>
      <c r="L50" s="119">
        <f t="shared" si="3"/>
        <v>461787</v>
      </c>
      <c r="M50" s="11"/>
    </row>
    <row r="51" spans="1:13" ht="15.75" customHeight="1" x14ac:dyDescent="0.25">
      <c r="A51" s="90">
        <v>527.70000000000005</v>
      </c>
      <c r="B51" s="171" t="s">
        <v>32</v>
      </c>
      <c r="C51" s="152" t="s">
        <v>154</v>
      </c>
      <c r="D51" s="94">
        <f>'Adams Pgs 8-9'!D51+'Asotin Pgs 10-11'!D51+'Benton-Franklin Pgs 12-13'!D51+'Chelan-Douglas Pgs 14-15'!D51+'Clallam Pgs 16-17'!D51+'Clark Pgs 18-19'!D51+'Columbia Pgs 20-21'!D51+'Cowlitz Pgs 22-23'!D51+'Garfield Pgs 24-25'!D51+'Grant Pgs 26-27'!D51+'Grays Harbor Pgs 28-29'!D51+'Island Pgs 30-31'!D51+'Jefferson Pgs 32-33'!D51+'Kitsap Pgs 34-35'!D51+'Kittitas Pgs 36-37'!D51+'Klickitat Pgs 38-39'!D51+'Lewis Pgs 40-41'!D51+'Lincoln Pgs 42-43'!D51+'Mason Pgs 44-45'!D51+'Northeast Tri Pgs 46-47'!D51+'Okanogan Pgs 48-49'!D51+'Pacific Pgs 50-51'!D51+'San Juan Pgs 52-53'!D51+'Skagit Pgs 56-57'!D51+'Skamania Pgs 58-59'!D51+'Snohomish Pgs 60-61'!D51+'Spokane Pgs 62-63'!D51+'Tacoma-Pierce Pgs 64-65'!D51+'Thurston Pgs 66-67'!D51+'Wahkiakum Pgs 68-69'!D51+'Walla Walla Pgs 70-71'!D51+'Whatcom Pgs 72-73'!D51+'Whitman Pgs 74-75'!D51+'Yakima Pgs 76-77'!D51+'Seattle-King Pgs 54-55'!D51</f>
        <v>1809</v>
      </c>
      <c r="E51" s="148" t="s">
        <v>154</v>
      </c>
      <c r="F51" s="149" t="s">
        <v>154</v>
      </c>
      <c r="G51" s="151" t="s">
        <v>154</v>
      </c>
      <c r="H51" s="149" t="s">
        <v>154</v>
      </c>
      <c r="I51" s="150" t="s">
        <v>154</v>
      </c>
      <c r="J51" s="99" t="s">
        <v>154</v>
      </c>
      <c r="K51" s="95">
        <f>'Adams Pgs 8-9'!K51+'Asotin Pgs 10-11'!K51+'Benton-Franklin Pgs 12-13'!K51+'Chelan-Douglas Pgs 14-15'!K51+'Clallam Pgs 16-17'!K51+'Clark Pgs 18-19'!K51+'Columbia Pgs 20-21'!K51+'Cowlitz Pgs 22-23'!K51+'Garfield Pgs 24-25'!K51+'Grant Pgs 26-27'!K51+'Grays Harbor Pgs 28-29'!K51+'Island Pgs 30-31'!K51+'Jefferson Pgs 32-33'!K51+'Kitsap Pgs 34-35'!K51+'Kittitas Pgs 36-37'!K51+'Klickitat Pgs 38-39'!K51+'Lewis Pgs 40-41'!K51+'Lincoln Pgs 42-43'!K51+'Mason Pgs 44-45'!K51+'Northeast Tri Pgs 46-47'!K51+'Okanogan Pgs 48-49'!K51+'Pacific Pgs 50-51'!K51+'San Juan Pgs 52-53'!K51+'Skagit Pgs 56-57'!K51+'Skamania Pgs 58-59'!K51+'Snohomish Pgs 60-61'!K51+'Spokane Pgs 62-63'!K51+'Tacoma-Pierce Pgs 64-65'!K51+'Thurston Pgs 66-67'!K51+'Wahkiakum Pgs 68-69'!K51+'Walla Walla Pgs 70-71'!K51+'Whatcom Pgs 72-73'!K51+'Whitman Pgs 74-75'!K51+'Yakima Pgs 76-77'!K51+'Seattle-King Pgs 54-55'!K51</f>
        <v>14400</v>
      </c>
      <c r="L51" s="119">
        <f t="shared" si="3"/>
        <v>16209</v>
      </c>
      <c r="M51" s="11"/>
    </row>
    <row r="52" spans="1:13" ht="15.75" customHeight="1" x14ac:dyDescent="0.25">
      <c r="A52" s="90">
        <v>551.20000000000005</v>
      </c>
      <c r="B52" s="171" t="s">
        <v>33</v>
      </c>
      <c r="C52" s="152" t="s">
        <v>154</v>
      </c>
      <c r="D52" s="99" t="s">
        <v>154</v>
      </c>
      <c r="E52" s="148" t="s">
        <v>154</v>
      </c>
      <c r="F52" s="149" t="s">
        <v>154</v>
      </c>
      <c r="G52" s="151" t="s">
        <v>154</v>
      </c>
      <c r="H52" s="149" t="s">
        <v>154</v>
      </c>
      <c r="I52" s="150" t="s">
        <v>154</v>
      </c>
      <c r="J52" s="99" t="s">
        <v>154</v>
      </c>
      <c r="K52" s="149" t="s">
        <v>154</v>
      </c>
      <c r="L52" s="172" t="s">
        <v>154</v>
      </c>
      <c r="M52" s="11"/>
    </row>
    <row r="53" spans="1:13" ht="15.75" customHeight="1" x14ac:dyDescent="0.25">
      <c r="A53" s="90">
        <v>554</v>
      </c>
      <c r="B53" s="171" t="s">
        <v>61</v>
      </c>
      <c r="C53" s="144">
        <f>'Adams Pgs 8-9'!C53+'Asotin Pgs 10-11'!C53+'Benton-Franklin Pgs 12-13'!C53+'Chelan-Douglas Pgs 14-15'!C53+'Clallam Pgs 16-17'!C53+'Clark Pgs 18-19'!C53+'Columbia Pgs 20-21'!C53+'Cowlitz Pgs 22-23'!C53+'Garfield Pgs 24-25'!C53+'Grant Pgs 26-27'!C53+'Grays Harbor Pgs 28-29'!C53+'Island Pgs 30-31'!C53+'Jefferson Pgs 32-33'!C53+'Kitsap Pgs 34-35'!C53+'Kittitas Pgs 36-37'!C53+'Klickitat Pgs 38-39'!C53+'Lewis Pgs 40-41'!C53+'Lincoln Pgs 42-43'!C53+'Mason Pgs 44-45'!C53+'Northeast Tri Pgs 46-47'!C53+'Okanogan Pgs 48-49'!C53+'Pacific Pgs 50-51'!C53+'San Juan Pgs 52-53'!C53+'Skagit Pgs 56-57'!C53+'Skamania Pgs 58-59'!C53+'Snohomish Pgs 60-61'!C53+'Spokane Pgs 62-63'!C53+'Tacoma-Pierce Pgs 64-65'!C53+'Thurston Pgs 66-67'!C53+'Wahkiakum Pgs 68-69'!C53+'Walla Walla Pgs 70-71'!C53+'Whatcom Pgs 72-73'!C53+'Whitman Pgs 74-75'!C53+'Yakima Pgs 76-77'!C53+'Seattle-King Pgs 54-55'!C53</f>
        <v>2513</v>
      </c>
      <c r="D53" s="94">
        <f>'Adams Pgs 8-9'!D53+'Asotin Pgs 10-11'!D53+'Benton-Franklin Pgs 12-13'!D53+'Chelan-Douglas Pgs 14-15'!D53+'Clallam Pgs 16-17'!D53+'Clark Pgs 18-19'!D53+'Columbia Pgs 20-21'!D53+'Cowlitz Pgs 22-23'!D53+'Garfield Pgs 24-25'!D53+'Grant Pgs 26-27'!D53+'Grays Harbor Pgs 28-29'!D53+'Island Pgs 30-31'!D53+'Jefferson Pgs 32-33'!D53+'Kitsap Pgs 34-35'!D53+'Kittitas Pgs 36-37'!D53+'Klickitat Pgs 38-39'!D53+'Lewis Pgs 40-41'!D53+'Lincoln Pgs 42-43'!D53+'Mason Pgs 44-45'!D53+'Northeast Tri Pgs 46-47'!D53+'Okanogan Pgs 48-49'!D53+'Pacific Pgs 50-51'!D53+'San Juan Pgs 52-53'!D53+'Skagit Pgs 56-57'!D53+'Skamania Pgs 58-59'!D53+'Snohomish Pgs 60-61'!D53+'Spokane Pgs 62-63'!D53+'Tacoma-Pierce Pgs 64-65'!D53+'Thurston Pgs 66-67'!D53+'Wahkiakum Pgs 68-69'!D53+'Walla Walla Pgs 70-71'!D53+'Whatcom Pgs 72-73'!D53+'Whitman Pgs 74-75'!D53+'Yakima Pgs 76-77'!D53+'Seattle-King Pgs 54-55'!D53</f>
        <v>212638</v>
      </c>
      <c r="E53" s="148" t="s">
        <v>154</v>
      </c>
      <c r="F53" s="149" t="s">
        <v>154</v>
      </c>
      <c r="G53" s="146">
        <f>'Adams Pgs 8-9'!G53+'Asotin Pgs 10-11'!G53+'Benton-Franklin Pgs 12-13'!G53+'Chelan-Douglas Pgs 14-15'!G53+'Clallam Pgs 16-17'!G53+'Clark Pgs 18-19'!G53+'Columbia Pgs 20-21'!G53+'Cowlitz Pgs 22-23'!G53+'Garfield Pgs 24-25'!G53+'Grant Pgs 26-27'!G53+'Grays Harbor Pgs 28-29'!G53+'Island Pgs 30-31'!G53+'Jefferson Pgs 32-33'!G53+'Kitsap Pgs 34-35'!G53+'Kittitas Pgs 36-37'!G53+'Klickitat Pgs 38-39'!G53+'Lewis Pgs 40-41'!G53+'Lincoln Pgs 42-43'!G53+'Mason Pgs 44-45'!G53+'Northeast Tri Pgs 46-47'!G53+'Okanogan Pgs 48-49'!G53+'Pacific Pgs 50-51'!G53+'San Juan Pgs 52-53'!G53+'Skagit Pgs 56-57'!G53+'Skamania Pgs 58-59'!G53+'Snohomish Pgs 60-61'!G53+'Spokane Pgs 62-63'!G53+'Tacoma-Pierce Pgs 64-65'!G53+'Thurston Pgs 66-67'!G53+'Wahkiakum Pgs 68-69'!G53+'Walla Walla Pgs 70-71'!G53+'Whatcom Pgs 72-73'!G53+'Whitman Pgs 74-75'!G53+'Yakima Pgs 76-77'!G53+'Seattle-King Pgs 54-55'!G53</f>
        <v>10532</v>
      </c>
      <c r="H53" s="95">
        <f>'Adams Pgs 8-9'!H53+'Asotin Pgs 10-11'!H53+'Benton-Franklin Pgs 12-13'!H53+'Chelan-Douglas Pgs 14-15'!H53+'Clallam Pgs 16-17'!H53+'Clark Pgs 18-19'!H53+'Columbia Pgs 20-21'!H53+'Cowlitz Pgs 22-23'!H53+'Garfield Pgs 24-25'!H53+'Grant Pgs 26-27'!H53+'Grays Harbor Pgs 28-29'!H53+'Island Pgs 30-31'!H53+'Jefferson Pgs 32-33'!H53+'Kitsap Pgs 34-35'!H53+'Kittitas Pgs 36-37'!H53+'Klickitat Pgs 38-39'!H53+'Lewis Pgs 40-41'!H53+'Lincoln Pgs 42-43'!H53+'Mason Pgs 44-45'!H53+'Northeast Tri Pgs 46-47'!H53+'Okanogan Pgs 48-49'!H53+'Pacific Pgs 50-51'!H53+'San Juan Pgs 52-53'!H53+'Skagit Pgs 56-57'!H53+'Skamania Pgs 58-59'!H53+'Snohomish Pgs 60-61'!H53+'Spokane Pgs 62-63'!H53+'Tacoma-Pierce Pgs 64-65'!H53+'Thurston Pgs 66-67'!H53+'Wahkiakum Pgs 68-69'!H53+'Walla Walla Pgs 70-71'!H53+'Whatcom Pgs 72-73'!H53+'Whitman Pgs 74-75'!H53+'Yakima Pgs 76-77'!H53+'Seattle-King Pgs 54-55'!H53</f>
        <v>247949</v>
      </c>
      <c r="I53" s="150" t="s">
        <v>154</v>
      </c>
      <c r="J53" s="94">
        <f>'Adams Pgs 8-9'!J53+'Asotin Pgs 10-11'!J53+'Benton-Franklin Pgs 12-13'!J53+'Chelan-Douglas Pgs 14-15'!J53+'Clallam Pgs 16-17'!J53+'Clark Pgs 18-19'!J53+'Columbia Pgs 20-21'!J53+'Cowlitz Pgs 22-23'!J53+'Garfield Pgs 24-25'!J53+'Grant Pgs 26-27'!J53+'Grays Harbor Pgs 28-29'!J53+'Island Pgs 30-31'!J53+'Jefferson Pgs 32-33'!J53+'Kitsap Pgs 34-35'!J53+'Kittitas Pgs 36-37'!J53+'Klickitat Pgs 38-39'!J53+'Lewis Pgs 40-41'!J53+'Lincoln Pgs 42-43'!J53+'Mason Pgs 44-45'!J53+'Northeast Tri Pgs 46-47'!J53+'Okanogan Pgs 48-49'!J53+'Pacific Pgs 50-51'!J53+'San Juan Pgs 52-53'!J53+'Skagit Pgs 56-57'!J53+'Skamania Pgs 58-59'!J53+'Snohomish Pgs 60-61'!J53+'Spokane Pgs 62-63'!J53+'Tacoma-Pierce Pgs 64-65'!J53+'Thurston Pgs 66-67'!J53+'Wahkiakum Pgs 68-69'!J53+'Walla Walla Pgs 70-71'!J53+'Whatcom Pgs 72-73'!J53+'Whitman Pgs 74-75'!J53+'Yakima Pgs 76-77'!J53+'Seattle-King Pgs 54-55'!J53</f>
        <v>300746</v>
      </c>
      <c r="K53" s="95">
        <f>'Adams Pgs 8-9'!K53+'Asotin Pgs 10-11'!K53+'Benton-Franklin Pgs 12-13'!K53+'Chelan-Douglas Pgs 14-15'!K53+'Clallam Pgs 16-17'!K53+'Clark Pgs 18-19'!K53+'Columbia Pgs 20-21'!K53+'Cowlitz Pgs 22-23'!K53+'Garfield Pgs 24-25'!K53+'Grant Pgs 26-27'!K53+'Grays Harbor Pgs 28-29'!K53+'Island Pgs 30-31'!K53+'Jefferson Pgs 32-33'!K53+'Kitsap Pgs 34-35'!K53+'Kittitas Pgs 36-37'!K53+'Klickitat Pgs 38-39'!K53+'Lewis Pgs 40-41'!K53+'Lincoln Pgs 42-43'!K53+'Mason Pgs 44-45'!K53+'Northeast Tri Pgs 46-47'!K53+'Okanogan Pgs 48-49'!K53+'Pacific Pgs 50-51'!K53+'San Juan Pgs 52-53'!K53+'Skagit Pgs 56-57'!K53+'Skamania Pgs 58-59'!K53+'Snohomish Pgs 60-61'!K53+'Spokane Pgs 62-63'!K53+'Tacoma-Pierce Pgs 64-65'!K53+'Thurston Pgs 66-67'!K53+'Wahkiakum Pgs 68-69'!K53+'Walla Walla Pgs 70-71'!K53+'Whatcom Pgs 72-73'!K53+'Whitman Pgs 74-75'!K53+'Yakima Pgs 76-77'!K53+'Seattle-King Pgs 54-55'!K53</f>
        <v>9986</v>
      </c>
      <c r="L53" s="119">
        <f t="shared" si="3"/>
        <v>784364</v>
      </c>
      <c r="M53" s="11"/>
    </row>
    <row r="54" spans="1:13" ht="15.75" customHeight="1" x14ac:dyDescent="0.25">
      <c r="A54" s="90">
        <v>555</v>
      </c>
      <c r="B54" s="171" t="s">
        <v>34</v>
      </c>
      <c r="C54" s="144">
        <f>'Adams Pgs 8-9'!C54+'Asotin Pgs 10-11'!C54+'Benton-Franklin Pgs 12-13'!C54+'Chelan-Douglas Pgs 14-15'!C54+'Clallam Pgs 16-17'!C54+'Clark Pgs 18-19'!C54+'Columbia Pgs 20-21'!C54+'Cowlitz Pgs 22-23'!C54+'Garfield Pgs 24-25'!C54+'Grant Pgs 26-27'!C54+'Grays Harbor Pgs 28-29'!C54+'Island Pgs 30-31'!C54+'Jefferson Pgs 32-33'!C54+'Kitsap Pgs 34-35'!C54+'Kittitas Pgs 36-37'!C54+'Klickitat Pgs 38-39'!C54+'Lewis Pgs 40-41'!C54+'Lincoln Pgs 42-43'!C54+'Mason Pgs 44-45'!C54+'Northeast Tri Pgs 46-47'!C54+'Okanogan Pgs 48-49'!C54+'Pacific Pgs 50-51'!C54+'San Juan Pgs 52-53'!C55+'Skagit Pgs 56-57'!C54+'Skamania Pgs 58-59'!C54+'Snohomish Pgs 60-61'!C54+'Spokane Pgs 62-63'!C54+'Tacoma-Pierce Pgs 64-65'!C54+'Thurston Pgs 66-67'!C54+'Wahkiakum Pgs 68-69'!C54+'Walla Walla Pgs 70-71'!C54+'Whatcom Pgs 72-73'!C54+'Whitman Pgs 74-75'!C54+'Yakima Pgs 76-77'!C54+'Seattle-King Pgs 54-55'!C54</f>
        <v>548864</v>
      </c>
      <c r="D54" s="94">
        <f>'Adams Pgs 8-9'!D54+'Asotin Pgs 10-11'!D54+'Benton-Franklin Pgs 12-13'!D54+'Chelan-Douglas Pgs 14-15'!D54+'Clallam Pgs 16-17'!D54+'Clark Pgs 18-19'!D54+'Columbia Pgs 20-21'!D54+'Cowlitz Pgs 22-23'!D54+'Garfield Pgs 24-25'!D54+'Grant Pgs 26-27'!D54+'Grays Harbor Pgs 28-29'!D54+'Island Pgs 30-31'!D54+'Jefferson Pgs 32-33'!D54+'Kitsap Pgs 34-35'!D54+'Kittitas Pgs 36-37'!D54+'Klickitat Pgs 38-39'!D54+'Lewis Pgs 40-41'!D54+'Lincoln Pgs 42-43'!D54+'Mason Pgs 44-45'!D54+'Northeast Tri Pgs 46-47'!D54+'Okanogan Pgs 48-49'!D54+'Pacific Pgs 50-51'!D54+'San Juan Pgs 52-53'!D55+'Skagit Pgs 56-57'!D54+'Skamania Pgs 58-59'!D54+'Snohomish Pgs 60-61'!D54+'Spokane Pgs 62-63'!D54+'Tacoma-Pierce Pgs 64-65'!D54+'Thurston Pgs 66-67'!D54+'Wahkiakum Pgs 68-69'!D54+'Walla Walla Pgs 70-71'!D54+'Whatcom Pgs 72-73'!D54+'Whitman Pgs 74-75'!D54+'Yakima Pgs 76-77'!D54+'Seattle-King Pgs 54-55'!D54</f>
        <v>198984</v>
      </c>
      <c r="E54" s="148" t="s">
        <v>154</v>
      </c>
      <c r="F54" s="149" t="s">
        <v>154</v>
      </c>
      <c r="G54" s="151" t="s">
        <v>154</v>
      </c>
      <c r="H54" s="149" t="s">
        <v>154</v>
      </c>
      <c r="I54" s="150" t="s">
        <v>154</v>
      </c>
      <c r="J54" s="99" t="s">
        <v>154</v>
      </c>
      <c r="K54" s="149" t="s">
        <v>154</v>
      </c>
      <c r="L54" s="119">
        <f t="shared" si="3"/>
        <v>747848</v>
      </c>
      <c r="M54" s="11"/>
    </row>
    <row r="55" spans="1:13" ht="15.75" customHeight="1" x14ac:dyDescent="0.25">
      <c r="A55" s="90">
        <v>563</v>
      </c>
      <c r="B55" s="171" t="s">
        <v>35</v>
      </c>
      <c r="C55" s="152" t="s">
        <v>154</v>
      </c>
      <c r="D55" s="94">
        <f>'Adams Pgs 8-9'!D55+'Asotin Pgs 10-11'!D55+'Benton-Franklin Pgs 12-13'!D55+'Chelan-Douglas Pgs 14-15'!D55+'Clallam Pgs 16-17'!D55+'Clark Pgs 18-19'!D55+'Columbia Pgs 20-21'!D55+'Cowlitz Pgs 22-23'!D55+'Garfield Pgs 24-25'!D55+'Grant Pgs 26-27'!D55+'Grays Harbor Pgs 28-29'!D55+'Island Pgs 30-31'!D55+'Jefferson Pgs 32-33'!D55+'Kitsap Pgs 34-35'!D55+'Kittitas Pgs 36-37'!D55+'Klickitat Pgs 38-39'!D55+'Lewis Pgs 40-41'!D55+'Lincoln Pgs 42-43'!D55+'Mason Pgs 44-45'!D55+'Northeast Tri Pgs 46-47'!D55+'Okanogan Pgs 48-49'!D55+'Pacific Pgs 50-51'!D55+'San Juan Pgs 52-53'!D56+'Skagit Pgs 56-57'!D55+'Skamania Pgs 58-59'!D55+'Snohomish Pgs 60-61'!D55+'Spokane Pgs 62-63'!D55+'Tacoma-Pierce Pgs 64-65'!D55+'Thurston Pgs 66-67'!D55+'Wahkiakum Pgs 68-69'!D55+'Walla Walla Pgs 70-71'!D55+'Whatcom Pgs 72-73'!D55+'Whitman Pgs 74-75'!D55+'Yakima Pgs 76-77'!D55+'Seattle-King Pgs 54-55'!D55</f>
        <v>1073742</v>
      </c>
      <c r="E55" s="148" t="s">
        <v>154</v>
      </c>
      <c r="F55" s="149" t="s">
        <v>154</v>
      </c>
      <c r="G55" s="151" t="s">
        <v>154</v>
      </c>
      <c r="H55" s="95">
        <f>'Adams Pgs 8-9'!H55+'Asotin Pgs 10-11'!H55+'Benton-Franklin Pgs 12-13'!H55+'Chelan-Douglas Pgs 14-15'!H55+'Clallam Pgs 16-17'!H55+'Clark Pgs 18-19'!H55+'Columbia Pgs 20-21'!H55+'Cowlitz Pgs 22-23'!H55+'Garfield Pgs 24-25'!H55+'Grant Pgs 26-27'!H55+'Grays Harbor Pgs 28-29'!H55+'Island Pgs 30-31'!H55+'Jefferson Pgs 32-33'!H55+'Kitsap Pgs 34-35'!H55+'Kittitas Pgs 36-37'!H55+'Klickitat Pgs 38-39'!H55+'Lewis Pgs 40-41'!H55+'Lincoln Pgs 42-43'!H55+'Mason Pgs 44-45'!H55+'Northeast Tri Pgs 46-47'!H55+'Okanogan Pgs 48-49'!H55+'Pacific Pgs 50-51'!H55+'San Juan Pgs 52-53'!H55+'Skagit Pgs 56-57'!H55+'Skamania Pgs 58-59'!H55+'Snohomish Pgs 60-61'!H55+'Spokane Pgs 62-63'!H55+'Tacoma-Pierce Pgs 64-65'!H55+'Thurston Pgs 66-67'!H55+'Wahkiakum Pgs 68-69'!H55+'Walla Walla Pgs 70-71'!H55+'Whatcom Pgs 72-73'!H55+'Whitman Pgs 74-75'!H55+'Yakima Pgs 76-77'!H55+'Seattle-King Pgs 54-55'!H55</f>
        <v>418263</v>
      </c>
      <c r="I55" s="147">
        <f>'Adams Pgs 8-9'!I55+'Asotin Pgs 10-11'!I55+'Benton-Franklin Pgs 12-13'!I55+'Chelan-Douglas Pgs 14-15'!I55+'Clallam Pgs 16-17'!I55+'Clark Pgs 18-19'!I55+'Columbia Pgs 20-21'!I55+'Cowlitz Pgs 22-23'!I55+'Garfield Pgs 24-25'!I55+'Grant Pgs 26-27'!I55+'Grays Harbor Pgs 28-29'!I55+'Island Pgs 30-31'!I55+'Jefferson Pgs 32-33'!I55+'Kitsap Pgs 34-35'!I55+'Kittitas Pgs 36-37'!I55+'Klickitat Pgs 38-39'!I55+'Lewis Pgs 40-41'!I55+'Lincoln Pgs 42-43'!I55+'Mason Pgs 44-45'!I55+'Northeast Tri Pgs 46-47'!I55+'Okanogan Pgs 48-49'!I55+'Pacific Pgs 50-51'!I55+'San Juan Pgs 52-53'!I55+'Skagit Pgs 56-57'!I55+'Skamania Pgs 58-59'!I55+'Snohomish Pgs 60-61'!I55+'Spokane Pgs 62-63'!I55+'Tacoma-Pierce Pgs 64-65'!I55+'Thurston Pgs 66-67'!I55+'Wahkiakum Pgs 68-69'!I55+'Walla Walla Pgs 70-71'!I55+'Whatcom Pgs 72-73'!I56+'Whitman Pgs 74-75'!I55+'Yakima Pgs 76-77'!I55+'Seattle-King Pgs 54-55'!I55</f>
        <v>27800</v>
      </c>
      <c r="J55" s="99" t="s">
        <v>154</v>
      </c>
      <c r="K55" s="95">
        <f>'Adams Pgs 8-9'!K55+'Asotin Pgs 10-11'!K55+'Benton-Franklin Pgs 12-13'!K55+'Chelan-Douglas Pgs 14-15'!K55+'Clallam Pgs 16-17'!K55+'Clark Pgs 18-19'!K55+'Columbia Pgs 20-21'!K55+'Cowlitz Pgs 22-23'!K55+'Garfield Pgs 24-25'!K55+'Grant Pgs 26-27'!K55+'Grays Harbor Pgs 28-29'!K55+'Island Pgs 30-31'!K55+'Jefferson Pgs 32-33'!K55+'Kitsap Pgs 34-35'!K55+'Kittitas Pgs 36-37'!K55+'Klickitat Pgs 38-39'!K55+'Lewis Pgs 40-41'!K55+'Lincoln Pgs 42-43'!K55+'Mason Pgs 44-45'!K55+'Northeast Tri Pgs 46-47'!K55+'Okanogan Pgs 48-49'!K55+'Pacific Pgs 50-51'!K55+'San Juan Pgs 52-53'!K55+'Skagit Pgs 56-57'!K55+'Skamania Pgs 58-59'!K55+'Snohomish Pgs 60-61'!K55+'Spokane Pgs 62-63'!K55+'Tacoma-Pierce Pgs 64-65'!K55+'Thurston Pgs 66-67'!K55+'Wahkiakum Pgs 68-69'!K55+'Walla Walla Pgs 70-71'!K55+'Whatcom Pgs 72-73'!K55+'Whitman Pgs 74-75'!K55+'Yakima Pgs 76-77'!K55+'Seattle-King Pgs 54-55'!K55</f>
        <v>35</v>
      </c>
      <c r="L55" s="119">
        <f t="shared" si="3"/>
        <v>1519840</v>
      </c>
      <c r="M55" s="11"/>
    </row>
    <row r="56" spans="1:13" ht="15.75" customHeight="1" x14ac:dyDescent="0.25">
      <c r="A56" s="90">
        <v>564</v>
      </c>
      <c r="B56" s="171" t="s">
        <v>36</v>
      </c>
      <c r="C56" s="144">
        <f>'Adams Pgs 8-9'!C56+'Asotin Pgs 10-11'!C56+'Benton-Franklin Pgs 12-13'!C56+'Chelan-Douglas Pgs 14-15'!C56+'Clallam Pgs 16-17'!C56+'Clark Pgs 18-19'!C56+'Columbia Pgs 20-21'!C56+'Cowlitz Pgs 22-23'!C56+'Garfield Pgs 24-25'!C56+'Grant Pgs 26-27'!C56+'Grays Harbor Pgs 28-29'!C56+'Island Pgs 30-31'!C56+'Jefferson Pgs 32-33'!C56+'Kitsap Pgs 34-35'!C56+'Kittitas Pgs 36-37'!C56+'Klickitat Pgs 38-39'!C56+'Lewis Pgs 40-41'!C56+'Lincoln Pgs 42-43'!C56+'Mason Pgs 44-45'!C56+'Northeast Tri Pgs 46-47'!C56+'Okanogan Pgs 48-49'!C56+'Pacific Pgs 50-51'!C56+'San Juan Pgs 52-53'!C56+'Skagit Pgs 56-57'!C56+'Skamania Pgs 58-59'!C56+'Snohomish Pgs 60-61'!C56+'Spokane Pgs 62-63'!C56+'Tacoma-Pierce Pgs 64-65'!C56+'Thurston Pgs 66-67'!C56+'Wahkiakum Pgs 68-69'!C56+'Walla Walla Pgs 70-71'!C56+'Whatcom Pgs 72-73'!C56+'Whitman Pgs 74-75'!C56+'Yakima Pgs 76-77'!C56+'Seattle-King Pgs 54-55'!C56</f>
        <v>18690</v>
      </c>
      <c r="D56" s="94">
        <f>'Adams Pgs 8-9'!D56+'Asotin Pgs 10-11'!D56+'Benton-Franklin Pgs 12-13'!D56+'Chelan-Douglas Pgs 14-15'!D56+'Clallam Pgs 16-17'!D56+'Clark Pgs 18-19'!D56+'Columbia Pgs 20-21'!D56+'Cowlitz Pgs 22-23'!D56+'Garfield Pgs 24-25'!D56+'Grant Pgs 26-27'!D56+'Grays Harbor Pgs 28-29'!D56+'Island Pgs 30-31'!D56+'Jefferson Pgs 32-33'!D56+'Kitsap Pgs 34-35'!D56+'Kittitas Pgs 36-37'!D56+'Klickitat Pgs 38-39'!D56+'Lewis Pgs 40-41'!D56+'Lincoln Pgs 42-43'!D56+'Mason Pgs 44-45'!D56+'Northeast Tri Pgs 46-47'!D56+'Okanogan Pgs 48-49'!D56+'Pacific Pgs 50-51'!D56+'San Juan Pgs 52-53'!D56+'Skagit Pgs 56-57'!D56+'Skamania Pgs 58-59'!D56+'Snohomish Pgs 60-61'!D56+'Spokane Pgs 62-63'!D56+'Tacoma-Pierce Pgs 64-65'!D56+'Thurston Pgs 66-67'!D56+'Wahkiakum Pgs 68-69'!D56+'Walla Walla Pgs 70-71'!D56+'Whatcom Pgs 72-73'!D56+'Whitman Pgs 74-75'!D56+'Yakima Pgs 76-77'!D56+'Seattle-King Pgs 54-55'!D56</f>
        <v>4495506</v>
      </c>
      <c r="E56" s="148" t="s">
        <v>154</v>
      </c>
      <c r="F56" s="149" t="s">
        <v>154</v>
      </c>
      <c r="G56" s="151" t="s">
        <v>154</v>
      </c>
      <c r="H56" s="95">
        <f>'Adams Pgs 8-9'!H56+'Asotin Pgs 10-11'!H56+'Benton-Franklin Pgs 12-13'!H56+'Chelan-Douglas Pgs 14-15'!H56+'Clallam Pgs 16-17'!H56+'Clark Pgs 18-19'!H56+'Columbia Pgs 20-21'!H56+'Cowlitz Pgs 22-23'!H56+'Garfield Pgs 24-25'!H56+'Grant Pgs 26-27'!H56+'Grays Harbor Pgs 28-29'!H56+'Island Pgs 30-31'!H56+'Jefferson Pgs 32-33'!H56+'Kitsap Pgs 34-35'!H56+'Kittitas Pgs 36-37'!H56+'Klickitat Pgs 38-39'!H56+'Lewis Pgs 40-41'!H56+'Lincoln Pgs 42-43'!H56+'Mason Pgs 44-45'!H56+'Northeast Tri Pgs 46-47'!H56+'Okanogan Pgs 48-49'!H56+'Pacific Pgs 50-51'!H56+'San Juan Pgs 52-53'!H56+'Skagit Pgs 56-57'!H56+'Skamania Pgs 58-59'!H56+'Snohomish Pgs 60-61'!H56+'Spokane Pgs 62-63'!H56+'Tacoma-Pierce Pgs 64-65'!H56+'Thurston Pgs 66-67'!H56+'Wahkiakum Pgs 68-69'!H56+'Walla Walla Pgs 70-71'!H56+'Whatcom Pgs 72-73'!H56+'Whitman Pgs 74-75'!H56+'Yakima Pgs 76-77'!H56+'Seattle-King Pgs 54-55'!H56</f>
        <v>280132</v>
      </c>
      <c r="I56" s="150" t="s">
        <v>154</v>
      </c>
      <c r="J56" s="94">
        <f>'Adams Pgs 8-9'!J56+'Asotin Pgs 10-11'!J56+'Benton-Franklin Pgs 12-13'!J56+'Chelan-Douglas Pgs 14-15'!J56+'Clallam Pgs 16-17'!J56+'Clark Pgs 18-19'!J56+'Columbia Pgs 20-21'!J56+'Cowlitz Pgs 22-23'!J56+'Garfield Pgs 24-25'!J56+'Grant Pgs 26-27'!J56+'Grays Harbor Pgs 28-29'!J56+'Island Pgs 30-31'!J56+'Jefferson Pgs 32-33'!J56+'Kitsap Pgs 34-35'!J56+'Kittitas Pgs 36-37'!J56+'Klickitat Pgs 38-39'!J56+'Lewis Pgs 40-41'!J56+'Lincoln Pgs 42-43'!J56+'Mason Pgs 44-45'!J56+'Northeast Tri Pgs 46-47'!J56+'Okanogan Pgs 48-49'!J56+'Pacific Pgs 50-51'!J56+'San Juan Pgs 52-53'!J56+'Skagit Pgs 56-57'!J56+'Skamania Pgs 58-59'!J56+'Snohomish Pgs 60-61'!J56+'Spokane Pgs 62-63'!J56+'Tacoma-Pierce Pgs 64-65'!J56+'Thurston Pgs 66-67'!J56+'Wahkiakum Pgs 68-69'!J56+'Walla Walla Pgs 70-71'!J56+'Whatcom Pgs 72-73'!J56+'Whitman Pgs 74-75'!J56+'Yakima Pgs 76-77'!J56+'Seattle-King Pgs 54-55'!J56</f>
        <v>67102</v>
      </c>
      <c r="K56" s="95">
        <f>'Adams Pgs 8-9'!K56+'Asotin Pgs 10-11'!K56+'Benton-Franklin Pgs 12-13'!K56+'Chelan-Douglas Pgs 14-15'!K56+'Clallam Pgs 16-17'!K56+'Clark Pgs 18-19'!K56+'Columbia Pgs 20-21'!K56+'Cowlitz Pgs 22-23'!K56+'Garfield Pgs 24-25'!K56+'Grant Pgs 26-27'!K56+'Grays Harbor Pgs 28-29'!K56+'Island Pgs 30-31'!K56+'Jefferson Pgs 32-33'!K56+'Kitsap Pgs 34-35'!K56+'Kittitas Pgs 36-37'!K56+'Klickitat Pgs 38-39'!K56+'Lewis Pgs 40-41'!K56+'Lincoln Pgs 42-43'!K56+'Mason Pgs 44-45'!K56+'Northeast Tri Pgs 46-47'!K56+'Okanogan Pgs 48-49'!K56+'Pacific Pgs 50-51'!K56+'San Juan Pgs 52-53'!K56+'Skagit Pgs 56-57'!K56+'Skamania Pgs 58-59'!K56+'Snohomish Pgs 60-61'!K56+'Spokane Pgs 62-63'!K56+'Tacoma-Pierce Pgs 64-65'!K56+'Thurston Pgs 66-67'!K56+'Wahkiakum Pgs 68-69'!K56+'Walla Walla Pgs 70-71'!K56+'Whatcom Pgs 72-73'!K56+'Whitman Pgs 74-75'!K56+'Yakima Pgs 76-77'!K56+'Seattle-King Pgs 54-55'!K56</f>
        <v>6257</v>
      </c>
      <c r="L56" s="119">
        <f t="shared" si="3"/>
        <v>4867687</v>
      </c>
      <c r="M56" s="11"/>
    </row>
    <row r="57" spans="1:13" ht="15.75" customHeight="1" x14ac:dyDescent="0.25">
      <c r="A57" s="90">
        <v>566</v>
      </c>
      <c r="B57" s="171" t="s">
        <v>37</v>
      </c>
      <c r="C57" s="144">
        <f>'Adams Pgs 8-9'!C57+'Asotin Pgs 10-11'!C57+'Benton-Franklin Pgs 12-13'!C57+'Chelan-Douglas Pgs 14-15'!C57+'Clallam Pgs 16-17'!C57+'Clark Pgs 18-19'!C57+'Columbia Pgs 20-21'!C57+'Cowlitz Pgs 22-23'!C57+'Garfield Pgs 24-25'!C57+'Grant Pgs 26-27'!C57+'Grays Harbor Pgs 28-29'!C57+'Island Pgs 30-31'!C57+'Jefferson Pgs 32-33'!C57+'Kitsap Pgs 34-35'!C57+'Kittitas Pgs 36-37'!C57+'Klickitat Pgs 38-39'!C57+'Lewis Pgs 40-41'!C57+'Lincoln Pgs 42-43'!C57+'Mason Pgs 44-45'!C57+'Northeast Tri Pgs 46-47'!C57+'Okanogan Pgs 48-49'!C57+'Pacific Pgs 50-51'!C57+'San Juan Pgs 52-53'!C57+'Skagit Pgs 56-57'!C57+'Skamania Pgs 58-59'!C57+'Snohomish Pgs 60-61'!C57+'Spokane Pgs 62-63'!C57+'Tacoma-Pierce Pgs 64-65'!C57+'Thurston Pgs 66-67'!C57+'Wahkiakum Pgs 68-69'!C57+'Walla Walla Pgs 70-71'!C57+'Whatcom Pgs 72-73'!C57+'Whitman Pgs 74-75'!C57+'Yakima Pgs 76-77'!C57+'Seattle-King Pgs 54-55'!C57</f>
        <v>855</v>
      </c>
      <c r="D57" s="94">
        <f>'Adams Pgs 8-9'!D57+'Asotin Pgs 10-11'!D57+'Benton-Franklin Pgs 12-13'!D57+'Chelan-Douglas Pgs 14-15'!D57+'Clallam Pgs 16-17'!D57+'Clark Pgs 18-19'!D57+'Columbia Pgs 20-21'!D57+'Cowlitz Pgs 22-23'!D57+'Garfield Pgs 24-25'!D57+'Grant Pgs 26-27'!D57+'Grays Harbor Pgs 28-29'!D57+'Island Pgs 30-31'!D57+'Jefferson Pgs 32-33'!D57+'Kitsap Pgs 34-35'!D57+'Kittitas Pgs 36-37'!D57+'Klickitat Pgs 38-39'!D57+'Lewis Pgs 40-41'!D57+'Lincoln Pgs 42-43'!D57+'Mason Pgs 44-45'!D57+'Northeast Tri Pgs 46-47'!D57+'Okanogan Pgs 48-49'!D57+'Pacific Pgs 50-51'!D57+'San Juan Pgs 52-53'!D57+'Skagit Pgs 56-57'!D57+'Skamania Pgs 58-59'!D57+'Snohomish Pgs 60-61'!D57+'Spokane Pgs 62-63'!D57+'Tacoma-Pierce Pgs 64-65'!D57+'Thurston Pgs 66-67'!D57+'Wahkiakum Pgs 68-69'!D57+'Walla Walla Pgs 70-71'!D57+'Whatcom Pgs 72-73'!D57+'Whitman Pgs 74-75'!D57+'Yakima Pgs 76-77'!D57+'Seattle-King Pgs 54-55'!D57</f>
        <v>9634675</v>
      </c>
      <c r="E57" s="148" t="s">
        <v>154</v>
      </c>
      <c r="F57" s="149" t="s">
        <v>154</v>
      </c>
      <c r="G57" s="151" t="s">
        <v>154</v>
      </c>
      <c r="H57" s="95">
        <f>'Adams Pgs 8-9'!H57+'Asotin Pgs 10-11'!H57+'Benton-Franklin Pgs 12-13'!H57+'Chelan-Douglas Pgs 14-15'!H57+'Clallam Pgs 16-17'!H57+'Clark Pgs 18-19'!H57+'Columbia Pgs 20-21'!H57+'Cowlitz Pgs 22-23'!H57+'Garfield Pgs 24-25'!H57+'Grant Pgs 26-27'!H57+'Grays Harbor Pgs 28-29'!H57+'Island Pgs 30-31'!H57+'Jefferson Pgs 32-33'!H57+'Kitsap Pgs 34-35'!H57+'Kittitas Pgs 36-37'!H57+'Klickitat Pgs 38-39'!H57+'Lewis Pgs 40-41'!H57+'Lincoln Pgs 42-43'!H57+'Mason Pgs 44-45'!H57+'Northeast Tri Pgs 46-47'!H57+'Okanogan Pgs 48-49'!H57+'Pacific Pgs 50-51'!H57+'San Juan Pgs 52-53'!H57+'Skagit Pgs 56-57'!H57+'Skamania Pgs 58-59'!H57+'Snohomish Pgs 60-61'!H57+'Spokane Pgs 62-63'!H57+'Tacoma-Pierce Pgs 64-65'!H57+'Thurston Pgs 66-67'!H57+'Wahkiakum Pgs 68-69'!H57+'Walla Walla Pgs 70-71'!H57+'Whatcom Pgs 72-73'!H57+'Whitman Pgs 74-75'!H57+'Yakima Pgs 76-77'!H57+'Seattle-King Pgs 54-55'!H57</f>
        <v>246495</v>
      </c>
      <c r="I57" s="147">
        <f>'Adams Pgs 8-9'!I57+'Asotin Pgs 10-11'!I57+'Benton-Franklin Pgs 12-13'!I57+'Chelan-Douglas Pgs 14-15'!I57+'Clallam Pgs 16-17'!I57+'Clark Pgs 18-19'!I57+'Columbia Pgs 20-21'!I57+'Cowlitz Pgs 22-23'!I57+'Garfield Pgs 24-25'!I57+'Grant Pgs 26-27'!I57+'Grays Harbor Pgs 28-29'!I57+'Island Pgs 30-31'!I57+'Jefferson Pgs 32-33'!I57+'Kitsap Pgs 34-35'!I57+'Kittitas Pgs 36-37'!I57+'Klickitat Pgs 38-39'!I57+'Lewis Pgs 40-41'!I57+'Lincoln Pgs 42-43'!I57+'Mason Pgs 44-45'!I57+'Northeast Tri Pgs 46-47'!I57+'Okanogan Pgs 48-49'!I57+'Pacific Pgs 50-51'!I57+'San Juan Pgs 52-53'!I57+'Skagit Pgs 56-57'!I57+'Skamania Pgs 58-59'!I57+'Snohomish Pgs 60-61'!I57+'Spokane Pgs 62-63'!I57+'Tacoma-Pierce Pgs 64-65'!I57+'Thurston Pgs 66-67'!I57+'Wahkiakum Pgs 68-69'!I57+'Walla Walla Pgs 70-71'!I57+'Whatcom Pgs 72-73'!I57+'Whitman Pgs 74-75'!I57+'Yakima Pgs 76-77'!I57+'Seattle-King Pgs 54-55'!I57</f>
        <v>43233</v>
      </c>
      <c r="J57" s="94">
        <f>'Adams Pgs 8-9'!J57+'Asotin Pgs 10-11'!J57+'Benton-Franklin Pgs 12-13'!J57+'Chelan-Douglas Pgs 14-15'!J57+'Clallam Pgs 16-17'!J57+'Clark Pgs 18-19'!J57+'Columbia Pgs 20-21'!J57+'Cowlitz Pgs 22-23'!J57+'Garfield Pgs 24-25'!J57+'Grant Pgs 26-27'!J57+'Grays Harbor Pgs 28-29'!J57+'Island Pgs 30-31'!J57+'Jefferson Pgs 32-33'!J57+'Kitsap Pgs 34-35'!J57+'Kittitas Pgs 36-37'!J57+'Klickitat Pgs 38-39'!J57+'Lewis Pgs 40-41'!J57+'Lincoln Pgs 42-43'!J57+'Mason Pgs 44-45'!J57+'Northeast Tri Pgs 46-47'!J57+'Okanogan Pgs 48-49'!J57+'Pacific Pgs 50-51'!J57+'San Juan Pgs 52-53'!J57+'Skagit Pgs 56-57'!J57+'Skamania Pgs 58-59'!J57+'Snohomish Pgs 60-61'!J57+'Spokane Pgs 62-63'!J57+'Tacoma-Pierce Pgs 64-65'!J57+'Thurston Pgs 66-67'!J57+'Wahkiakum Pgs 68-69'!J57+'Walla Walla Pgs 70-71'!J57+'Whatcom Pgs 72-73'!J57+'Whitman Pgs 74-75'!J57+'Yakima Pgs 76-77'!J57+'Seattle-King Pgs 54-55'!J57</f>
        <v>485061</v>
      </c>
      <c r="K57" s="95">
        <f>'Adams Pgs 8-9'!K57+'Asotin Pgs 10-11'!K57+'Benton-Franklin Pgs 12-13'!K57+'Chelan-Douglas Pgs 14-15'!K57+'Clallam Pgs 16-17'!K57+'Clark Pgs 18-19'!K57+'Columbia Pgs 20-21'!K57+'Cowlitz Pgs 22-23'!K57+'Garfield Pgs 24-25'!K57+'Grant Pgs 26-27'!K57+'Grays Harbor Pgs 28-29'!K57+'Island Pgs 30-31'!K57+'Jefferson Pgs 32-33'!K57+'Kitsap Pgs 34-35'!K57+'Kittitas Pgs 36-37'!K57+'Klickitat Pgs 38-39'!K57+'Lewis Pgs 40-41'!K57+'Lincoln Pgs 42-43'!K57+'Mason Pgs 44-45'!K57+'Northeast Tri Pgs 46-47'!K57+'Okanogan Pgs 48-49'!K57+'Pacific Pgs 50-51'!K57+'San Juan Pgs 52-53'!K57+'Skagit Pgs 56-57'!K57+'Skamania Pgs 58-59'!K57+'Snohomish Pgs 60-61'!K57+'Spokane Pgs 62-63'!K57+'Tacoma-Pierce Pgs 64-65'!K57+'Thurston Pgs 66-67'!K57+'Wahkiakum Pgs 68-69'!K57+'Walla Walla Pgs 70-71'!K57+'Whatcom Pgs 72-73'!K57+'Whitman Pgs 74-75'!K57+'Yakima Pgs 76-77'!K57+'Seattle-King Pgs 54-55'!K57</f>
        <v>438820</v>
      </c>
      <c r="L57" s="119">
        <f t="shared" si="3"/>
        <v>10849139</v>
      </c>
      <c r="M57" s="11"/>
    </row>
    <row r="58" spans="1:13" ht="15.75" customHeight="1" x14ac:dyDescent="0.25">
      <c r="A58" s="90">
        <v>568</v>
      </c>
      <c r="B58" s="171" t="s">
        <v>38</v>
      </c>
      <c r="C58" s="144">
        <f>'Adams Pgs 8-9'!C58+'Asotin Pgs 10-11'!C58+'Benton-Franklin Pgs 12-13'!C58+'Chelan-Douglas Pgs 14-15'!C58+'Clallam Pgs 16-17'!C58+'Clark Pgs 18-19'!C58+'Columbia Pgs 20-21'!C58+'Cowlitz Pgs 22-23'!C58+'Garfield Pgs 24-25'!C58+'Grant Pgs 26-27'!C58+'Grays Harbor Pgs 28-29'!C58+'Island Pgs 30-31'!C58+'Jefferson Pgs 32-33'!C58+'Kitsap Pgs 34-35'!C58+'Kittitas Pgs 36-37'!C58+'Klickitat Pgs 38-39'!C58+'Lewis Pgs 40-41'!C58+'Lincoln Pgs 42-43'!C58+'Mason Pgs 44-45'!C58+'Northeast Tri Pgs 46-47'!C58+'Okanogan Pgs 48-49'!C58+'Pacific Pgs 50-51'!C58+'San Juan Pgs 52-53'!C58+'Skagit Pgs 56-57'!C58+'Skamania Pgs 58-59'!C58+'Snohomish Pgs 60-61'!C58+'Spokane Pgs 62-63'!C58+'Tacoma-Pierce Pgs 64-65'!C58+'Thurston Pgs 66-67'!C58+'Wahkiakum Pgs 68-69'!C58+'Walla Walla Pgs 70-71'!C58+'Whatcom Pgs 72-73'!C58+'Whitman Pgs 74-75'!C58+'Yakima Pgs 76-77'!C58+'Seattle-King Pgs 54-55'!C58</f>
        <v>79589</v>
      </c>
      <c r="D58" s="94">
        <f>'Adams Pgs 8-9'!D58+'Asotin Pgs 10-11'!D58+'Benton-Franklin Pgs 12-13'!D58+'Chelan-Douglas Pgs 14-15'!D58+'Clallam Pgs 16-17'!D58+'Clark Pgs 18-19'!D58+'Columbia Pgs 20-21'!D58+'Cowlitz Pgs 22-23'!D58+'Garfield Pgs 24-25'!D58+'Grant Pgs 26-27'!D58+'Grays Harbor Pgs 28-29'!D58+'Island Pgs 30-31'!D58+'Jefferson Pgs 32-33'!D58+'Kitsap Pgs 34-35'!D58+'Kittitas Pgs 36-37'!D58+'Klickitat Pgs 38-39'!D58+'Lewis Pgs 40-41'!D58+'Lincoln Pgs 42-43'!D58+'Mason Pgs 44-45'!D58+'Northeast Tri Pgs 46-47'!D58+'Okanogan Pgs 48-49'!D58+'Pacific Pgs 50-51'!D58+'San Juan Pgs 52-53'!D58+'Skagit Pgs 56-57'!D58+'Skamania Pgs 58-59'!D58+'Snohomish Pgs 60-61'!D58+'Spokane Pgs 62-63'!D58+'Tacoma-Pierce Pgs 64-65'!D58+'Thurston Pgs 66-67'!D58+'Wahkiakum Pgs 68-69'!D58+'Walla Walla Pgs 70-71'!D58+'Whatcom Pgs 72-73'!D58+'Whitman Pgs 74-75'!D58+'Yakima Pgs 76-77'!D58+'Seattle-King Pgs 54-55'!D58</f>
        <v>3655555</v>
      </c>
      <c r="E58" s="148" t="s">
        <v>154</v>
      </c>
      <c r="F58" s="149" t="s">
        <v>154</v>
      </c>
      <c r="G58" s="151" t="s">
        <v>154</v>
      </c>
      <c r="H58" s="95">
        <f>'Adams Pgs 8-9'!H58+'Asotin Pgs 10-11'!H58+'Benton-Franklin Pgs 12-13'!H58+'Chelan-Douglas Pgs 14-15'!H58+'Clallam Pgs 16-17'!H58+'Clark Pgs 18-19'!H58+'Columbia Pgs 20-21'!H58+'Cowlitz Pgs 22-23'!H58+'Garfield Pgs 24-25'!H58+'Grant Pgs 26-27'!H58+'Grays Harbor Pgs 28-29'!H58+'Island Pgs 30-31'!H58+'Jefferson Pgs 32-33'!H58+'Kitsap Pgs 34-35'!H58+'Kittitas Pgs 36-37'!H58+'Klickitat Pgs 38-39'!H58+'Lewis Pgs 40-41'!H58+'Lincoln Pgs 42-43'!H58+'Mason Pgs 44-45'!H58+'Northeast Tri Pgs 46-47'!H58+'Okanogan Pgs 48-49'!H58+'Pacific Pgs 50-51'!H58+'San Juan Pgs 52-53'!H58+'Skagit Pgs 56-57'!H58+'Skamania Pgs 58-59'!H58+'Snohomish Pgs 60-61'!H58+'Spokane Pgs 62-63'!H58+'Tacoma-Pierce Pgs 64-65'!H58+'Thurston Pgs 66-67'!H58+'Wahkiakum Pgs 68-69'!H58+'Walla Walla Pgs 70-71'!H58+'Whatcom Pgs 72-73'!H58+'Whitman Pgs 74-75'!H58+'Yakima Pgs 76-77'!H58+'Seattle-King Pgs 54-55'!H58</f>
        <v>3142115</v>
      </c>
      <c r="I58" s="150" t="s">
        <v>154</v>
      </c>
      <c r="J58" s="99" t="s">
        <v>154</v>
      </c>
      <c r="K58" s="95">
        <f>'Adams Pgs 8-9'!K58+'Asotin Pgs 10-11'!K58+'Benton-Franklin Pgs 12-13'!K58+'Chelan-Douglas Pgs 14-15'!K58+'Clallam Pgs 16-17'!K58+'Clark Pgs 18-19'!K58+'Columbia Pgs 20-21'!K58+'Cowlitz Pgs 22-23'!K58+'Garfield Pgs 24-25'!K58+'Grant Pgs 26-27'!K58+'Grays Harbor Pgs 28-29'!K58+'Island Pgs 30-31'!K58+'Jefferson Pgs 32-33'!K58+'Kitsap Pgs 34-35'!K58+'Kittitas Pgs 36-37'!K58+'Klickitat Pgs 38-39'!K58+'Lewis Pgs 40-41'!K58+'Lincoln Pgs 42-43'!K58+'Mason Pgs 44-45'!K58+'Northeast Tri Pgs 46-47'!K58+'Okanogan Pgs 48-49'!K58+'Pacific Pgs 50-51'!K58+'San Juan Pgs 52-53'!K58+'Skagit Pgs 56-57'!K58+'Skamania Pgs 58-59'!K58+'Snohomish Pgs 60-61'!K58+'Spokane Pgs 62-63'!K58+'Tacoma-Pierce Pgs 64-65'!K58+'Thurston Pgs 66-67'!K58+'Wahkiakum Pgs 68-69'!K58+'Walla Walla Pgs 70-71'!K58+'Whatcom Pgs 72-73'!K58+'Whitman Pgs 74-75'!K58+'Yakima Pgs 76-77'!K58+'Seattle-King Pgs 54-55'!K58</f>
        <v>-322094</v>
      </c>
      <c r="L58" s="119">
        <f t="shared" si="3"/>
        <v>6555165</v>
      </c>
      <c r="M58" s="11"/>
    </row>
    <row r="59" spans="1:13" ht="15.75" customHeight="1" thickBot="1" x14ac:dyDescent="0.3">
      <c r="A59" s="90">
        <v>500</v>
      </c>
      <c r="B59" s="171" t="s">
        <v>66</v>
      </c>
      <c r="C59" s="144">
        <f>'Adams Pgs 8-9'!C59+'Asotin Pgs 10-11'!C59+'Benton-Franklin Pgs 12-13'!C59+'Chelan-Douglas Pgs 14-15'!C59+'Clallam Pgs 16-17'!C59+'Clark Pgs 18-19'!C59+'Columbia Pgs 20-21'!C59+'Cowlitz Pgs 22-23'!C59+'Garfield Pgs 24-25'!C59+'Grant Pgs 26-27'!C59+'Grays Harbor Pgs 28-29'!C59+'Island Pgs 30-31'!C59+'Jefferson Pgs 32-33'!C59+'Kitsap Pgs 34-35'!C59+'Kittitas Pgs 36-37'!C59+'Klickitat Pgs 38-39'!C59+'Lewis Pgs 40-41'!C59+'Lincoln Pgs 42-43'!C59+'Mason Pgs 44-45'!C59+'Northeast Tri Pgs 46-47'!C59+'Okanogan Pgs 48-49'!C59+'Pacific Pgs 50-51'!C59+'San Juan Pgs 52-53'!C59+'Skagit Pgs 56-57'!C59+'Skamania Pgs 58-59'!C59+'Snohomish Pgs 60-61'!C59+'Spokane Pgs 62-63'!C59+'Tacoma-Pierce Pgs 64-65'!C59+'Thurston Pgs 66-67'!C59+'Wahkiakum Pgs 68-69'!C59+'Walla Walla Pgs 70-71'!C59+'Whatcom Pgs 72-73'!C59+'Whitman Pgs 74-75'!C59+'Yakima Pgs 76-77'!C59+'Seattle-King Pgs 54-55'!C59</f>
        <v>456917</v>
      </c>
      <c r="D59" s="94">
        <f>'Adams Pgs 8-9'!D59+'Asotin Pgs 10-11'!D59+'Benton-Franklin Pgs 12-13'!D59+'Chelan-Douglas Pgs 14-15'!D59+'Clallam Pgs 16-17'!D59+'Clark Pgs 18-19'!D59+'Columbia Pgs 20-21'!D59+'Cowlitz Pgs 22-23'!D59+'Garfield Pgs 24-25'!D59+'Grant Pgs 26-27'!D59+'Grays Harbor Pgs 28-29'!D59+'Island Pgs 30-31'!D59+'Jefferson Pgs 32-33'!D59+'Kitsap Pgs 34-35'!D59+'Kittitas Pgs 36-37'!D59+'Klickitat Pgs 38-39'!D59+'Lewis Pgs 40-41'!D59+'Lincoln Pgs 42-43'!D59+'Mason Pgs 44-45'!D59+'Northeast Tri Pgs 46-47'!D59+'Okanogan Pgs 48-49'!D59+'Pacific Pgs 50-51'!D59+'San Juan Pgs 52-53'!D59+'Skagit Pgs 56-57'!D59+'Skamania Pgs 58-59'!D59+'Snohomish Pgs 60-61'!D59+'Spokane Pgs 62-63'!D59+'Tacoma-Pierce Pgs 64-65'!D59+'Thurston Pgs 66-67'!D59+'Wahkiakum Pgs 68-69'!D59+'Walla Walla Pgs 70-71'!D59+'Whatcom Pgs 72-73'!D59+'Whitman Pgs 74-75'!D59+'Yakima Pgs 76-77'!D59+'Seattle-King Pgs 54-55'!D59</f>
        <v>2295349</v>
      </c>
      <c r="E59" s="148" t="s">
        <v>154</v>
      </c>
      <c r="F59" s="149" t="s">
        <v>154</v>
      </c>
      <c r="G59" s="146">
        <f>'Adams Pgs 8-9'!G59+'Asotin Pgs 10-11'!G59+'Benton-Franklin Pgs 12-13'!G59+'Chelan-Douglas Pgs 14-15'!G59+'Clallam Pgs 16-17'!G59+'Clark Pgs 18-19'!G59+'Columbia Pgs 20-21'!G59+'Cowlitz Pgs 22-23'!G59+'Garfield Pgs 24-25'!G59+'Grant Pgs 26-27'!G59+'Grays Harbor Pgs 28-29'!G59+'Island Pgs 30-31'!G59+'Jefferson Pgs 32-33'!G59+'Kitsap Pgs 34-35'!G59+'Kittitas Pgs 36-37'!G59+'Klickitat Pgs 38-39'!G59+'Lewis Pgs 40-41'!G59+'Lincoln Pgs 42-43'!G59+'Mason Pgs 44-45'!G59+'Northeast Tri Pgs 46-47'!G59+'Okanogan Pgs 48-49'!G59+'Pacific Pgs 50-51'!G59+'San Juan Pgs 52-53'!G59+'Skagit Pgs 56-57'!G59+'Skamania Pgs 58-59'!G59+'Snohomish Pgs 60-61'!G59+'Spokane Pgs 62-63'!G59+'Tacoma-Pierce Pgs 64-65'!G59+'Thurston Pgs 66-67'!G59+'Wahkiakum Pgs 68-69'!G59+'Walla Walla Pgs 70-71'!G59+'Whatcom Pgs 72-73'!G59+'Whitman Pgs 74-75'!G59+'Yakima Pgs 76-77'!G59+'Seattle-King Pgs 54-55'!G59</f>
        <v>130912</v>
      </c>
      <c r="H59" s="95">
        <f>'Adams Pgs 8-9'!H59+'Asotin Pgs 10-11'!H59+'Benton-Franklin Pgs 12-13'!H59+'Chelan-Douglas Pgs 14-15'!H59+'Clallam Pgs 16-17'!H59+'Clark Pgs 18-19'!H59+'Columbia Pgs 20-21'!H59+'Cowlitz Pgs 22-23'!H59+'Garfield Pgs 24-25'!H59+'Grant Pgs 26-27'!H59+'Grays Harbor Pgs 28-29'!H59+'Island Pgs 30-31'!H59+'Jefferson Pgs 32-33'!H59+'Kitsap Pgs 34-35'!H59+'Kittitas Pgs 36-37'!H59+'Klickitat Pgs 38-39'!H59+'Lewis Pgs 40-41'!H59+'Lincoln Pgs 42-43'!H59+'Mason Pgs 44-45'!H59+'Northeast Tri Pgs 46-47'!H59+'Okanogan Pgs 48-49'!H59+'Pacific Pgs 50-51'!H59+'San Juan Pgs 52-53'!H59+'Skagit Pgs 56-57'!H59+'Skamania Pgs 58-59'!H59+'Snohomish Pgs 60-61'!H59+'Spokane Pgs 62-63'!H59+'Tacoma-Pierce Pgs 64-65'!H59+'Thurston Pgs 66-67'!H59+'Wahkiakum Pgs 68-69'!H59+'Walla Walla Pgs 70-71'!H59+'Whatcom Pgs 72-73'!H59+'Whitman Pgs 74-75'!H59+'Yakima Pgs 76-77'!H59+'Seattle-King Pgs 54-55'!H59</f>
        <v>2676249</v>
      </c>
      <c r="I59" s="150" t="s">
        <v>154</v>
      </c>
      <c r="J59" s="94">
        <f>'Adams Pgs 8-9'!J59+'Asotin Pgs 10-11'!J59+'Benton-Franklin Pgs 12-13'!J59+'Chelan-Douglas Pgs 14-15'!J59+'Clallam Pgs 16-17'!J59+'Clark Pgs 18-19'!J59+'Columbia Pgs 20-21'!J59+'Cowlitz Pgs 22-23'!J59+'Garfield Pgs 24-25'!J59+'Grant Pgs 26-27'!J59+'Grays Harbor Pgs 28-29'!J59+'Island Pgs 30-31'!J59+'Jefferson Pgs 32-33'!J59+'Kitsap Pgs 34-35'!J59+'Kittitas Pgs 36-37'!J59+'Klickitat Pgs 38-39'!J59+'Lewis Pgs 40-41'!J59+'Lincoln Pgs 42-43'!J59+'Mason Pgs 44-45'!J59+'Northeast Tri Pgs 46-47'!J59+'Okanogan Pgs 48-49'!J59+'Pacific Pgs 50-51'!J59+'San Juan Pgs 52-53'!J59+'Skagit Pgs 56-57'!J59+'Skamania Pgs 58-59'!J59+'Snohomish Pgs 60-61'!J59+'Spokane Pgs 62-63'!J59+'Tacoma-Pierce Pgs 64-65'!J59+'Thurston Pgs 66-67'!J59+'Wahkiakum Pgs 68-69'!J59+'Walla Walla Pgs 70-71'!J59+'Whatcom Pgs 72-73'!J59+'Whitman Pgs 74-75'!J59+'Yakima Pgs 76-77'!J59+'Seattle-King Pgs 54-55'!J59</f>
        <v>677704</v>
      </c>
      <c r="K59" s="95">
        <f>'Adams Pgs 8-9'!K59+'Asotin Pgs 10-11'!K59+'Benton-Franklin Pgs 12-13'!K59+'Chelan-Douglas Pgs 14-15'!K59+'Clallam Pgs 16-17'!K59+'Clark Pgs 18-19'!K59+'Columbia Pgs 20-21'!K59+'Cowlitz Pgs 22-23'!K59+'Garfield Pgs 24-25'!K59+'Grant Pgs 26-27'!K59+'Grays Harbor Pgs 28-29'!K59+'Island Pgs 30-31'!K59+'Jefferson Pgs 32-33'!K59+'Kitsap Pgs 34-35'!K59+'Kittitas Pgs 36-37'!K59+'Klickitat Pgs 38-39'!K59+'Lewis Pgs 40-41'!K59+'Lincoln Pgs 42-43'!K59+'Mason Pgs 44-45'!K59+'Northeast Tri Pgs 46-47'!K59+'Okanogan Pgs 48-49'!K59+'Pacific Pgs 50-51'!K59+'San Juan Pgs 52-53'!K59+'Skagit Pgs 56-57'!K59+'Skamania Pgs 58-59'!K59+'Snohomish Pgs 60-61'!K59+'Spokane Pgs 62-63'!K59+'Tacoma-Pierce Pgs 64-65'!K59+'Thurston Pgs 66-67'!K59+'Wahkiakum Pgs 68-69'!K59+'Walla Walla Pgs 70-71'!K59+'Whatcom Pgs 72-73'!K59+'Whitman Pgs 74-75'!K59+'Yakima Pgs 76-77'!K59+'Seattle-King Pgs 54-55'!K59</f>
        <v>292327</v>
      </c>
      <c r="L59" s="119">
        <f t="shared" si="3"/>
        <v>6529458</v>
      </c>
      <c r="M59" s="11"/>
    </row>
    <row r="60" spans="1:13" ht="15.75" customHeight="1" thickBot="1" x14ac:dyDescent="0.3">
      <c r="A60" s="173"/>
      <c r="B60" s="174" t="s">
        <v>41</v>
      </c>
      <c r="C60" s="175">
        <f>SUM(C48:C59)</f>
        <v>118271982</v>
      </c>
      <c r="D60" s="111">
        <f>SUM(D48:D59)</f>
        <v>142386553</v>
      </c>
      <c r="E60" s="156">
        <f t="shared" ref="E60:I60" si="4">SUM(E48:E59)</f>
        <v>10180855</v>
      </c>
      <c r="F60" s="112">
        <f>SUM(F48:F59)</f>
        <v>3487275</v>
      </c>
      <c r="G60" s="157">
        <f t="shared" si="4"/>
        <v>36006965</v>
      </c>
      <c r="H60" s="112">
        <f t="shared" si="4"/>
        <v>19569022</v>
      </c>
      <c r="I60" s="158">
        <f t="shared" si="4"/>
        <v>41747834</v>
      </c>
      <c r="J60" s="111">
        <f>SUM(J48:J59)</f>
        <v>32552055</v>
      </c>
      <c r="K60" s="112">
        <f>SUM(K48:K59)</f>
        <v>13013211</v>
      </c>
      <c r="L60" s="120">
        <f>SUM(C60:K60)</f>
        <v>417215752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181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1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187">
        <f>C60</f>
        <v>118271982</v>
      </c>
      <c r="D66" s="188">
        <f>C60/L60</f>
        <v>0.28347918656724158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190">
        <f>D60</f>
        <v>142386553</v>
      </c>
      <c r="D67" s="191">
        <f>D60/L60</f>
        <v>0.34127798942739823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193">
        <f>SUM(C66:C67)</f>
        <v>260658535</v>
      </c>
      <c r="D68" s="194">
        <f>SUM(D66:D67)</f>
        <v>0.62475717599463976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196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199">
        <f>E60</f>
        <v>10180855</v>
      </c>
      <c r="D70" s="200">
        <f>E60/$L60</f>
        <v>2.4401895065553517E-2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199">
        <f>F60</f>
        <v>3487275</v>
      </c>
      <c r="D71" s="200">
        <f>F60/L60</f>
        <v>8.3584452007938563E-3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199">
        <f>G60</f>
        <v>36006965</v>
      </c>
      <c r="D72" s="200">
        <f>G60/$L60</f>
        <v>8.6302985511438696E-2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02">
        <f>H60</f>
        <v>19569022</v>
      </c>
      <c r="D73" s="203">
        <f>H60/$L60</f>
        <v>4.6903842690963406E-2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04">
        <f>SUM(C70:C73)</f>
        <v>69244117</v>
      </c>
      <c r="D74" s="194">
        <f>SUM(D70:D73)</f>
        <v>0.16596716846874948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05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187">
        <f>I60</f>
        <v>41747834</v>
      </c>
      <c r="D76" s="188">
        <f>I60/L60</f>
        <v>0.1000629381797646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190">
        <f>J60</f>
        <v>32552055</v>
      </c>
      <c r="D77" s="191">
        <f>J60/L60</f>
        <v>7.8022114083554542E-2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04">
        <f>SUM(C76:C77)</f>
        <v>74299889</v>
      </c>
      <c r="D78" s="194">
        <f>SUM(D76:D77)</f>
        <v>0.17808505226331914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07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04">
        <f>K60</f>
        <v>13013211</v>
      </c>
      <c r="D80" s="194">
        <f>K60/L60</f>
        <v>3.119060327329156E-2</v>
      </c>
      <c r="E80" s="176"/>
      <c r="F80" s="176"/>
      <c r="G80" s="176"/>
      <c r="I80" s="129"/>
      <c r="J80" s="129"/>
      <c r="K80" s="176"/>
      <c r="M80" s="11"/>
    </row>
    <row r="81" spans="1:13" ht="15.75" thickBot="1" x14ac:dyDescent="0.3">
      <c r="B81" s="210" t="s">
        <v>41</v>
      </c>
      <c r="C81" s="211">
        <f>C74+C78+C68+C80</f>
        <v>417215752</v>
      </c>
      <c r="D81" s="212">
        <f>D74+D78+D68+D80</f>
        <v>1</v>
      </c>
    </row>
    <row r="90" spans="1:13" x14ac:dyDescent="0.25">
      <c r="M90" s="20"/>
    </row>
    <row r="92" spans="1:13" s="28" customFormat="1" x14ac:dyDescent="0.25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</row>
    <row r="93" spans="1:13" s="28" customFormat="1" x14ac:dyDescent="0.25">
      <c r="A93" s="21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</row>
    <row r="94" spans="1:13" s="28" customFormat="1" x14ac:dyDescent="0.25">
      <c r="A94" s="213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</row>
    <row r="95" spans="1:13" s="28" customFormat="1" x14ac:dyDescent="0.25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</row>
    <row r="96" spans="1:13" s="28" customFormat="1" x14ac:dyDescent="0.25">
      <c r="A96" s="213"/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</row>
    <row r="97" spans="1:12" s="28" customFormat="1" x14ac:dyDescent="0.25">
      <c r="A97" s="21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</row>
    <row r="98" spans="1:12" s="28" customFormat="1" x14ac:dyDescent="0.25">
      <c r="A98" s="213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</row>
    <row r="99" spans="1:12" s="28" customFormat="1" x14ac:dyDescent="0.25">
      <c r="A99" s="213"/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</row>
    <row r="100" spans="1:12" s="28" customFormat="1" x14ac:dyDescent="0.25">
      <c r="A100" s="213"/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</row>
    <row r="101" spans="1:12" s="28" customFormat="1" x14ac:dyDescent="0.25">
      <c r="A101" s="213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</row>
    <row r="102" spans="1:12" s="28" customFormat="1" x14ac:dyDescent="0.25">
      <c r="A102" s="213"/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</row>
    <row r="103" spans="1:12" s="28" customFormat="1" x14ac:dyDescent="0.25">
      <c r="A103" s="213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</row>
    <row r="104" spans="1:12" s="28" customFormat="1" x14ac:dyDescent="0.25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</row>
    <row r="105" spans="1:12" s="28" customFormat="1" x14ac:dyDescent="0.25">
      <c r="A105" s="21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</row>
    <row r="106" spans="1:12" s="28" customFormat="1" x14ac:dyDescent="0.25">
      <c r="A106" s="213"/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</row>
    <row r="107" spans="1:12" s="28" customFormat="1" x14ac:dyDescent="0.25">
      <c r="A107" s="213"/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</row>
    <row r="108" spans="1:12" s="28" customFormat="1" x14ac:dyDescent="0.25">
      <c r="A108" s="213"/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</row>
    <row r="109" spans="1:12" s="28" customFormat="1" x14ac:dyDescent="0.25">
      <c r="A109" s="213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</row>
    <row r="110" spans="1:12" s="28" customFormat="1" x14ac:dyDescent="0.25">
      <c r="A110" s="213"/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</row>
    <row r="111" spans="1:12" s="28" customFormat="1" x14ac:dyDescent="0.25">
      <c r="A111" s="213"/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</row>
    <row r="112" spans="1:12" s="28" customFormat="1" x14ac:dyDescent="0.25">
      <c r="A112" s="213"/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</row>
    <row r="113" spans="1:12" s="28" customFormat="1" x14ac:dyDescent="0.25">
      <c r="A113" s="213"/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</row>
    <row r="114" spans="1:12" s="28" customFormat="1" x14ac:dyDescent="0.25">
      <c r="A114" s="213"/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</row>
    <row r="115" spans="1:12" s="28" customFormat="1" x14ac:dyDescent="0.25">
      <c r="A115" s="213"/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</row>
    <row r="116" spans="1:12" s="28" customFormat="1" x14ac:dyDescent="0.25">
      <c r="A116" s="213"/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</row>
    <row r="117" spans="1:12" s="28" customFormat="1" x14ac:dyDescent="0.25">
      <c r="A117" s="213"/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</row>
    <row r="118" spans="1:12" s="28" customFormat="1" x14ac:dyDescent="0.25">
      <c r="A118" s="213"/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</row>
    <row r="119" spans="1:12" s="28" customFormat="1" x14ac:dyDescent="0.25">
      <c r="A119" s="213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</row>
    <row r="120" spans="1:12" s="28" customFormat="1" x14ac:dyDescent="0.25">
      <c r="A120" s="213"/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</row>
    <row r="121" spans="1:12" s="28" customFormat="1" x14ac:dyDescent="0.25">
      <c r="A121" s="213"/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</row>
    <row r="122" spans="1:12" s="28" customFormat="1" x14ac:dyDescent="0.25">
      <c r="A122" s="213"/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</row>
    <row r="123" spans="1:12" s="28" customFormat="1" x14ac:dyDescent="0.25">
      <c r="A123" s="213"/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</row>
    <row r="124" spans="1:12" s="28" customFormat="1" x14ac:dyDescent="0.25">
      <c r="A124" s="213"/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</row>
    <row r="125" spans="1:12" s="28" customFormat="1" x14ac:dyDescent="0.25">
      <c r="A125" s="213"/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</row>
    <row r="126" spans="1:12" s="28" customFormat="1" x14ac:dyDescent="0.25">
      <c r="A126" s="213"/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</row>
    <row r="127" spans="1:12" s="28" customFormat="1" x14ac:dyDescent="0.25">
      <c r="A127" s="213"/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</row>
    <row r="128" spans="1:12" s="28" customFormat="1" x14ac:dyDescent="0.25">
      <c r="A128" s="213"/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</row>
    <row r="129" spans="1:12" s="28" customFormat="1" x14ac:dyDescent="0.2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</row>
    <row r="130" spans="1:12" s="28" customFormat="1" x14ac:dyDescent="0.25">
      <c r="A130" s="213"/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</row>
    <row r="131" spans="1:12" s="28" customFormat="1" x14ac:dyDescent="0.25">
      <c r="A131" s="213"/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</row>
    <row r="132" spans="1:12" s="28" customFormat="1" x14ac:dyDescent="0.25">
      <c r="A132" s="213"/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</row>
    <row r="133" spans="1:12" s="28" customFormat="1" x14ac:dyDescent="0.25">
      <c r="A133" s="213"/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</row>
    <row r="134" spans="1:12" s="28" customFormat="1" x14ac:dyDescent="0.25">
      <c r="A134" s="213"/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</row>
    <row r="135" spans="1:12" s="28" customFormat="1" x14ac:dyDescent="0.25">
      <c r="A135" s="213"/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</row>
    <row r="136" spans="1:12" s="28" customFormat="1" x14ac:dyDescent="0.25">
      <c r="A136" s="213"/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</row>
    <row r="137" spans="1:12" s="28" customFormat="1" x14ac:dyDescent="0.25">
      <c r="A137" s="213"/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</row>
    <row r="138" spans="1:12" s="28" customFormat="1" x14ac:dyDescent="0.25">
      <c r="A138" s="213"/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</row>
    <row r="139" spans="1:12" s="28" customFormat="1" x14ac:dyDescent="0.25">
      <c r="A139" s="213"/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</row>
    <row r="140" spans="1:12" s="28" customFormat="1" x14ac:dyDescent="0.25">
      <c r="A140" s="213"/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</row>
    <row r="141" spans="1:12" s="28" customFormat="1" x14ac:dyDescent="0.25">
      <c r="A141" s="213"/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</row>
    <row r="142" spans="1:12" s="28" customFormat="1" x14ac:dyDescent="0.25">
      <c r="A142" s="213"/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</row>
    <row r="143" spans="1:12" s="28" customFormat="1" x14ac:dyDescent="0.25">
      <c r="A143" s="213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</row>
    <row r="144" spans="1:12" s="28" customFormat="1" x14ac:dyDescent="0.25">
      <c r="A144" s="213"/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</row>
    <row r="145" spans="1:12" s="28" customFormat="1" x14ac:dyDescent="0.25">
      <c r="A145" s="213"/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</row>
    <row r="146" spans="1:12" s="28" customFormat="1" x14ac:dyDescent="0.25">
      <c r="A146" s="213"/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</row>
    <row r="147" spans="1:12" s="28" customFormat="1" x14ac:dyDescent="0.25">
      <c r="A147" s="213"/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</row>
    <row r="148" spans="1:12" s="28" customFormat="1" x14ac:dyDescent="0.25">
      <c r="A148" s="213"/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</row>
    <row r="149" spans="1:12" s="28" customFormat="1" x14ac:dyDescent="0.25">
      <c r="A149" s="213"/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</row>
    <row r="150" spans="1:12" s="28" customFormat="1" x14ac:dyDescent="0.25">
      <c r="A150" s="213"/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</row>
    <row r="151" spans="1:12" s="28" customFormat="1" x14ac:dyDescent="0.25">
      <c r="A151" s="213"/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</row>
    <row r="152" spans="1:12" s="28" customFormat="1" x14ac:dyDescent="0.25">
      <c r="A152" s="213"/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</row>
    <row r="153" spans="1:12" s="28" customFormat="1" x14ac:dyDescent="0.25">
      <c r="A153" s="213"/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</row>
    <row r="154" spans="1:12" s="28" customFormat="1" x14ac:dyDescent="0.25">
      <c r="A154" s="213"/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</row>
    <row r="155" spans="1:12" s="28" customFormat="1" x14ac:dyDescent="0.25">
      <c r="A155" s="213"/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</row>
    <row r="156" spans="1:12" s="28" customFormat="1" x14ac:dyDescent="0.25">
      <c r="A156" s="213"/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</row>
    <row r="157" spans="1:12" s="28" customFormat="1" x14ac:dyDescent="0.25">
      <c r="A157" s="213"/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</row>
    <row r="158" spans="1:12" s="28" customFormat="1" x14ac:dyDescent="0.25">
      <c r="A158" s="213"/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</row>
    <row r="159" spans="1:12" s="28" customFormat="1" x14ac:dyDescent="0.25">
      <c r="A159" s="213"/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</row>
    <row r="160" spans="1:12" s="28" customFormat="1" x14ac:dyDescent="0.25">
      <c r="A160" s="213"/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</row>
    <row r="161" spans="1:12" s="28" customFormat="1" x14ac:dyDescent="0.25">
      <c r="A161" s="213"/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</row>
    <row r="162" spans="1:12" s="28" customFormat="1" x14ac:dyDescent="0.25">
      <c r="A162" s="213"/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</row>
    <row r="163" spans="1:12" s="28" customFormat="1" x14ac:dyDescent="0.25">
      <c r="A163" s="213"/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</row>
    <row r="164" spans="1:12" s="28" customFormat="1" x14ac:dyDescent="0.25">
      <c r="A164" s="213"/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</row>
    <row r="165" spans="1:12" s="28" customFormat="1" x14ac:dyDescent="0.25">
      <c r="A165" s="213"/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</row>
    <row r="166" spans="1:12" s="28" customFormat="1" x14ac:dyDescent="0.25">
      <c r="A166" s="213"/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</row>
    <row r="167" spans="1:12" s="28" customFormat="1" x14ac:dyDescent="0.25">
      <c r="A167" s="213"/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</row>
    <row r="168" spans="1:12" s="28" customFormat="1" x14ac:dyDescent="0.25">
      <c r="A168" s="213"/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</row>
    <row r="169" spans="1:12" s="28" customFormat="1" x14ac:dyDescent="0.25">
      <c r="A169" s="213"/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</row>
    <row r="170" spans="1:12" s="28" customFormat="1" x14ac:dyDescent="0.25">
      <c r="A170" s="213"/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</row>
    <row r="171" spans="1:12" s="28" customFormat="1" x14ac:dyDescent="0.25">
      <c r="A171" s="213"/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</row>
    <row r="172" spans="1:12" s="28" customFormat="1" x14ac:dyDescent="0.25">
      <c r="A172" s="213"/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</row>
    <row r="173" spans="1:12" s="28" customFormat="1" x14ac:dyDescent="0.25">
      <c r="A173" s="213"/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</row>
    <row r="174" spans="1:12" s="28" customFormat="1" x14ac:dyDescent="0.25">
      <c r="A174" s="213"/>
      <c r="B174" s="213"/>
      <c r="C174" s="213"/>
      <c r="D174" s="213"/>
      <c r="E174" s="213"/>
      <c r="F174" s="213"/>
      <c r="G174" s="213"/>
      <c r="H174" s="213"/>
      <c r="I174" s="213"/>
      <c r="J174" s="213"/>
      <c r="K174" s="213"/>
      <c r="L174" s="213"/>
    </row>
    <row r="175" spans="1:12" s="28" customFormat="1" x14ac:dyDescent="0.25">
      <c r="A175" s="213"/>
      <c r="B175" s="213"/>
      <c r="C175" s="213"/>
      <c r="D175" s="213"/>
      <c r="E175" s="213"/>
      <c r="F175" s="213"/>
      <c r="G175" s="213"/>
      <c r="H175" s="213"/>
      <c r="I175" s="213"/>
      <c r="J175" s="213"/>
      <c r="K175" s="213"/>
      <c r="L175" s="213"/>
    </row>
    <row r="176" spans="1:12" s="28" customFormat="1" x14ac:dyDescent="0.25">
      <c r="A176" s="213"/>
      <c r="B176" s="213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</row>
    <row r="177" spans="1:12" s="28" customFormat="1" x14ac:dyDescent="0.25">
      <c r="A177" s="21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</row>
    <row r="178" spans="1:12" s="28" customFormat="1" x14ac:dyDescent="0.25">
      <c r="A178" s="213"/>
      <c r="B178" s="213"/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</row>
    <row r="179" spans="1:12" s="28" customFormat="1" x14ac:dyDescent="0.25">
      <c r="A179" s="213"/>
      <c r="B179" s="213"/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</row>
    <row r="180" spans="1:12" s="28" customFormat="1" x14ac:dyDescent="0.25">
      <c r="A180" s="213"/>
      <c r="B180" s="213"/>
      <c r="C180" s="213"/>
      <c r="D180" s="213"/>
      <c r="E180" s="213"/>
      <c r="F180" s="213"/>
      <c r="G180" s="213"/>
      <c r="H180" s="213"/>
      <c r="I180" s="213"/>
      <c r="J180" s="213"/>
      <c r="K180" s="213"/>
      <c r="L180" s="213"/>
    </row>
    <row r="181" spans="1:12" s="28" customFormat="1" x14ac:dyDescent="0.25">
      <c r="A181" s="213"/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</row>
    <row r="182" spans="1:12" s="28" customFormat="1" x14ac:dyDescent="0.25">
      <c r="A182" s="213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</row>
    <row r="183" spans="1:12" s="28" customFormat="1" x14ac:dyDescent="0.25">
      <c r="A183" s="213"/>
      <c r="B183" s="213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</row>
    <row r="184" spans="1:12" s="28" customFormat="1" x14ac:dyDescent="0.25">
      <c r="A184" s="213"/>
      <c r="B184" s="213"/>
      <c r="C184" s="213"/>
      <c r="D184" s="213"/>
      <c r="E184" s="213"/>
      <c r="F184" s="213"/>
      <c r="G184" s="213"/>
      <c r="H184" s="213"/>
      <c r="I184" s="213"/>
      <c r="J184" s="213"/>
      <c r="K184" s="213"/>
      <c r="L184" s="213"/>
    </row>
    <row r="185" spans="1:12" s="28" customFormat="1" x14ac:dyDescent="0.25">
      <c r="A185" s="213"/>
      <c r="B185" s="213"/>
      <c r="C185" s="213"/>
      <c r="D185" s="213"/>
      <c r="E185" s="213"/>
      <c r="F185" s="213"/>
      <c r="G185" s="213"/>
      <c r="H185" s="213"/>
      <c r="I185" s="213"/>
      <c r="J185" s="213"/>
      <c r="K185" s="213"/>
      <c r="L185" s="213"/>
    </row>
    <row r="186" spans="1:12" s="28" customFormat="1" x14ac:dyDescent="0.25">
      <c r="A186" s="213"/>
      <c r="B186" s="213"/>
      <c r="C186" s="213"/>
      <c r="D186" s="213"/>
      <c r="E186" s="213"/>
      <c r="F186" s="213"/>
      <c r="G186" s="213"/>
      <c r="H186" s="213"/>
      <c r="I186" s="213"/>
      <c r="J186" s="213"/>
      <c r="K186" s="213"/>
      <c r="L186" s="213"/>
    </row>
    <row r="187" spans="1:12" s="28" customFormat="1" x14ac:dyDescent="0.25">
      <c r="A187" s="213"/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</row>
    <row r="188" spans="1:12" s="28" customFormat="1" x14ac:dyDescent="0.25">
      <c r="A188" s="213"/>
      <c r="B188" s="213"/>
      <c r="C188" s="213"/>
      <c r="D188" s="213"/>
      <c r="E188" s="213"/>
      <c r="F188" s="213"/>
      <c r="G188" s="213"/>
      <c r="H188" s="213"/>
      <c r="I188" s="213"/>
      <c r="J188" s="213"/>
      <c r="K188" s="213"/>
      <c r="L188" s="213"/>
    </row>
    <row r="189" spans="1:12" s="28" customFormat="1" x14ac:dyDescent="0.25">
      <c r="A189" s="213"/>
      <c r="B189" s="213"/>
      <c r="C189" s="213"/>
      <c r="D189" s="213"/>
      <c r="E189" s="213"/>
      <c r="F189" s="213"/>
      <c r="G189" s="213"/>
      <c r="H189" s="213"/>
      <c r="I189" s="213"/>
      <c r="J189" s="213"/>
      <c r="K189" s="213"/>
      <c r="L189" s="213"/>
    </row>
    <row r="190" spans="1:12" s="28" customFormat="1" x14ac:dyDescent="0.25">
      <c r="A190" s="213"/>
      <c r="B190" s="213"/>
      <c r="C190" s="213"/>
      <c r="D190" s="213"/>
      <c r="E190" s="213"/>
      <c r="F190" s="213"/>
      <c r="G190" s="213"/>
      <c r="H190" s="213"/>
      <c r="I190" s="213"/>
      <c r="J190" s="213"/>
      <c r="K190" s="213"/>
      <c r="L190" s="213"/>
    </row>
    <row r="191" spans="1:12" s="28" customFormat="1" x14ac:dyDescent="0.25">
      <c r="A191" s="213"/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</row>
    <row r="192" spans="1:12" s="28" customFormat="1" x14ac:dyDescent="0.25">
      <c r="A192" s="213"/>
      <c r="B192" s="213"/>
      <c r="C192" s="213"/>
      <c r="D192" s="213"/>
      <c r="E192" s="213"/>
      <c r="F192" s="213"/>
      <c r="G192" s="213"/>
      <c r="H192" s="213"/>
      <c r="I192" s="213"/>
      <c r="J192" s="213"/>
      <c r="K192" s="213"/>
      <c r="L192" s="213"/>
    </row>
    <row r="193" spans="1:12" s="28" customFormat="1" x14ac:dyDescent="0.25">
      <c r="A193" s="213"/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</row>
    <row r="194" spans="1:12" s="28" customFormat="1" x14ac:dyDescent="0.25">
      <c r="A194" s="213"/>
      <c r="B194" s="213"/>
      <c r="C194" s="213"/>
      <c r="D194" s="213"/>
      <c r="E194" s="213"/>
      <c r="F194" s="213"/>
      <c r="G194" s="213"/>
      <c r="H194" s="213"/>
      <c r="I194" s="213"/>
      <c r="J194" s="213"/>
      <c r="K194" s="213"/>
      <c r="L194" s="213"/>
    </row>
    <row r="195" spans="1:12" s="28" customFormat="1" x14ac:dyDescent="0.25">
      <c r="A195" s="213"/>
      <c r="B195" s="213"/>
      <c r="C195" s="213"/>
      <c r="D195" s="213"/>
      <c r="E195" s="213"/>
      <c r="F195" s="213"/>
      <c r="G195" s="213"/>
      <c r="H195" s="213"/>
      <c r="I195" s="213"/>
      <c r="J195" s="213"/>
      <c r="K195" s="213"/>
      <c r="L195" s="213"/>
    </row>
    <row r="196" spans="1:12" s="28" customFormat="1" x14ac:dyDescent="0.25">
      <c r="A196" s="213"/>
      <c r="B196" s="213"/>
      <c r="C196" s="213"/>
      <c r="D196" s="213"/>
      <c r="E196" s="213"/>
      <c r="F196" s="213"/>
      <c r="G196" s="213"/>
      <c r="H196" s="213"/>
      <c r="I196" s="213"/>
      <c r="J196" s="213"/>
      <c r="K196" s="213"/>
      <c r="L196" s="213"/>
    </row>
    <row r="197" spans="1:12" s="28" customFormat="1" x14ac:dyDescent="0.25">
      <c r="A197" s="213"/>
      <c r="B197" s="213"/>
      <c r="C197" s="213"/>
      <c r="D197" s="213"/>
      <c r="E197" s="213"/>
      <c r="F197" s="213"/>
      <c r="G197" s="213"/>
      <c r="H197" s="213"/>
      <c r="I197" s="213"/>
      <c r="J197" s="213"/>
      <c r="K197" s="213"/>
      <c r="L197" s="213"/>
    </row>
    <row r="198" spans="1:12" s="28" customFormat="1" x14ac:dyDescent="0.25">
      <c r="A198" s="213"/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  <c r="L198" s="213"/>
    </row>
    <row r="199" spans="1:12" s="28" customFormat="1" x14ac:dyDescent="0.25">
      <c r="A199" s="213"/>
      <c r="B199" s="213"/>
      <c r="C199" s="213"/>
      <c r="D199" s="213"/>
      <c r="E199" s="213"/>
      <c r="F199" s="213"/>
      <c r="G199" s="213"/>
      <c r="H199" s="213"/>
      <c r="I199" s="213"/>
      <c r="J199" s="213"/>
      <c r="K199" s="213"/>
      <c r="L199" s="213"/>
    </row>
    <row r="200" spans="1:12" s="28" customFormat="1" x14ac:dyDescent="0.25">
      <c r="A200" s="213"/>
      <c r="B200" s="213"/>
      <c r="C200" s="213"/>
      <c r="D200" s="213"/>
      <c r="E200" s="213"/>
      <c r="F200" s="213"/>
      <c r="G200" s="213"/>
      <c r="H200" s="213"/>
      <c r="I200" s="213"/>
      <c r="J200" s="213"/>
      <c r="K200" s="213"/>
      <c r="L200" s="213"/>
    </row>
    <row r="201" spans="1:12" s="28" customFormat="1" x14ac:dyDescent="0.25">
      <c r="A201" s="213"/>
      <c r="B201" s="213"/>
      <c r="C201" s="213"/>
      <c r="D201" s="213"/>
      <c r="E201" s="213"/>
      <c r="F201" s="213"/>
      <c r="G201" s="213"/>
      <c r="H201" s="213"/>
      <c r="I201" s="213"/>
      <c r="J201" s="213"/>
      <c r="K201" s="213"/>
      <c r="L201" s="213"/>
    </row>
    <row r="202" spans="1:12" s="28" customFormat="1" x14ac:dyDescent="0.25">
      <c r="A202" s="213"/>
      <c r="B202" s="213"/>
      <c r="C202" s="213"/>
      <c r="D202" s="213"/>
      <c r="E202" s="213"/>
      <c r="F202" s="213"/>
      <c r="G202" s="213"/>
      <c r="H202" s="213"/>
      <c r="I202" s="213"/>
      <c r="J202" s="213"/>
      <c r="K202" s="213"/>
      <c r="L202" s="213"/>
    </row>
    <row r="203" spans="1:12" s="28" customFormat="1" x14ac:dyDescent="0.25">
      <c r="A203" s="213"/>
      <c r="B203" s="213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</row>
    <row r="204" spans="1:12" s="28" customFormat="1" x14ac:dyDescent="0.25">
      <c r="A204" s="213"/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3"/>
    </row>
    <row r="205" spans="1:12" s="28" customFormat="1" x14ac:dyDescent="0.25">
      <c r="A205" s="213"/>
      <c r="B205" s="213"/>
      <c r="C205" s="213"/>
      <c r="D205" s="213"/>
      <c r="E205" s="213"/>
      <c r="F205" s="213"/>
      <c r="G205" s="213"/>
      <c r="H205" s="213"/>
      <c r="I205" s="213"/>
      <c r="J205" s="213"/>
      <c r="K205" s="213"/>
      <c r="L205" s="213"/>
    </row>
    <row r="206" spans="1:12" s="28" customFormat="1" x14ac:dyDescent="0.25">
      <c r="A206" s="213"/>
      <c r="B206" s="213"/>
      <c r="C206" s="213"/>
      <c r="D206" s="213"/>
      <c r="E206" s="213"/>
      <c r="F206" s="213"/>
      <c r="G206" s="213"/>
      <c r="H206" s="213"/>
      <c r="I206" s="213"/>
      <c r="J206" s="213"/>
      <c r="K206" s="213"/>
      <c r="L206" s="213"/>
    </row>
    <row r="207" spans="1:12" s="28" customFormat="1" x14ac:dyDescent="0.25">
      <c r="A207" s="213"/>
      <c r="B207" s="213"/>
      <c r="C207" s="213"/>
      <c r="D207" s="213"/>
      <c r="E207" s="213"/>
      <c r="F207" s="213"/>
      <c r="G207" s="213"/>
      <c r="H207" s="213"/>
      <c r="I207" s="213"/>
      <c r="J207" s="213"/>
      <c r="K207" s="213"/>
      <c r="L207" s="213"/>
    </row>
    <row r="208" spans="1:12" s="28" customFormat="1" x14ac:dyDescent="0.25">
      <c r="A208" s="213"/>
      <c r="B208" s="213"/>
      <c r="C208" s="213"/>
      <c r="D208" s="213"/>
      <c r="E208" s="213"/>
      <c r="F208" s="213"/>
      <c r="G208" s="213"/>
      <c r="H208" s="213"/>
      <c r="I208" s="213"/>
      <c r="J208" s="213"/>
      <c r="K208" s="213"/>
      <c r="L208" s="213"/>
    </row>
    <row r="209" spans="1:12" s="28" customFormat="1" x14ac:dyDescent="0.25">
      <c r="A209" s="213"/>
      <c r="B209" s="213"/>
      <c r="C209" s="213"/>
      <c r="D209" s="213"/>
      <c r="E209" s="213"/>
      <c r="F209" s="213"/>
      <c r="G209" s="213"/>
      <c r="H209" s="213"/>
      <c r="I209" s="213"/>
      <c r="J209" s="213"/>
      <c r="K209" s="213"/>
      <c r="L209" s="213"/>
    </row>
    <row r="210" spans="1:12" s="28" customFormat="1" x14ac:dyDescent="0.25">
      <c r="A210" s="213"/>
      <c r="B210" s="213"/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</row>
    <row r="211" spans="1:12" s="28" customFormat="1" x14ac:dyDescent="0.25">
      <c r="A211" s="213"/>
      <c r="B211" s="213"/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</row>
    <row r="212" spans="1:12" s="28" customFormat="1" x14ac:dyDescent="0.25">
      <c r="A212" s="213"/>
      <c r="B212" s="213"/>
      <c r="C212" s="213"/>
      <c r="D212" s="213"/>
      <c r="E212" s="213"/>
      <c r="F212" s="213"/>
      <c r="G212" s="213"/>
      <c r="H212" s="213"/>
      <c r="I212" s="213"/>
      <c r="J212" s="213"/>
      <c r="K212" s="213"/>
      <c r="L212" s="213"/>
    </row>
    <row r="213" spans="1:12" s="28" customFormat="1" x14ac:dyDescent="0.25">
      <c r="A213" s="213"/>
      <c r="B213" s="213"/>
      <c r="C213" s="213"/>
      <c r="D213" s="213"/>
      <c r="E213" s="213"/>
      <c r="F213" s="213"/>
      <c r="G213" s="213"/>
      <c r="H213" s="213"/>
      <c r="I213" s="213"/>
      <c r="J213" s="213"/>
      <c r="K213" s="213"/>
      <c r="L213" s="213"/>
    </row>
    <row r="214" spans="1:12" s="28" customFormat="1" x14ac:dyDescent="0.25">
      <c r="A214" s="213"/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</row>
    <row r="215" spans="1:12" s="28" customFormat="1" x14ac:dyDescent="0.25">
      <c r="A215" s="213"/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3"/>
    </row>
    <row r="216" spans="1:12" s="28" customFormat="1" x14ac:dyDescent="0.25">
      <c r="A216" s="213"/>
      <c r="B216" s="213"/>
      <c r="C216" s="213"/>
      <c r="D216" s="213"/>
      <c r="E216" s="213"/>
      <c r="F216" s="213"/>
      <c r="G216" s="213"/>
      <c r="H216" s="213"/>
      <c r="I216" s="213"/>
      <c r="J216" s="213"/>
      <c r="K216" s="213"/>
      <c r="L216" s="213"/>
    </row>
    <row r="217" spans="1:12" s="28" customFormat="1" x14ac:dyDescent="0.25">
      <c r="A217" s="213"/>
      <c r="B217" s="213"/>
      <c r="C217" s="213"/>
      <c r="D217" s="213"/>
      <c r="E217" s="213"/>
      <c r="F217" s="213"/>
      <c r="G217" s="213"/>
      <c r="H217" s="213"/>
      <c r="I217" s="213"/>
      <c r="J217" s="213"/>
      <c r="K217" s="213"/>
      <c r="L217" s="213"/>
    </row>
    <row r="218" spans="1:12" s="28" customFormat="1" x14ac:dyDescent="0.25">
      <c r="A218" s="213"/>
      <c r="B218" s="213"/>
      <c r="C218" s="213"/>
      <c r="D218" s="213"/>
      <c r="E218" s="213"/>
      <c r="F218" s="213"/>
      <c r="G218" s="213"/>
      <c r="H218" s="213"/>
      <c r="I218" s="213"/>
      <c r="J218" s="213"/>
      <c r="K218" s="213"/>
      <c r="L218" s="213"/>
    </row>
    <row r="219" spans="1:12" s="28" customFormat="1" x14ac:dyDescent="0.25">
      <c r="A219" s="213"/>
      <c r="B219" s="213"/>
      <c r="C219" s="213"/>
      <c r="D219" s="213"/>
      <c r="E219" s="213"/>
      <c r="F219" s="213"/>
      <c r="G219" s="213"/>
      <c r="H219" s="213"/>
      <c r="I219" s="213"/>
      <c r="J219" s="213"/>
      <c r="K219" s="213"/>
      <c r="L219" s="213"/>
    </row>
    <row r="220" spans="1:12" s="28" customFormat="1" x14ac:dyDescent="0.25">
      <c r="A220" s="213"/>
      <c r="B220" s="213"/>
      <c r="C220" s="213"/>
      <c r="D220" s="213"/>
      <c r="E220" s="213"/>
      <c r="F220" s="213"/>
      <c r="G220" s="213"/>
      <c r="H220" s="213"/>
      <c r="I220" s="213"/>
      <c r="J220" s="213"/>
      <c r="K220" s="213"/>
      <c r="L220" s="213"/>
    </row>
    <row r="221" spans="1:12" s="28" customFormat="1" x14ac:dyDescent="0.25">
      <c r="A221" s="213"/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</row>
    <row r="222" spans="1:12" s="28" customFormat="1" x14ac:dyDescent="0.25">
      <c r="A222" s="213"/>
      <c r="B222" s="213"/>
      <c r="C222" s="213"/>
      <c r="D222" s="213"/>
      <c r="E222" s="213"/>
      <c r="F222" s="213"/>
      <c r="G222" s="213"/>
      <c r="H222" s="213"/>
      <c r="I222" s="213"/>
      <c r="J222" s="213"/>
      <c r="K222" s="213"/>
      <c r="L222" s="213"/>
    </row>
    <row r="223" spans="1:12" s="28" customFormat="1" x14ac:dyDescent="0.25">
      <c r="A223" s="213"/>
      <c r="B223" s="213"/>
      <c r="C223" s="213"/>
      <c r="D223" s="213"/>
      <c r="E223" s="213"/>
      <c r="F223" s="213"/>
      <c r="G223" s="213"/>
      <c r="H223" s="213"/>
      <c r="I223" s="213"/>
      <c r="J223" s="213"/>
      <c r="K223" s="213"/>
      <c r="L223" s="213"/>
    </row>
    <row r="224" spans="1:12" s="28" customFormat="1" x14ac:dyDescent="0.25">
      <c r="A224" s="213"/>
      <c r="B224" s="213"/>
      <c r="C224" s="213"/>
      <c r="D224" s="213"/>
      <c r="E224" s="213"/>
      <c r="F224" s="213"/>
      <c r="G224" s="213"/>
      <c r="H224" s="213"/>
      <c r="I224" s="213"/>
      <c r="J224" s="213"/>
      <c r="K224" s="213"/>
      <c r="L224" s="213"/>
    </row>
    <row r="225" spans="1:12" s="28" customFormat="1" x14ac:dyDescent="0.25">
      <c r="A225" s="213"/>
      <c r="B225" s="213"/>
      <c r="C225" s="213"/>
      <c r="D225" s="213"/>
      <c r="E225" s="213"/>
      <c r="F225" s="213"/>
      <c r="G225" s="213"/>
      <c r="H225" s="213"/>
      <c r="I225" s="213"/>
      <c r="J225" s="213"/>
      <c r="K225" s="213"/>
      <c r="L225" s="213"/>
    </row>
    <row r="226" spans="1:12" s="28" customFormat="1" x14ac:dyDescent="0.25">
      <c r="A226" s="213"/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3"/>
    </row>
    <row r="227" spans="1:12" s="28" customFormat="1" x14ac:dyDescent="0.25">
      <c r="A227" s="213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</row>
    <row r="228" spans="1:12" s="28" customFormat="1" x14ac:dyDescent="0.25">
      <c r="A228" s="213"/>
      <c r="B228" s="213"/>
      <c r="C228" s="213"/>
      <c r="D228" s="213"/>
      <c r="E228" s="213"/>
      <c r="F228" s="213"/>
      <c r="G228" s="213"/>
      <c r="H228" s="213"/>
      <c r="I228" s="213"/>
      <c r="J228" s="213"/>
      <c r="K228" s="213"/>
      <c r="L228" s="213"/>
    </row>
    <row r="229" spans="1:12" s="28" customFormat="1" x14ac:dyDescent="0.25">
      <c r="A229" s="213"/>
      <c r="B229" s="213"/>
      <c r="C229" s="213"/>
      <c r="D229" s="213"/>
      <c r="E229" s="213"/>
      <c r="F229" s="213"/>
      <c r="G229" s="213"/>
      <c r="H229" s="213"/>
      <c r="I229" s="213"/>
      <c r="J229" s="213"/>
      <c r="K229" s="213"/>
      <c r="L229" s="213"/>
    </row>
    <row r="230" spans="1:12" s="28" customFormat="1" x14ac:dyDescent="0.25">
      <c r="A230" s="213"/>
      <c r="B230" s="213"/>
      <c r="C230" s="213"/>
      <c r="D230" s="213"/>
      <c r="E230" s="213"/>
      <c r="F230" s="213"/>
      <c r="G230" s="213"/>
      <c r="H230" s="213"/>
      <c r="I230" s="213"/>
      <c r="J230" s="213"/>
      <c r="K230" s="213"/>
      <c r="L230" s="213"/>
    </row>
    <row r="231" spans="1:12" s="28" customFormat="1" x14ac:dyDescent="0.25">
      <c r="A231" s="213"/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</row>
    <row r="232" spans="1:12" s="28" customFormat="1" x14ac:dyDescent="0.25">
      <c r="A232" s="213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</row>
    <row r="233" spans="1:12" s="28" customFormat="1" x14ac:dyDescent="0.25">
      <c r="A233" s="213"/>
      <c r="B233" s="213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</row>
    <row r="234" spans="1:12" s="28" customFormat="1" x14ac:dyDescent="0.25">
      <c r="A234" s="213"/>
      <c r="B234" s="213"/>
      <c r="C234" s="213"/>
      <c r="D234" s="213"/>
      <c r="E234" s="213"/>
      <c r="F234" s="213"/>
      <c r="G234" s="213"/>
      <c r="H234" s="213"/>
      <c r="I234" s="213"/>
      <c r="J234" s="213"/>
      <c r="K234" s="213"/>
      <c r="L234" s="213"/>
    </row>
    <row r="235" spans="1:12" s="28" customFormat="1" x14ac:dyDescent="0.25">
      <c r="A235" s="213"/>
      <c r="B235" s="213"/>
      <c r="C235" s="213"/>
      <c r="D235" s="213"/>
      <c r="E235" s="213"/>
      <c r="F235" s="213"/>
      <c r="G235" s="213"/>
      <c r="H235" s="213"/>
      <c r="I235" s="213"/>
      <c r="J235" s="213"/>
      <c r="K235" s="213"/>
      <c r="L235" s="213"/>
    </row>
    <row r="236" spans="1:12" s="28" customFormat="1" x14ac:dyDescent="0.25">
      <c r="A236" s="213"/>
      <c r="B236" s="213"/>
      <c r="C236" s="213"/>
      <c r="D236" s="213"/>
      <c r="E236" s="213"/>
      <c r="F236" s="213"/>
      <c r="G236" s="213"/>
      <c r="H236" s="213"/>
      <c r="I236" s="213"/>
      <c r="J236" s="213"/>
      <c r="K236" s="213"/>
      <c r="L236" s="213"/>
    </row>
    <row r="237" spans="1:12" s="28" customFormat="1" x14ac:dyDescent="0.25">
      <c r="A237" s="213"/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</row>
    <row r="238" spans="1:12" s="28" customFormat="1" x14ac:dyDescent="0.25">
      <c r="A238" s="213"/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</row>
    <row r="239" spans="1:12" s="28" customFormat="1" x14ac:dyDescent="0.25">
      <c r="A239" s="213"/>
      <c r="B239" s="213"/>
      <c r="C239" s="213"/>
      <c r="D239" s="213"/>
      <c r="E239" s="213"/>
      <c r="F239" s="213"/>
      <c r="G239" s="213"/>
      <c r="H239" s="213"/>
      <c r="I239" s="213"/>
      <c r="J239" s="213"/>
      <c r="K239" s="213"/>
      <c r="L239" s="213"/>
    </row>
    <row r="240" spans="1:12" s="28" customFormat="1" x14ac:dyDescent="0.25">
      <c r="A240" s="213"/>
      <c r="B240" s="213"/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</row>
    <row r="241" spans="1:12" s="28" customFormat="1" x14ac:dyDescent="0.25">
      <c r="A241" s="213"/>
      <c r="B241" s="213"/>
      <c r="C241" s="213"/>
      <c r="D241" s="213"/>
      <c r="E241" s="213"/>
      <c r="F241" s="213"/>
      <c r="G241" s="213"/>
      <c r="H241" s="213"/>
      <c r="I241" s="213"/>
      <c r="J241" s="213"/>
      <c r="K241" s="213"/>
      <c r="L241" s="213"/>
    </row>
    <row r="242" spans="1:12" s="28" customFormat="1" x14ac:dyDescent="0.25">
      <c r="A242" s="213"/>
      <c r="B242" s="213"/>
      <c r="C242" s="213"/>
      <c r="D242" s="213"/>
      <c r="E242" s="213"/>
      <c r="F242" s="213"/>
      <c r="G242" s="213"/>
      <c r="H242" s="213"/>
      <c r="I242" s="213"/>
      <c r="J242" s="213"/>
      <c r="K242" s="213"/>
      <c r="L242" s="213"/>
    </row>
    <row r="243" spans="1:12" s="28" customFormat="1" x14ac:dyDescent="0.25">
      <c r="A243" s="213"/>
      <c r="B243" s="213"/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</row>
    <row r="244" spans="1:12" s="28" customFormat="1" x14ac:dyDescent="0.25">
      <c r="A244" s="213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</row>
    <row r="245" spans="1:12" s="28" customFormat="1" x14ac:dyDescent="0.25">
      <c r="A245" s="213"/>
      <c r="B245" s="213"/>
      <c r="C245" s="213"/>
      <c r="D245" s="213"/>
      <c r="E245" s="213"/>
      <c r="F245" s="213"/>
      <c r="G245" s="213"/>
      <c r="H245" s="213"/>
      <c r="I245" s="213"/>
      <c r="J245" s="213"/>
      <c r="K245" s="213"/>
      <c r="L245" s="213"/>
    </row>
    <row r="246" spans="1:12" s="28" customFormat="1" x14ac:dyDescent="0.25">
      <c r="A246" s="213"/>
      <c r="B246" s="213"/>
      <c r="C246" s="213"/>
      <c r="D246" s="213"/>
      <c r="E246" s="213"/>
      <c r="F246" s="213"/>
      <c r="G246" s="213"/>
      <c r="H246" s="213"/>
      <c r="I246" s="213"/>
      <c r="J246" s="213"/>
      <c r="K246" s="213"/>
      <c r="L246" s="213"/>
    </row>
    <row r="247" spans="1:12" s="28" customFormat="1" x14ac:dyDescent="0.25">
      <c r="A247" s="213"/>
      <c r="B247" s="213"/>
      <c r="C247" s="213"/>
      <c r="D247" s="213"/>
      <c r="E247" s="213"/>
      <c r="F247" s="213"/>
      <c r="G247" s="213"/>
      <c r="H247" s="213"/>
      <c r="I247" s="213"/>
      <c r="J247" s="213"/>
      <c r="K247" s="213"/>
      <c r="L247" s="213"/>
    </row>
    <row r="248" spans="1:12" s="28" customFormat="1" x14ac:dyDescent="0.25">
      <c r="A248" s="213"/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3"/>
    </row>
    <row r="249" spans="1:12" s="28" customFormat="1" x14ac:dyDescent="0.25">
      <c r="A249" s="213"/>
      <c r="B249" s="213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</row>
    <row r="250" spans="1:12" s="28" customFormat="1" x14ac:dyDescent="0.25">
      <c r="A250" s="213"/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</row>
    <row r="251" spans="1:12" s="28" customFormat="1" x14ac:dyDescent="0.25">
      <c r="A251" s="213"/>
      <c r="B251" s="213"/>
      <c r="C251" s="213"/>
      <c r="D251" s="213"/>
      <c r="E251" s="213"/>
      <c r="F251" s="213"/>
      <c r="G251" s="213"/>
      <c r="H251" s="213"/>
      <c r="I251" s="213"/>
      <c r="J251" s="213"/>
      <c r="K251" s="213"/>
      <c r="L251" s="213"/>
    </row>
    <row r="252" spans="1:12" s="28" customFormat="1" x14ac:dyDescent="0.25">
      <c r="A252" s="213"/>
      <c r="B252" s="213"/>
      <c r="C252" s="213"/>
      <c r="D252" s="213"/>
      <c r="E252" s="213"/>
      <c r="F252" s="213"/>
      <c r="G252" s="213"/>
      <c r="H252" s="213"/>
      <c r="I252" s="213"/>
      <c r="J252" s="213"/>
      <c r="K252" s="213"/>
      <c r="L252" s="213"/>
    </row>
    <row r="253" spans="1:12" s="28" customFormat="1" x14ac:dyDescent="0.25">
      <c r="A253" s="213"/>
      <c r="B253" s="213"/>
      <c r="C253" s="213"/>
      <c r="D253" s="213"/>
      <c r="E253" s="213"/>
      <c r="F253" s="213"/>
      <c r="G253" s="213"/>
      <c r="H253" s="213"/>
      <c r="I253" s="213"/>
      <c r="J253" s="213"/>
      <c r="K253" s="213"/>
      <c r="L253" s="213"/>
    </row>
    <row r="254" spans="1:12" s="28" customFormat="1" x14ac:dyDescent="0.25">
      <c r="A254" s="213"/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</row>
    <row r="255" spans="1:12" s="28" customFormat="1" x14ac:dyDescent="0.25">
      <c r="A255" s="213"/>
      <c r="B255" s="213"/>
      <c r="C255" s="213"/>
      <c r="D255" s="213"/>
      <c r="E255" s="213"/>
      <c r="F255" s="213"/>
      <c r="G255" s="213"/>
      <c r="H255" s="213"/>
      <c r="I255" s="213"/>
      <c r="J255" s="213"/>
      <c r="K255" s="213"/>
      <c r="L255" s="213"/>
    </row>
    <row r="256" spans="1:12" s="28" customFormat="1" x14ac:dyDescent="0.25">
      <c r="A256" s="213"/>
      <c r="B256" s="213"/>
      <c r="C256" s="213"/>
      <c r="D256" s="213"/>
      <c r="E256" s="213"/>
      <c r="F256" s="213"/>
      <c r="G256" s="213"/>
      <c r="H256" s="213"/>
      <c r="I256" s="213"/>
      <c r="J256" s="213"/>
      <c r="K256" s="213"/>
      <c r="L256" s="213"/>
    </row>
    <row r="257" spans="1:12" s="28" customFormat="1" x14ac:dyDescent="0.25">
      <c r="A257" s="213"/>
      <c r="B257" s="213"/>
      <c r="C257" s="213"/>
      <c r="D257" s="213"/>
      <c r="E257" s="213"/>
      <c r="F257" s="213"/>
      <c r="G257" s="213"/>
      <c r="H257" s="213"/>
      <c r="I257" s="213"/>
      <c r="J257" s="213"/>
      <c r="K257" s="213"/>
      <c r="L257" s="213"/>
    </row>
    <row r="258" spans="1:12" s="28" customFormat="1" x14ac:dyDescent="0.25">
      <c r="A258" s="213"/>
      <c r="B258" s="213"/>
      <c r="C258" s="213"/>
      <c r="D258" s="213"/>
      <c r="E258" s="213"/>
      <c r="F258" s="213"/>
      <c r="G258" s="213"/>
      <c r="H258" s="213"/>
      <c r="I258" s="213"/>
      <c r="J258" s="213"/>
      <c r="K258" s="213"/>
      <c r="L258" s="213"/>
    </row>
    <row r="259" spans="1:12" s="28" customFormat="1" x14ac:dyDescent="0.25">
      <c r="A259" s="213"/>
      <c r="B259" s="213"/>
      <c r="C259" s="213"/>
      <c r="D259" s="213"/>
      <c r="E259" s="213"/>
      <c r="F259" s="213"/>
      <c r="G259" s="213"/>
      <c r="H259" s="213"/>
      <c r="I259" s="213"/>
      <c r="J259" s="213"/>
      <c r="K259" s="213"/>
      <c r="L259" s="213"/>
    </row>
    <row r="260" spans="1:12" s="28" customFormat="1" x14ac:dyDescent="0.25">
      <c r="A260" s="213"/>
      <c r="B260" s="213"/>
      <c r="C260" s="213"/>
      <c r="D260" s="213"/>
      <c r="E260" s="213"/>
      <c r="F260" s="213"/>
      <c r="G260" s="213"/>
      <c r="H260" s="213"/>
      <c r="I260" s="213"/>
      <c r="J260" s="213"/>
      <c r="K260" s="213"/>
      <c r="L260" s="213"/>
    </row>
    <row r="261" spans="1:12" s="28" customFormat="1" x14ac:dyDescent="0.25">
      <c r="A261" s="213"/>
      <c r="B261" s="213"/>
      <c r="C261" s="213"/>
      <c r="D261" s="213"/>
      <c r="E261" s="213"/>
      <c r="F261" s="213"/>
      <c r="G261" s="213"/>
      <c r="H261" s="213"/>
      <c r="I261" s="213"/>
      <c r="J261" s="213"/>
      <c r="K261" s="213"/>
      <c r="L261" s="213"/>
    </row>
    <row r="262" spans="1:12" s="28" customFormat="1" x14ac:dyDescent="0.25">
      <c r="A262" s="213"/>
      <c r="B262" s="213"/>
      <c r="C262" s="213"/>
      <c r="D262" s="213"/>
      <c r="E262" s="213"/>
      <c r="F262" s="213"/>
      <c r="G262" s="213"/>
      <c r="H262" s="213"/>
      <c r="I262" s="213"/>
      <c r="J262" s="213"/>
      <c r="K262" s="213"/>
      <c r="L262" s="213"/>
    </row>
    <row r="263" spans="1:12" s="28" customFormat="1" x14ac:dyDescent="0.25">
      <c r="A263" s="213"/>
      <c r="B263" s="213"/>
      <c r="C263" s="213"/>
      <c r="D263" s="213"/>
      <c r="E263" s="213"/>
      <c r="F263" s="213"/>
      <c r="G263" s="213"/>
      <c r="H263" s="213"/>
      <c r="I263" s="213"/>
      <c r="J263" s="213"/>
      <c r="K263" s="213"/>
      <c r="L263" s="213"/>
    </row>
    <row r="264" spans="1:12" s="28" customFormat="1" x14ac:dyDescent="0.25">
      <c r="A264" s="213"/>
      <c r="B264" s="213"/>
      <c r="C264" s="213"/>
      <c r="D264" s="213"/>
      <c r="E264" s="213"/>
      <c r="F264" s="213"/>
      <c r="G264" s="213"/>
      <c r="H264" s="213"/>
      <c r="I264" s="213"/>
      <c r="J264" s="213"/>
      <c r="K264" s="213"/>
      <c r="L264" s="213"/>
    </row>
    <row r="265" spans="1:12" s="28" customFormat="1" x14ac:dyDescent="0.25">
      <c r="A265" s="213"/>
      <c r="B265" s="213"/>
      <c r="C265" s="213"/>
      <c r="D265" s="213"/>
      <c r="E265" s="213"/>
      <c r="F265" s="213"/>
      <c r="G265" s="213"/>
      <c r="H265" s="213"/>
      <c r="I265" s="213"/>
      <c r="J265" s="213"/>
      <c r="K265" s="213"/>
      <c r="L265" s="213"/>
    </row>
    <row r="266" spans="1:12" s="28" customFormat="1" x14ac:dyDescent="0.25">
      <c r="A266" s="213"/>
      <c r="B266" s="213"/>
      <c r="C266" s="213"/>
      <c r="D266" s="213"/>
      <c r="E266" s="213"/>
      <c r="F266" s="213"/>
      <c r="G266" s="213"/>
      <c r="H266" s="213"/>
      <c r="I266" s="213"/>
      <c r="J266" s="213"/>
      <c r="K266" s="213"/>
      <c r="L266" s="213"/>
    </row>
    <row r="267" spans="1:12" s="28" customFormat="1" x14ac:dyDescent="0.25">
      <c r="A267" s="213"/>
      <c r="B267" s="213"/>
      <c r="C267" s="213"/>
      <c r="D267" s="213"/>
      <c r="E267" s="213"/>
      <c r="F267" s="213"/>
      <c r="G267" s="213"/>
      <c r="H267" s="213"/>
      <c r="I267" s="213"/>
      <c r="J267" s="213"/>
      <c r="K267" s="213"/>
      <c r="L267" s="213"/>
    </row>
    <row r="268" spans="1:12" s="28" customFormat="1" x14ac:dyDescent="0.25">
      <c r="A268" s="213"/>
      <c r="B268" s="213"/>
      <c r="C268" s="213"/>
      <c r="D268" s="213"/>
      <c r="E268" s="213"/>
      <c r="F268" s="213"/>
      <c r="G268" s="213"/>
      <c r="H268" s="213"/>
      <c r="I268" s="213"/>
      <c r="J268" s="213"/>
      <c r="K268" s="213"/>
      <c r="L268" s="213"/>
    </row>
    <row r="269" spans="1:12" s="28" customFormat="1" x14ac:dyDescent="0.25">
      <c r="A269" s="213"/>
      <c r="B269" s="213"/>
      <c r="C269" s="213"/>
      <c r="D269" s="213"/>
      <c r="E269" s="213"/>
      <c r="F269" s="213"/>
      <c r="G269" s="213"/>
      <c r="H269" s="213"/>
      <c r="I269" s="213"/>
      <c r="J269" s="213"/>
      <c r="K269" s="213"/>
      <c r="L269" s="213"/>
    </row>
    <row r="270" spans="1:12" s="28" customFormat="1" x14ac:dyDescent="0.25">
      <c r="A270" s="213"/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3"/>
    </row>
    <row r="271" spans="1:12" s="28" customFormat="1" x14ac:dyDescent="0.25">
      <c r="A271" s="213"/>
      <c r="B271" s="213"/>
      <c r="C271" s="213"/>
      <c r="D271" s="213"/>
      <c r="E271" s="213"/>
      <c r="F271" s="213"/>
      <c r="G271" s="213"/>
      <c r="H271" s="213"/>
      <c r="I271" s="213"/>
      <c r="J271" s="213"/>
      <c r="K271" s="213"/>
      <c r="L271" s="213"/>
    </row>
    <row r="272" spans="1:12" s="28" customFormat="1" x14ac:dyDescent="0.25">
      <c r="A272" s="213"/>
      <c r="B272" s="213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</row>
    <row r="273" spans="1:12" s="28" customFormat="1" x14ac:dyDescent="0.25">
      <c r="A273" s="213"/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</row>
    <row r="274" spans="1:12" s="28" customFormat="1" x14ac:dyDescent="0.25">
      <c r="A274" s="213"/>
      <c r="B274" s="213"/>
      <c r="C274" s="213"/>
      <c r="D274" s="213"/>
      <c r="E274" s="213"/>
      <c r="F274" s="213"/>
      <c r="G274" s="213"/>
      <c r="H274" s="213"/>
      <c r="I274" s="213"/>
      <c r="J274" s="213"/>
      <c r="K274" s="213"/>
      <c r="L274" s="213"/>
    </row>
    <row r="275" spans="1:12" s="28" customFormat="1" x14ac:dyDescent="0.25">
      <c r="A275" s="213"/>
      <c r="B275" s="213"/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</row>
    <row r="276" spans="1:12" s="28" customFormat="1" x14ac:dyDescent="0.25">
      <c r="A276" s="213"/>
      <c r="B276" s="213"/>
      <c r="C276" s="213"/>
      <c r="D276" s="213"/>
      <c r="E276" s="213"/>
      <c r="F276" s="213"/>
      <c r="G276" s="213"/>
      <c r="H276" s="213"/>
      <c r="I276" s="213"/>
      <c r="J276" s="213"/>
      <c r="K276" s="213"/>
      <c r="L276" s="213"/>
    </row>
    <row r="277" spans="1:12" s="28" customFormat="1" x14ac:dyDescent="0.25">
      <c r="A277" s="213"/>
      <c r="B277" s="213"/>
      <c r="C277" s="213"/>
      <c r="D277" s="213"/>
      <c r="E277" s="213"/>
      <c r="F277" s="213"/>
      <c r="G277" s="213"/>
      <c r="H277" s="213"/>
      <c r="I277" s="213"/>
      <c r="J277" s="213"/>
      <c r="K277" s="213"/>
      <c r="L277" s="213"/>
    </row>
    <row r="278" spans="1:12" s="28" customFormat="1" x14ac:dyDescent="0.25">
      <c r="A278" s="213"/>
      <c r="B278" s="213"/>
      <c r="C278" s="213"/>
      <c r="D278" s="213"/>
      <c r="E278" s="213"/>
      <c r="F278" s="213"/>
      <c r="G278" s="213"/>
      <c r="H278" s="213"/>
      <c r="I278" s="213"/>
      <c r="J278" s="213"/>
      <c r="K278" s="213"/>
      <c r="L278" s="213"/>
    </row>
    <row r="279" spans="1:12" s="28" customFormat="1" x14ac:dyDescent="0.25">
      <c r="A279" s="213"/>
      <c r="B279" s="213"/>
      <c r="C279" s="213"/>
      <c r="D279" s="213"/>
      <c r="E279" s="213"/>
      <c r="F279" s="213"/>
      <c r="G279" s="213"/>
      <c r="H279" s="213"/>
      <c r="I279" s="213"/>
      <c r="J279" s="213"/>
      <c r="K279" s="213"/>
      <c r="L279" s="213"/>
    </row>
    <row r="280" spans="1:12" s="28" customFormat="1" x14ac:dyDescent="0.25">
      <c r="A280" s="213"/>
      <c r="B280" s="213"/>
      <c r="C280" s="213"/>
      <c r="D280" s="213"/>
      <c r="E280" s="213"/>
      <c r="F280" s="213"/>
      <c r="G280" s="213"/>
      <c r="H280" s="213"/>
      <c r="I280" s="213"/>
      <c r="J280" s="213"/>
      <c r="K280" s="213"/>
      <c r="L280" s="213"/>
    </row>
    <row r="281" spans="1:12" s="28" customFormat="1" x14ac:dyDescent="0.25">
      <c r="A281" s="213"/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3"/>
    </row>
    <row r="282" spans="1:12" s="28" customFormat="1" x14ac:dyDescent="0.25">
      <c r="A282" s="213"/>
      <c r="B282" s="213"/>
      <c r="C282" s="213"/>
      <c r="D282" s="213"/>
      <c r="E282" s="213"/>
      <c r="F282" s="213"/>
      <c r="G282" s="213"/>
      <c r="H282" s="213"/>
      <c r="I282" s="213"/>
      <c r="J282" s="213"/>
      <c r="K282" s="213"/>
      <c r="L282" s="213"/>
    </row>
    <row r="283" spans="1:12" s="28" customFormat="1" x14ac:dyDescent="0.25">
      <c r="A283" s="213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</row>
    <row r="284" spans="1:12" s="28" customFormat="1" x14ac:dyDescent="0.25">
      <c r="A284" s="213"/>
      <c r="B284" s="213"/>
      <c r="C284" s="213"/>
      <c r="D284" s="213"/>
      <c r="E284" s="213"/>
      <c r="F284" s="213"/>
      <c r="G284" s="213"/>
      <c r="H284" s="213"/>
      <c r="I284" s="213"/>
      <c r="J284" s="213"/>
      <c r="K284" s="213"/>
      <c r="L284" s="213"/>
    </row>
    <row r="285" spans="1:12" s="28" customFormat="1" x14ac:dyDescent="0.25">
      <c r="A285" s="213"/>
      <c r="B285" s="213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</row>
    <row r="286" spans="1:12" s="28" customFormat="1" x14ac:dyDescent="0.25">
      <c r="A286" s="213"/>
      <c r="B286" s="213"/>
      <c r="C286" s="213"/>
      <c r="D286" s="213"/>
      <c r="E286" s="213"/>
      <c r="F286" s="213"/>
      <c r="G286" s="213"/>
      <c r="H286" s="213"/>
      <c r="I286" s="213"/>
      <c r="J286" s="213"/>
      <c r="K286" s="213"/>
      <c r="L286" s="213"/>
    </row>
    <row r="287" spans="1:12" s="28" customFormat="1" x14ac:dyDescent="0.25">
      <c r="A287" s="213"/>
      <c r="B287" s="213"/>
      <c r="C287" s="213"/>
      <c r="D287" s="213"/>
      <c r="E287" s="213"/>
      <c r="F287" s="213"/>
      <c r="G287" s="213"/>
      <c r="H287" s="213"/>
      <c r="I287" s="213"/>
      <c r="J287" s="213"/>
      <c r="K287" s="213"/>
      <c r="L287" s="213"/>
    </row>
    <row r="288" spans="1:12" s="28" customFormat="1" x14ac:dyDescent="0.25">
      <c r="A288" s="213"/>
      <c r="B288" s="213"/>
      <c r="C288" s="213"/>
      <c r="D288" s="213"/>
      <c r="E288" s="213"/>
      <c r="F288" s="213"/>
      <c r="G288" s="213"/>
      <c r="H288" s="213"/>
      <c r="I288" s="213"/>
      <c r="J288" s="213"/>
      <c r="K288" s="213"/>
      <c r="L288" s="213"/>
    </row>
    <row r="289" spans="1:12" s="28" customFormat="1" x14ac:dyDescent="0.25">
      <c r="A289" s="213"/>
      <c r="B289" s="213"/>
      <c r="C289" s="213"/>
      <c r="D289" s="213"/>
      <c r="E289" s="213"/>
      <c r="F289" s="213"/>
      <c r="G289" s="213"/>
      <c r="H289" s="213"/>
      <c r="I289" s="213"/>
      <c r="J289" s="213"/>
      <c r="K289" s="213"/>
      <c r="L289" s="213"/>
    </row>
    <row r="290" spans="1:12" s="28" customFormat="1" x14ac:dyDescent="0.25">
      <c r="A290" s="213"/>
      <c r="B290" s="213"/>
      <c r="C290" s="213"/>
      <c r="D290" s="213"/>
      <c r="E290" s="213"/>
      <c r="F290" s="213"/>
      <c r="G290" s="213"/>
      <c r="H290" s="213"/>
      <c r="I290" s="213"/>
      <c r="J290" s="213"/>
      <c r="K290" s="213"/>
      <c r="L290" s="213"/>
    </row>
    <row r="291" spans="1:12" s="28" customFormat="1" x14ac:dyDescent="0.25">
      <c r="A291" s="213"/>
      <c r="B291" s="213"/>
      <c r="C291" s="213"/>
      <c r="D291" s="213"/>
      <c r="E291" s="213"/>
      <c r="F291" s="213"/>
      <c r="G291" s="213"/>
      <c r="H291" s="213"/>
      <c r="I291" s="213"/>
      <c r="J291" s="213"/>
      <c r="K291" s="213"/>
      <c r="L291" s="213"/>
    </row>
    <row r="292" spans="1:12" s="28" customFormat="1" x14ac:dyDescent="0.25">
      <c r="A292" s="213"/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3"/>
    </row>
    <row r="293" spans="1:12" s="28" customFormat="1" x14ac:dyDescent="0.25">
      <c r="A293" s="213"/>
      <c r="B293" s="213"/>
      <c r="C293" s="213"/>
      <c r="D293" s="213"/>
      <c r="E293" s="213"/>
      <c r="F293" s="213"/>
      <c r="G293" s="213"/>
      <c r="H293" s="213"/>
      <c r="I293" s="213"/>
      <c r="J293" s="213"/>
      <c r="K293" s="213"/>
      <c r="L293" s="213"/>
    </row>
    <row r="294" spans="1:12" s="28" customFormat="1" x14ac:dyDescent="0.25">
      <c r="A294" s="213"/>
      <c r="B294" s="213"/>
      <c r="C294" s="213"/>
      <c r="D294" s="213"/>
      <c r="E294" s="213"/>
      <c r="F294" s="213"/>
      <c r="G294" s="213"/>
      <c r="H294" s="213"/>
      <c r="I294" s="213"/>
      <c r="J294" s="213"/>
      <c r="K294" s="213"/>
      <c r="L294" s="213"/>
    </row>
    <row r="295" spans="1:12" s="28" customFormat="1" x14ac:dyDescent="0.25">
      <c r="A295" s="213"/>
      <c r="B295" s="213"/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</row>
    <row r="296" spans="1:12" s="28" customFormat="1" x14ac:dyDescent="0.25">
      <c r="A296" s="213"/>
      <c r="B296" s="213"/>
      <c r="C296" s="213"/>
      <c r="D296" s="213"/>
      <c r="E296" s="213"/>
      <c r="F296" s="213"/>
      <c r="G296" s="213"/>
      <c r="H296" s="213"/>
      <c r="I296" s="213"/>
      <c r="J296" s="213"/>
      <c r="K296" s="213"/>
      <c r="L296" s="213"/>
    </row>
    <row r="297" spans="1:12" s="28" customFormat="1" x14ac:dyDescent="0.25">
      <c r="A297" s="213"/>
      <c r="B297" s="213"/>
      <c r="C297" s="213"/>
      <c r="D297" s="213"/>
      <c r="E297" s="213"/>
      <c r="F297" s="213"/>
      <c r="G297" s="213"/>
      <c r="H297" s="213"/>
      <c r="I297" s="213"/>
      <c r="J297" s="213"/>
      <c r="K297" s="213"/>
      <c r="L297" s="213"/>
    </row>
    <row r="298" spans="1:12" s="28" customFormat="1" x14ac:dyDescent="0.25">
      <c r="A298" s="213"/>
      <c r="B298" s="213"/>
      <c r="C298" s="213"/>
      <c r="D298" s="213"/>
      <c r="E298" s="213"/>
      <c r="F298" s="213"/>
      <c r="G298" s="213"/>
      <c r="H298" s="213"/>
      <c r="I298" s="213"/>
      <c r="J298" s="213"/>
      <c r="K298" s="213"/>
      <c r="L298" s="213"/>
    </row>
    <row r="299" spans="1:12" s="28" customFormat="1" x14ac:dyDescent="0.25">
      <c r="A299" s="213"/>
      <c r="B299" s="213"/>
      <c r="C299" s="213"/>
      <c r="D299" s="213"/>
      <c r="E299" s="213"/>
      <c r="F299" s="213"/>
      <c r="G299" s="213"/>
      <c r="H299" s="213"/>
      <c r="I299" s="213"/>
      <c r="J299" s="213"/>
      <c r="K299" s="213"/>
      <c r="L299" s="213"/>
    </row>
    <row r="300" spans="1:12" s="28" customFormat="1" x14ac:dyDescent="0.25">
      <c r="A300" s="213"/>
      <c r="B300" s="213"/>
      <c r="C300" s="213"/>
      <c r="D300" s="213"/>
      <c r="E300" s="213"/>
      <c r="F300" s="213"/>
      <c r="G300" s="213"/>
      <c r="H300" s="213"/>
      <c r="I300" s="213"/>
      <c r="J300" s="213"/>
      <c r="K300" s="213"/>
      <c r="L300" s="213"/>
    </row>
    <row r="301" spans="1:12" s="28" customFormat="1" x14ac:dyDescent="0.25">
      <c r="A301" s="213"/>
      <c r="B301" s="213"/>
      <c r="C301" s="213"/>
      <c r="D301" s="213"/>
      <c r="E301" s="213"/>
      <c r="F301" s="213"/>
      <c r="G301" s="213"/>
      <c r="H301" s="213"/>
      <c r="I301" s="213"/>
      <c r="J301" s="213"/>
      <c r="K301" s="213"/>
      <c r="L301" s="213"/>
    </row>
    <row r="302" spans="1:12" s="28" customFormat="1" x14ac:dyDescent="0.25">
      <c r="A302" s="213"/>
      <c r="B302" s="213"/>
      <c r="C302" s="213"/>
      <c r="D302" s="213"/>
      <c r="E302" s="213"/>
      <c r="F302" s="213"/>
      <c r="G302" s="213"/>
      <c r="H302" s="213"/>
      <c r="I302" s="213"/>
      <c r="J302" s="213"/>
      <c r="K302" s="213"/>
      <c r="L302" s="213"/>
    </row>
    <row r="303" spans="1:12" s="28" customFormat="1" x14ac:dyDescent="0.25">
      <c r="A303" s="213"/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3"/>
    </row>
    <row r="304" spans="1:12" s="28" customFormat="1" x14ac:dyDescent="0.25">
      <c r="A304" s="213"/>
      <c r="B304" s="213"/>
      <c r="C304" s="213"/>
      <c r="D304" s="213"/>
      <c r="E304" s="213"/>
      <c r="F304" s="213"/>
      <c r="G304" s="213"/>
      <c r="H304" s="213"/>
      <c r="I304" s="213"/>
      <c r="J304" s="213"/>
      <c r="K304" s="213"/>
      <c r="L304" s="213"/>
    </row>
    <row r="305" spans="1:12" s="28" customFormat="1" x14ac:dyDescent="0.25">
      <c r="A305" s="213"/>
      <c r="B305" s="213"/>
      <c r="C305" s="213"/>
      <c r="D305" s="213"/>
      <c r="E305" s="213"/>
      <c r="F305" s="213"/>
      <c r="G305" s="213"/>
      <c r="H305" s="213"/>
      <c r="I305" s="213"/>
      <c r="J305" s="213"/>
      <c r="K305" s="213"/>
      <c r="L305" s="213"/>
    </row>
    <row r="306" spans="1:12" s="28" customFormat="1" x14ac:dyDescent="0.25">
      <c r="A306" s="213"/>
      <c r="B306" s="213"/>
      <c r="C306" s="213"/>
      <c r="D306" s="213"/>
      <c r="E306" s="213"/>
      <c r="F306" s="213"/>
      <c r="G306" s="213"/>
      <c r="H306" s="213"/>
      <c r="I306" s="213"/>
      <c r="J306" s="213"/>
      <c r="K306" s="213"/>
      <c r="L306" s="213"/>
    </row>
    <row r="307" spans="1:12" s="28" customFormat="1" x14ac:dyDescent="0.25">
      <c r="A307" s="213"/>
      <c r="B307" s="213"/>
      <c r="C307" s="213"/>
      <c r="D307" s="213"/>
      <c r="E307" s="213"/>
      <c r="F307" s="213"/>
      <c r="G307" s="213"/>
      <c r="H307" s="213"/>
      <c r="I307" s="213"/>
      <c r="J307" s="213"/>
      <c r="K307" s="213"/>
      <c r="L307" s="213"/>
    </row>
    <row r="308" spans="1:12" s="28" customFormat="1" x14ac:dyDescent="0.25">
      <c r="A308" s="213"/>
      <c r="B308" s="213"/>
      <c r="C308" s="213"/>
      <c r="D308" s="213"/>
      <c r="E308" s="213"/>
      <c r="F308" s="213"/>
      <c r="G308" s="213"/>
      <c r="H308" s="213"/>
      <c r="I308" s="213"/>
      <c r="J308" s="213"/>
      <c r="K308" s="213"/>
      <c r="L308" s="213"/>
    </row>
    <row r="309" spans="1:12" s="28" customFormat="1" x14ac:dyDescent="0.25">
      <c r="A309" s="213"/>
      <c r="B309" s="213"/>
      <c r="C309" s="213"/>
      <c r="D309" s="213"/>
      <c r="E309" s="213"/>
      <c r="F309" s="213"/>
      <c r="G309" s="213"/>
      <c r="H309" s="213"/>
      <c r="I309" s="213"/>
      <c r="J309" s="213"/>
      <c r="K309" s="213"/>
      <c r="L309" s="213"/>
    </row>
    <row r="310" spans="1:12" s="28" customFormat="1" x14ac:dyDescent="0.25">
      <c r="A310" s="213"/>
      <c r="B310" s="213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</row>
    <row r="311" spans="1:12" s="28" customFormat="1" x14ac:dyDescent="0.25">
      <c r="A311" s="213"/>
      <c r="B311" s="213"/>
      <c r="C311" s="213"/>
      <c r="D311" s="213"/>
      <c r="E311" s="213"/>
      <c r="F311" s="213"/>
      <c r="G311" s="213"/>
      <c r="H311" s="213"/>
      <c r="I311" s="213"/>
      <c r="J311" s="213"/>
      <c r="K311" s="213"/>
      <c r="L311" s="213"/>
    </row>
    <row r="312" spans="1:12" s="28" customFormat="1" x14ac:dyDescent="0.25">
      <c r="A312" s="213"/>
      <c r="B312" s="213"/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</row>
    <row r="313" spans="1:12" s="28" customFormat="1" x14ac:dyDescent="0.25">
      <c r="A313" s="213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</row>
    <row r="314" spans="1:12" s="28" customFormat="1" x14ac:dyDescent="0.25">
      <c r="A314" s="213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</row>
    <row r="315" spans="1:12" s="28" customFormat="1" x14ac:dyDescent="0.25">
      <c r="A315" s="213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</row>
    <row r="316" spans="1:12" s="28" customFormat="1" x14ac:dyDescent="0.25">
      <c r="A316" s="213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</row>
    <row r="317" spans="1:12" s="28" customFormat="1" x14ac:dyDescent="0.25">
      <c r="A317" s="213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</row>
    <row r="318" spans="1:12" s="28" customFormat="1" x14ac:dyDescent="0.25">
      <c r="A318" s="213"/>
      <c r="B318" s="213"/>
      <c r="C318" s="213"/>
      <c r="D318" s="213"/>
      <c r="E318" s="213"/>
      <c r="F318" s="213"/>
      <c r="G318" s="213"/>
      <c r="H318" s="213"/>
      <c r="I318" s="213"/>
      <c r="J318" s="213"/>
      <c r="K318" s="213"/>
      <c r="L318" s="213"/>
    </row>
    <row r="319" spans="1:12" s="28" customFormat="1" x14ac:dyDescent="0.25">
      <c r="A319" s="213"/>
      <c r="B319" s="213"/>
      <c r="C319" s="213"/>
      <c r="D319" s="213"/>
      <c r="E319" s="213"/>
      <c r="F319" s="213"/>
      <c r="G319" s="213"/>
      <c r="H319" s="213"/>
      <c r="I319" s="213"/>
      <c r="J319" s="213"/>
      <c r="K319" s="213"/>
      <c r="L319" s="213"/>
    </row>
    <row r="320" spans="1:12" s="28" customFormat="1" x14ac:dyDescent="0.25">
      <c r="A320" s="213"/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</row>
    <row r="321" spans="1:12" s="28" customFormat="1" x14ac:dyDescent="0.25">
      <c r="A321" s="213"/>
      <c r="B321" s="213"/>
      <c r="C321" s="213"/>
      <c r="D321" s="213"/>
      <c r="E321" s="213"/>
      <c r="F321" s="213"/>
      <c r="G321" s="213"/>
      <c r="H321" s="213"/>
      <c r="I321" s="213"/>
      <c r="J321" s="213"/>
      <c r="K321" s="213"/>
      <c r="L321" s="213"/>
    </row>
    <row r="322" spans="1:12" s="28" customFormat="1" x14ac:dyDescent="0.25">
      <c r="A322" s="213"/>
      <c r="B322" s="213"/>
      <c r="C322" s="213"/>
      <c r="D322" s="213"/>
      <c r="E322" s="213"/>
      <c r="F322" s="213"/>
      <c r="G322" s="213"/>
      <c r="H322" s="213"/>
      <c r="I322" s="213"/>
      <c r="J322" s="213"/>
      <c r="K322" s="213"/>
      <c r="L322" s="213"/>
    </row>
    <row r="323" spans="1:12" s="28" customFormat="1" x14ac:dyDescent="0.25">
      <c r="A323" s="213"/>
      <c r="B323" s="213"/>
      <c r="C323" s="213"/>
      <c r="D323" s="213"/>
      <c r="E323" s="213"/>
      <c r="F323" s="213"/>
      <c r="G323" s="213"/>
      <c r="H323" s="213"/>
      <c r="I323" s="213"/>
      <c r="J323" s="213"/>
      <c r="K323" s="213"/>
      <c r="L323" s="213"/>
    </row>
    <row r="324" spans="1:12" s="28" customFormat="1" x14ac:dyDescent="0.25">
      <c r="A324" s="213"/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</row>
    <row r="325" spans="1:12" s="28" customFormat="1" x14ac:dyDescent="0.25">
      <c r="A325" s="213"/>
      <c r="B325" s="213"/>
      <c r="C325" s="213"/>
      <c r="D325" s="213"/>
      <c r="E325" s="213"/>
      <c r="F325" s="213"/>
      <c r="G325" s="213"/>
      <c r="H325" s="213"/>
      <c r="I325" s="213"/>
      <c r="J325" s="213"/>
      <c r="K325" s="213"/>
      <c r="L325" s="213"/>
    </row>
    <row r="326" spans="1:12" s="28" customFormat="1" x14ac:dyDescent="0.25">
      <c r="A326" s="213"/>
      <c r="B326" s="213"/>
      <c r="C326" s="213"/>
      <c r="D326" s="213"/>
      <c r="E326" s="213"/>
      <c r="F326" s="213"/>
      <c r="G326" s="213"/>
      <c r="H326" s="213"/>
      <c r="I326" s="213"/>
      <c r="J326" s="213"/>
      <c r="K326" s="213"/>
      <c r="L326" s="213"/>
    </row>
    <row r="327" spans="1:12" s="28" customFormat="1" x14ac:dyDescent="0.25">
      <c r="A327" s="213"/>
      <c r="B327" s="213"/>
      <c r="C327" s="213"/>
      <c r="D327" s="213"/>
      <c r="E327" s="213"/>
      <c r="F327" s="213"/>
      <c r="G327" s="213"/>
      <c r="H327" s="213"/>
      <c r="I327" s="213"/>
      <c r="J327" s="213"/>
      <c r="K327" s="213"/>
      <c r="L327" s="213"/>
    </row>
    <row r="328" spans="1:12" s="28" customFormat="1" x14ac:dyDescent="0.25">
      <c r="A328" s="213"/>
      <c r="B328" s="213"/>
      <c r="C328" s="213"/>
      <c r="D328" s="213"/>
      <c r="E328" s="213"/>
      <c r="F328" s="213"/>
      <c r="G328" s="213"/>
      <c r="H328" s="213"/>
      <c r="I328" s="213"/>
      <c r="J328" s="213"/>
      <c r="K328" s="213"/>
      <c r="L328" s="213"/>
    </row>
    <row r="329" spans="1:12" s="28" customFormat="1" x14ac:dyDescent="0.25">
      <c r="A329" s="213"/>
      <c r="B329" s="213"/>
      <c r="C329" s="213"/>
      <c r="D329" s="213"/>
      <c r="E329" s="213"/>
      <c r="F329" s="213"/>
      <c r="G329" s="213"/>
      <c r="H329" s="213"/>
      <c r="I329" s="213"/>
      <c r="J329" s="213"/>
      <c r="K329" s="213"/>
      <c r="L329" s="213"/>
    </row>
    <row r="330" spans="1:12" s="28" customFormat="1" x14ac:dyDescent="0.25">
      <c r="A330" s="213"/>
      <c r="B330" s="213"/>
      <c r="C330" s="213"/>
      <c r="D330" s="213"/>
      <c r="E330" s="213"/>
      <c r="F330" s="213"/>
      <c r="G330" s="213"/>
      <c r="H330" s="213"/>
      <c r="I330" s="213"/>
      <c r="J330" s="213"/>
      <c r="K330" s="213"/>
      <c r="L330" s="213"/>
    </row>
  </sheetData>
  <mergeCells count="3">
    <mergeCell ref="E3:H3"/>
    <mergeCell ref="I3:J3"/>
    <mergeCell ref="C3:D3"/>
  </mergeCells>
  <conditionalFormatting sqref="J12 A11:B59 L6:L48 G12:H12 A5:L5 C48:J59 G13:J47 G6:J11 C6:F47 K6:K59">
    <cfRule type="expression" dxfId="135" priority="4">
      <formula>ROW()=EVEN(ROW())</formula>
    </cfRule>
  </conditionalFormatting>
  <conditionalFormatting sqref="L49:L59">
    <cfRule type="expression" dxfId="134" priority="2">
      <formula>ROW()=EVEN(ROW())</formula>
    </cfRule>
  </conditionalFormatting>
  <conditionalFormatting sqref="A6:B10">
    <cfRule type="expression" dxfId="133" priority="1">
      <formula>ROW()=EVEN(ROW())</formula>
    </cfRule>
  </conditionalFormatting>
  <printOptions horizontalCentered="1"/>
  <pageMargins left="0" right="0" top="0.98" bottom="0.6" header="0.3" footer="0.3"/>
  <pageSetup scale="65" firstPageNumber="4" fitToHeight="2" orientation="landscape" useFirstPageNumber="1" r:id="rId1"/>
  <headerFooter>
    <oddHeader xml:space="preserve">&amp;C&amp;"-,Bold"&amp;20Expenditures by Expenditure Code and Revenue Source
2017
All Local Health Jurisdictions
</oddHeader>
    <firstFooter>Page &amp;P</firstFooter>
  </headerFooter>
  <rowBreaks count="1" manualBreakCount="1">
    <brk id="48" max="16383" man="1"/>
  </row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71" zoomScaleNormal="100" workbookViewId="0">
      <selection activeCell="D86" sqref="D86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124100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25.841000000000001</v>
      </c>
      <c r="D2" s="134"/>
      <c r="G2" s="130"/>
      <c r="H2" s="128"/>
      <c r="I2" s="128"/>
      <c r="J2" s="526" t="s">
        <v>143</v>
      </c>
      <c r="K2" s="526"/>
      <c r="L2" s="499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v>1105478</v>
      </c>
      <c r="D5" s="95">
        <v>8397</v>
      </c>
      <c r="E5" s="147"/>
      <c r="F5" s="95"/>
      <c r="G5" s="146"/>
      <c r="H5" s="95"/>
      <c r="I5" s="147"/>
      <c r="J5" s="95">
        <v>96686</v>
      </c>
      <c r="K5" s="96">
        <v>60243</v>
      </c>
      <c r="L5" s="97">
        <f>SUM(C5:K5)</f>
        <v>1270804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/>
      <c r="G6" s="484"/>
      <c r="H6" s="482"/>
      <c r="I6" s="483"/>
      <c r="J6" s="482"/>
      <c r="K6" s="485"/>
      <c r="L6" s="97">
        <f t="shared" ref="L6:L10" si="0">SUM(C6:K6)</f>
        <v>0</v>
      </c>
      <c r="M6" s="11"/>
    </row>
    <row r="7" spans="1:13" ht="15.75" customHeight="1" x14ac:dyDescent="0.25">
      <c r="A7" s="90">
        <v>562.12</v>
      </c>
      <c r="B7" s="171" t="s">
        <v>146</v>
      </c>
      <c r="C7" s="481"/>
      <c r="D7" s="482"/>
      <c r="E7" s="483"/>
      <c r="F7" s="482"/>
      <c r="G7" s="484"/>
      <c r="H7" s="482"/>
      <c r="I7" s="483"/>
      <c r="J7" s="482"/>
      <c r="K7" s="485"/>
      <c r="L7" s="97">
        <f t="shared" si="0"/>
        <v>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/>
      <c r="D11" s="95">
        <v>850</v>
      </c>
      <c r="E11" s="147"/>
      <c r="F11" s="95"/>
      <c r="G11" s="146"/>
      <c r="H11" s="95"/>
      <c r="I11" s="147">
        <v>72857</v>
      </c>
      <c r="J11" s="95">
        <v>374034</v>
      </c>
      <c r="K11" s="96">
        <v>1010</v>
      </c>
      <c r="L11" s="97">
        <f t="shared" ref="L11:L47" si="1">SUM(C11:K11)</f>
        <v>448751</v>
      </c>
      <c r="M11" s="11"/>
    </row>
    <row r="12" spans="1:13" ht="15.7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>
        <v>14000</v>
      </c>
      <c r="I12" s="486"/>
      <c r="J12" s="95">
        <v>14000</v>
      </c>
      <c r="K12" s="96"/>
      <c r="L12" s="97">
        <f t="shared" si="1"/>
        <v>28000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>
        <v>17621</v>
      </c>
      <c r="F13" s="95"/>
      <c r="G13" s="146"/>
      <c r="H13" s="95"/>
      <c r="I13" s="147">
        <v>32317</v>
      </c>
      <c r="J13" s="95"/>
      <c r="K13" s="96"/>
      <c r="L13" s="97">
        <f t="shared" si="1"/>
        <v>49938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>
        <v>14</v>
      </c>
      <c r="E15" s="147"/>
      <c r="F15" s="95"/>
      <c r="G15" s="146"/>
      <c r="H15" s="95"/>
      <c r="I15" s="147"/>
      <c r="J15" s="95"/>
      <c r="K15" s="96"/>
      <c r="L15" s="97">
        <f t="shared" si="1"/>
        <v>14</v>
      </c>
      <c r="M15" s="11"/>
    </row>
    <row r="16" spans="1:13" ht="15.75" customHeight="1" x14ac:dyDescent="0.25">
      <c r="A16" s="90">
        <v>562.28</v>
      </c>
      <c r="B16" s="171" t="s">
        <v>53</v>
      </c>
      <c r="C16" s="144"/>
      <c r="D16" s="95"/>
      <c r="E16" s="147"/>
      <c r="F16" s="95"/>
      <c r="G16" s="146"/>
      <c r="H16" s="95"/>
      <c r="I16" s="147"/>
      <c r="J16" s="95"/>
      <c r="K16" s="96"/>
      <c r="L16" s="97">
        <f t="shared" si="1"/>
        <v>0</v>
      </c>
      <c r="M16" s="11"/>
    </row>
    <row r="17" spans="1:13" ht="15.75" customHeight="1" x14ac:dyDescent="0.25">
      <c r="A17" s="90">
        <v>562.29</v>
      </c>
      <c r="B17" s="171" t="s">
        <v>45</v>
      </c>
      <c r="C17" s="144"/>
      <c r="D17" s="95"/>
      <c r="E17" s="147"/>
      <c r="F17" s="95"/>
      <c r="G17" s="146"/>
      <c r="H17" s="95"/>
      <c r="I17" s="147"/>
      <c r="J17" s="95"/>
      <c r="K17" s="96"/>
      <c r="L17" s="97">
        <f t="shared" si="1"/>
        <v>0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/>
      <c r="D18" s="95">
        <v>105</v>
      </c>
      <c r="E18" s="147"/>
      <c r="F18" s="95"/>
      <c r="G18" s="146"/>
      <c r="H18" s="95"/>
      <c r="I18" s="147"/>
      <c r="J18" s="95"/>
      <c r="K18" s="96"/>
      <c r="L18" s="97">
        <f t="shared" si="1"/>
        <v>105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/>
      <c r="D19" s="95"/>
      <c r="E19" s="147"/>
      <c r="F19" s="95"/>
      <c r="G19" s="146"/>
      <c r="H19" s="95"/>
      <c r="I19" s="147"/>
      <c r="J19" s="95"/>
      <c r="K19" s="96"/>
      <c r="L19" s="97">
        <f t="shared" si="1"/>
        <v>0</v>
      </c>
      <c r="M19" s="11"/>
    </row>
    <row r="20" spans="1:13" ht="15.75" customHeight="1" x14ac:dyDescent="0.25">
      <c r="A20" s="90">
        <v>562.34</v>
      </c>
      <c r="B20" s="171" t="s">
        <v>12</v>
      </c>
      <c r="C20" s="144"/>
      <c r="D20" s="95">
        <v>5</v>
      </c>
      <c r="E20" s="147"/>
      <c r="F20" s="95"/>
      <c r="G20" s="146"/>
      <c r="H20" s="95"/>
      <c r="I20" s="147"/>
      <c r="J20" s="95"/>
      <c r="K20" s="96"/>
      <c r="L20" s="97">
        <f t="shared" si="1"/>
        <v>5</v>
      </c>
      <c r="M20" s="11"/>
    </row>
    <row r="21" spans="1:13" ht="15.75" customHeight="1" x14ac:dyDescent="0.25">
      <c r="A21" s="90">
        <v>562.35</v>
      </c>
      <c r="B21" s="171" t="s">
        <v>13</v>
      </c>
      <c r="C21" s="144"/>
      <c r="D21" s="95"/>
      <c r="E21" s="147"/>
      <c r="F21" s="95"/>
      <c r="G21" s="146"/>
      <c r="H21" s="95"/>
      <c r="I21" s="147"/>
      <c r="J21" s="95"/>
      <c r="K21" s="96"/>
      <c r="L21" s="97">
        <f t="shared" si="1"/>
        <v>0</v>
      </c>
      <c r="M21" s="11"/>
    </row>
    <row r="22" spans="1:13" ht="15.75" customHeight="1" x14ac:dyDescent="0.25">
      <c r="A22" s="90">
        <v>562.39</v>
      </c>
      <c r="B22" s="171" t="s">
        <v>14</v>
      </c>
      <c r="C22" s="144"/>
      <c r="D22" s="95"/>
      <c r="E22" s="147"/>
      <c r="F22" s="95"/>
      <c r="G22" s="146">
        <v>449745</v>
      </c>
      <c r="H22" s="95"/>
      <c r="I22" s="147"/>
      <c r="J22" s="95"/>
      <c r="K22" s="96"/>
      <c r="L22" s="97">
        <f t="shared" si="1"/>
        <v>449745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/>
      <c r="H24" s="95"/>
      <c r="I24" s="147"/>
      <c r="J24" s="95"/>
      <c r="K24" s="96"/>
      <c r="L24" s="97">
        <f t="shared" si="1"/>
        <v>0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/>
      <c r="D26" s="95"/>
      <c r="E26" s="147"/>
      <c r="F26" s="95"/>
      <c r="G26" s="146"/>
      <c r="H26" s="95"/>
      <c r="I26" s="147"/>
      <c r="J26" s="95"/>
      <c r="K26" s="96"/>
      <c r="L26" s="97">
        <f t="shared" si="1"/>
        <v>0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.75" customHeight="1" x14ac:dyDescent="0.25">
      <c r="A28" s="90">
        <v>562.49</v>
      </c>
      <c r="B28" s="171" t="s">
        <v>46</v>
      </c>
      <c r="C28" s="144"/>
      <c r="D28" s="95"/>
      <c r="E28" s="147"/>
      <c r="F28" s="95"/>
      <c r="G28" s="146"/>
      <c r="H28" s="95"/>
      <c r="I28" s="147"/>
      <c r="J28" s="95"/>
      <c r="K28" s="96"/>
      <c r="L28" s="97">
        <f t="shared" si="1"/>
        <v>0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>
        <f>1090+350</f>
        <v>1440</v>
      </c>
      <c r="E29" s="147"/>
      <c r="F29" s="95"/>
      <c r="G29" s="146"/>
      <c r="H29" s="95"/>
      <c r="I29" s="147"/>
      <c r="J29" s="95"/>
      <c r="K29" s="96"/>
      <c r="L29" s="97">
        <f t="shared" si="1"/>
        <v>1440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0</v>
      </c>
      <c r="D30" s="95">
        <v>144022</v>
      </c>
      <c r="E30" s="147"/>
      <c r="F30" s="95"/>
      <c r="G30" s="146"/>
      <c r="H30" s="95">
        <v>118222</v>
      </c>
      <c r="I30" s="147"/>
      <c r="J30" s="95"/>
      <c r="K30" s="96">
        <v>300</v>
      </c>
      <c r="L30" s="97">
        <f t="shared" si="1"/>
        <v>262544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319325</v>
      </c>
      <c r="E31" s="147">
        <v>65428</v>
      </c>
      <c r="F31" s="95"/>
      <c r="G31" s="146"/>
      <c r="H31" s="95"/>
      <c r="I31" s="147">
        <v>97148</v>
      </c>
      <c r="J31" s="95"/>
      <c r="K31" s="96"/>
      <c r="L31" s="97">
        <f t="shared" si="1"/>
        <v>481901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/>
      <c r="H32" s="95"/>
      <c r="I32" s="147"/>
      <c r="J32" s="95"/>
      <c r="K32" s="96"/>
      <c r="L32" s="97">
        <f t="shared" si="1"/>
        <v>0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/>
      <c r="D33" s="95">
        <v>334347</v>
      </c>
      <c r="E33" s="147">
        <v>4862</v>
      </c>
      <c r="F33" s="95"/>
      <c r="G33" s="146"/>
      <c r="H33" s="95"/>
      <c r="I33" s="147"/>
      <c r="J33" s="95"/>
      <c r="K33" s="96">
        <v>50</v>
      </c>
      <c r="L33" s="97">
        <f t="shared" si="1"/>
        <v>339259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>
        <v>15005</v>
      </c>
      <c r="E35" s="147"/>
      <c r="F35" s="95"/>
      <c r="G35" s="146"/>
      <c r="H35" s="95"/>
      <c r="I35" s="147"/>
      <c r="J35" s="95"/>
      <c r="K35" s="96">
        <v>439</v>
      </c>
      <c r="L35" s="97">
        <f t="shared" si="1"/>
        <v>15444</v>
      </c>
      <c r="M35" s="11"/>
    </row>
    <row r="36" spans="1:13" ht="15.75" customHeight="1" x14ac:dyDescent="0.25">
      <c r="A36" s="90">
        <v>562.59</v>
      </c>
      <c r="B36" s="171" t="s">
        <v>48</v>
      </c>
      <c r="C36" s="144"/>
      <c r="D36" s="95"/>
      <c r="E36" s="147"/>
      <c r="F36" s="95"/>
      <c r="G36" s="146"/>
      <c r="H36" s="95"/>
      <c r="I36" s="147"/>
      <c r="J36" s="95"/>
      <c r="K36" s="96"/>
      <c r="L36" s="97">
        <f t="shared" si="1"/>
        <v>0</v>
      </c>
      <c r="M36" s="11"/>
    </row>
    <row r="37" spans="1:13" ht="15.75" customHeight="1" x14ac:dyDescent="0.25">
      <c r="A37" s="90">
        <v>562.6</v>
      </c>
      <c r="B37" s="171" t="s">
        <v>20</v>
      </c>
      <c r="C37" s="144"/>
      <c r="D37" s="95"/>
      <c r="E37" s="147"/>
      <c r="F37" s="95"/>
      <c r="G37" s="146"/>
      <c r="H37" s="95"/>
      <c r="I37" s="147"/>
      <c r="J37" s="95"/>
      <c r="K37" s="96"/>
      <c r="L37" s="97">
        <f t="shared" si="1"/>
        <v>0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82868</v>
      </c>
      <c r="E38" s="147"/>
      <c r="F38" s="95"/>
      <c r="G38" s="146"/>
      <c r="H38" s="95"/>
      <c r="I38" s="147"/>
      <c r="J38" s="95"/>
      <c r="K38" s="96"/>
      <c r="L38" s="97">
        <f t="shared" si="1"/>
        <v>82868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/>
      <c r="E39" s="147"/>
      <c r="F39" s="95"/>
      <c r="G39" s="146"/>
      <c r="H39" s="95"/>
      <c r="I39" s="147"/>
      <c r="J39" s="95"/>
      <c r="K39" s="96"/>
      <c r="L39" s="97">
        <f t="shared" si="1"/>
        <v>0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/>
      <c r="H40" s="95"/>
      <c r="I40" s="147"/>
      <c r="J40" s="95"/>
      <c r="K40" s="96"/>
      <c r="L40" s="97">
        <f t="shared" si="1"/>
        <v>0</v>
      </c>
      <c r="M40" s="11"/>
    </row>
    <row r="41" spans="1:13" ht="15.7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/>
      <c r="H43" s="95"/>
      <c r="I43" s="147"/>
      <c r="J43" s="95"/>
      <c r="K43" s="96"/>
      <c r="L43" s="97">
        <f t="shared" si="1"/>
        <v>0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/>
      <c r="D44" s="95"/>
      <c r="E44" s="147"/>
      <c r="F44" s="95"/>
      <c r="G44" s="146"/>
      <c r="H44" s="95"/>
      <c r="I44" s="147">
        <v>85862</v>
      </c>
      <c r="J44" s="95"/>
      <c r="K44" s="96"/>
      <c r="L44" s="97">
        <f t="shared" si="1"/>
        <v>85862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/>
      <c r="H45" s="95"/>
      <c r="I45" s="147"/>
      <c r="J45" s="95"/>
      <c r="K45" s="96"/>
      <c r="L45" s="97">
        <f t="shared" si="1"/>
        <v>0</v>
      </c>
      <c r="M45" s="11"/>
    </row>
    <row r="46" spans="1:13" ht="15.75" customHeight="1" x14ac:dyDescent="0.25">
      <c r="A46" s="90">
        <v>562.9</v>
      </c>
      <c r="B46" s="171" t="s">
        <v>27</v>
      </c>
      <c r="C46" s="144"/>
      <c r="D46" s="95"/>
      <c r="E46" s="147"/>
      <c r="F46" s="95"/>
      <c r="G46" s="146"/>
      <c r="H46" s="95"/>
      <c r="I46" s="147"/>
      <c r="J46" s="95"/>
      <c r="K46" s="96"/>
      <c r="L46" s="97">
        <f t="shared" si="1"/>
        <v>0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1105478</v>
      </c>
      <c r="D48" s="112">
        <f t="shared" si="2"/>
        <v>906378</v>
      </c>
      <c r="E48" s="158">
        <f t="shared" si="2"/>
        <v>87911</v>
      </c>
      <c r="F48" s="501" t="s">
        <v>154</v>
      </c>
      <c r="G48" s="157">
        <f t="shared" si="2"/>
        <v>449745</v>
      </c>
      <c r="H48" s="112">
        <f t="shared" si="2"/>
        <v>132222</v>
      </c>
      <c r="I48" s="158">
        <f t="shared" si="2"/>
        <v>288184</v>
      </c>
      <c r="J48" s="112">
        <f t="shared" si="2"/>
        <v>484720</v>
      </c>
      <c r="K48" s="113">
        <f t="shared" si="2"/>
        <v>62042</v>
      </c>
      <c r="L48" s="160">
        <f>SUM(C48:K48)</f>
        <v>3516680</v>
      </c>
      <c r="M48" s="11"/>
    </row>
    <row r="49" spans="1:13" ht="15.75" customHeight="1" x14ac:dyDescent="0.25">
      <c r="A49" s="90">
        <v>523</v>
      </c>
      <c r="B49" s="488" t="s">
        <v>30</v>
      </c>
      <c r="C49" s="489">
        <v>0</v>
      </c>
      <c r="D49" s="95">
        <v>0</v>
      </c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>
        <v>0</v>
      </c>
      <c r="D51" s="95">
        <v>0</v>
      </c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>
        <v>0</v>
      </c>
      <c r="D52" s="95">
        <v>0</v>
      </c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>
        <v>0</v>
      </c>
      <c r="D53" s="95">
        <v>0</v>
      </c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>
        <v>0</v>
      </c>
      <c r="D54" s="95">
        <v>0</v>
      </c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>
        <v>0</v>
      </c>
      <c r="D55" s="95">
        <v>0</v>
      </c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>
        <v>0</v>
      </c>
      <c r="D56" s="95">
        <v>0</v>
      </c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>
        <v>0</v>
      </c>
      <c r="D57" s="95">
        <v>0</v>
      </c>
      <c r="E57" s="147"/>
      <c r="F57" s="95"/>
      <c r="G57" s="146"/>
      <c r="H57" s="94"/>
      <c r="I57" s="145"/>
      <c r="J57" s="95"/>
      <c r="K57" s="96"/>
      <c r="L57" s="97">
        <f t="shared" si="3"/>
        <v>0</v>
      </c>
      <c r="M57" s="11"/>
    </row>
    <row r="58" spans="1:13" ht="15.75" customHeight="1" x14ac:dyDescent="0.25">
      <c r="A58" s="90">
        <v>568</v>
      </c>
      <c r="B58" s="488" t="s">
        <v>38</v>
      </c>
      <c r="C58" s="489">
        <v>0</v>
      </c>
      <c r="D58" s="95">
        <v>0</v>
      </c>
      <c r="E58" s="147"/>
      <c r="F58" s="95"/>
      <c r="G58" s="146"/>
      <c r="H58" s="94"/>
      <c r="I58" s="145"/>
      <c r="J58" s="95"/>
      <c r="K58" s="96"/>
      <c r="L58" s="97">
        <f t="shared" si="3"/>
        <v>0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>
        <v>0</v>
      </c>
      <c r="D59" s="95">
        <v>0</v>
      </c>
      <c r="E59" s="147"/>
      <c r="F59" s="95"/>
      <c r="G59" s="146"/>
      <c r="H59" s="94"/>
      <c r="I59" s="145"/>
      <c r="J59" s="95"/>
      <c r="K59" s="96"/>
      <c r="L59" s="97">
        <f t="shared" si="3"/>
        <v>0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1105478</v>
      </c>
      <c r="D60" s="112">
        <f>SUM(D48:D59)</f>
        <v>906378</v>
      </c>
      <c r="E60" s="158">
        <f t="shared" ref="E60:K60" si="4">SUM(E48:E59)</f>
        <v>87911</v>
      </c>
      <c r="F60" s="501" t="s">
        <v>154</v>
      </c>
      <c r="G60" s="157">
        <f t="shared" si="4"/>
        <v>449745</v>
      </c>
      <c r="H60" s="111">
        <f t="shared" si="4"/>
        <v>132222</v>
      </c>
      <c r="I60" s="156">
        <f t="shared" si="4"/>
        <v>288184</v>
      </c>
      <c r="J60" s="112">
        <f t="shared" si="4"/>
        <v>484720</v>
      </c>
      <c r="K60" s="113">
        <f t="shared" si="4"/>
        <v>62042</v>
      </c>
      <c r="L60" s="492">
        <f>SUM(C60:K60)</f>
        <v>3516680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1105478</v>
      </c>
      <c r="D66" s="188">
        <f>C60/L60</f>
        <v>0.31435274179055245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906378</v>
      </c>
      <c r="D67" s="191">
        <f>D60/L60</f>
        <v>0.25773684270391389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2011856</v>
      </c>
      <c r="D68" s="194">
        <f>SUM(D66:D67)</f>
        <v>0.57208958449446634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87911</v>
      </c>
      <c r="D70" s="200">
        <f>E60/$L60</f>
        <v>2.4998293845331393E-2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502" t="str">
        <f>F60</f>
        <v>0</v>
      </c>
      <c r="D71" s="503" t="s">
        <v>155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449745</v>
      </c>
      <c r="D72" s="200">
        <f>G60/$L60</f>
        <v>0.12788908857217604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132222</v>
      </c>
      <c r="D73" s="203">
        <f>H60/$L60</f>
        <v>3.7598530432112108E-2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669878</v>
      </c>
      <c r="D74" s="194">
        <f>SUM(D70:D73)</f>
        <v>0.19048591284961955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288184</v>
      </c>
      <c r="D76" s="188">
        <f>I60/L60</f>
        <v>8.194774616968277E-2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484720</v>
      </c>
      <c r="D77" s="191">
        <f>J60/L60</f>
        <v>0.13783454849460286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772904</v>
      </c>
      <c r="D78" s="194">
        <f>SUM(D76:D77)</f>
        <v>0.21978229466428562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62042</v>
      </c>
      <c r="D80" s="194">
        <f>K60/L60</f>
        <v>1.7642207991628467E-2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3516680</v>
      </c>
      <c r="D81" s="212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41" priority="5">
      <formula>ROW()=EVEN(ROW())</formula>
    </cfRule>
  </conditionalFormatting>
  <conditionalFormatting sqref="L49:L59">
    <cfRule type="expression" dxfId="40" priority="3">
      <formula>ROW()=EVEN(ROW())</formula>
    </cfRule>
  </conditionalFormatting>
  <conditionalFormatting sqref="L5:L10">
    <cfRule type="expression" dxfId="39" priority="4">
      <formula>ROW()=EVEN(ROW())</formula>
    </cfRule>
  </conditionalFormatting>
  <conditionalFormatting sqref="A6:K10">
    <cfRule type="expression" dxfId="38" priority="2">
      <formula>ROW()=EVEN(ROW())</formula>
    </cfRule>
  </conditionalFormatting>
  <printOptions horizontalCentered="1"/>
  <pageMargins left="0" right="0" top="0.98" bottom="0.6" header="0.3" footer="0.3"/>
  <pageSetup scale="65" firstPageNumber="56" fitToHeight="2" orientation="landscape" useFirstPageNumber="1" r:id="rId1"/>
  <headerFooter>
    <oddHeader>&amp;C&amp;"Arial,Bold"&amp;16Expenditures by Expenditure Code and Revenue Source
2017
SKAGIT</oddHeader>
  </headerFooter>
  <rowBreaks count="1" manualBreakCount="1">
    <brk id="48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zoomScaleNormal="100" workbookViewId="0">
      <selection activeCell="O4" sqref="O4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11690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2.06</v>
      </c>
      <c r="D2" s="386"/>
      <c r="G2" s="382"/>
      <c r="H2" s="380"/>
      <c r="I2" s="380"/>
      <c r="J2" s="531" t="s">
        <v>143</v>
      </c>
      <c r="K2" s="531"/>
      <c r="L2" s="500" t="s">
        <v>137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.75" customHeight="1" x14ac:dyDescent="0.25">
      <c r="A5" s="214">
        <v>562.1</v>
      </c>
      <c r="B5" s="350" t="s">
        <v>9</v>
      </c>
      <c r="C5" s="216">
        <v>2569</v>
      </c>
      <c r="D5" s="219"/>
      <c r="E5" s="221"/>
      <c r="F5" s="219"/>
      <c r="G5" s="220">
        <v>10329</v>
      </c>
      <c r="H5" s="219"/>
      <c r="I5" s="221"/>
      <c r="J5" s="219">
        <v>13023</v>
      </c>
      <c r="K5" s="222"/>
      <c r="L5" s="223">
        <f>SUM(C5:K5)</f>
        <v>25921</v>
      </c>
      <c r="M5" s="11"/>
    </row>
    <row r="6" spans="1:13" ht="15.7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.7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.7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.7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.7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.75" customHeight="1" x14ac:dyDescent="0.25">
      <c r="A11" s="214">
        <v>562.22</v>
      </c>
      <c r="B11" s="350" t="s">
        <v>51</v>
      </c>
      <c r="C11" s="216">
        <v>3135</v>
      </c>
      <c r="D11" s="219"/>
      <c r="E11" s="221"/>
      <c r="F11" s="219"/>
      <c r="G11" s="220">
        <v>196</v>
      </c>
      <c r="H11" s="219"/>
      <c r="I11" s="221">
        <v>28300</v>
      </c>
      <c r="J11" s="219"/>
      <c r="K11" s="222"/>
      <c r="L11" s="223">
        <f t="shared" ref="L11:L47" si="1">SUM(C11:K11)</f>
        <v>31631</v>
      </c>
      <c r="M11" s="11"/>
    </row>
    <row r="12" spans="1:13" ht="15.75" customHeight="1" x14ac:dyDescent="0.25">
      <c r="A12" s="214">
        <v>562.24</v>
      </c>
      <c r="B12" s="350" t="s">
        <v>10</v>
      </c>
      <c r="C12" s="216">
        <v>1679</v>
      </c>
      <c r="D12" s="219"/>
      <c r="E12" s="221"/>
      <c r="F12" s="219"/>
      <c r="G12" s="220">
        <v>7760</v>
      </c>
      <c r="H12" s="219">
        <v>3750</v>
      </c>
      <c r="I12" s="231"/>
      <c r="J12" s="219">
        <v>3750</v>
      </c>
      <c r="K12" s="222"/>
      <c r="L12" s="223">
        <f t="shared" si="1"/>
        <v>16939</v>
      </c>
      <c r="M12" s="11"/>
    </row>
    <row r="13" spans="1:13" ht="15.75" customHeight="1" x14ac:dyDescent="0.25">
      <c r="A13" s="214">
        <v>562.25</v>
      </c>
      <c r="B13" s="350" t="s">
        <v>52</v>
      </c>
      <c r="C13" s="216"/>
      <c r="D13" s="219"/>
      <c r="E13" s="221"/>
      <c r="F13" s="219"/>
      <c r="G13" s="220"/>
      <c r="H13" s="219"/>
      <c r="I13" s="221"/>
      <c r="J13" s="219"/>
      <c r="K13" s="222"/>
      <c r="L13" s="223">
        <f t="shared" si="1"/>
        <v>0</v>
      </c>
      <c r="M13" s="11"/>
    </row>
    <row r="14" spans="1:13" ht="15.75" customHeight="1" x14ac:dyDescent="0.25">
      <c r="A14" s="214">
        <v>562.26</v>
      </c>
      <c r="B14" s="350" t="s">
        <v>43</v>
      </c>
      <c r="C14" s="216">
        <v>4643</v>
      </c>
      <c r="D14" s="219">
        <v>12921</v>
      </c>
      <c r="E14" s="221">
        <v>12166</v>
      </c>
      <c r="F14" s="219"/>
      <c r="G14" s="220">
        <v>17124</v>
      </c>
      <c r="H14" s="219"/>
      <c r="I14" s="221"/>
      <c r="J14" s="219"/>
      <c r="K14" s="222"/>
      <c r="L14" s="223">
        <f t="shared" si="1"/>
        <v>46854</v>
      </c>
      <c r="M14" s="11"/>
    </row>
    <row r="15" spans="1:13" ht="15.75" customHeight="1" x14ac:dyDescent="0.25">
      <c r="A15" s="214">
        <v>562.27</v>
      </c>
      <c r="B15" s="350" t="s">
        <v>44</v>
      </c>
      <c r="C15" s="216">
        <v>1806</v>
      </c>
      <c r="D15" s="219">
        <v>5018</v>
      </c>
      <c r="E15" s="221"/>
      <c r="F15" s="219"/>
      <c r="G15" s="220">
        <v>6519</v>
      </c>
      <c r="H15" s="219"/>
      <c r="I15" s="221">
        <v>4879</v>
      </c>
      <c r="J15" s="219"/>
      <c r="K15" s="222"/>
      <c r="L15" s="223">
        <f t="shared" si="1"/>
        <v>18222</v>
      </c>
      <c r="M15" s="11"/>
    </row>
    <row r="16" spans="1:13" ht="15.75" customHeight="1" x14ac:dyDescent="0.25">
      <c r="A16" s="214">
        <v>562.28</v>
      </c>
      <c r="B16" s="350" t="s">
        <v>53</v>
      </c>
      <c r="C16" s="216">
        <v>5540</v>
      </c>
      <c r="D16" s="219"/>
      <c r="E16" s="221"/>
      <c r="F16" s="219"/>
      <c r="G16" s="220">
        <v>13637</v>
      </c>
      <c r="H16" s="219"/>
      <c r="I16" s="221">
        <v>36723</v>
      </c>
      <c r="J16" s="219"/>
      <c r="K16" s="222"/>
      <c r="L16" s="223">
        <f t="shared" si="1"/>
        <v>55900</v>
      </c>
      <c r="M16" s="11"/>
    </row>
    <row r="17" spans="1:13" ht="15.7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.75" customHeight="1" x14ac:dyDescent="0.25">
      <c r="A18" s="214">
        <v>562.32000000000005</v>
      </c>
      <c r="B18" s="350" t="s">
        <v>11</v>
      </c>
      <c r="C18" s="216">
        <v>3233</v>
      </c>
      <c r="D18" s="219"/>
      <c r="E18" s="221"/>
      <c r="F18" s="219"/>
      <c r="G18" s="220">
        <v>27929</v>
      </c>
      <c r="H18" s="219"/>
      <c r="I18" s="221">
        <v>1460</v>
      </c>
      <c r="J18" s="219"/>
      <c r="K18" s="222"/>
      <c r="L18" s="223">
        <f t="shared" si="1"/>
        <v>32622</v>
      </c>
      <c r="M18" s="11"/>
    </row>
    <row r="19" spans="1:13" ht="15.75" customHeight="1" x14ac:dyDescent="0.25">
      <c r="A19" s="214">
        <v>562.33000000000004</v>
      </c>
      <c r="B19" s="350" t="s">
        <v>54</v>
      </c>
      <c r="C19" s="216">
        <v>161</v>
      </c>
      <c r="D19" s="219"/>
      <c r="E19" s="221"/>
      <c r="F19" s="219">
        <v>1000</v>
      </c>
      <c r="G19" s="220">
        <v>467</v>
      </c>
      <c r="H19" s="219"/>
      <c r="I19" s="221"/>
      <c r="J19" s="219"/>
      <c r="K19" s="222"/>
      <c r="L19" s="223">
        <f t="shared" si="1"/>
        <v>1628</v>
      </c>
      <c r="M19" s="11"/>
    </row>
    <row r="20" spans="1:13" ht="15.75" customHeight="1" x14ac:dyDescent="0.25">
      <c r="A20" s="214">
        <v>562.34</v>
      </c>
      <c r="B20" s="350" t="s">
        <v>12</v>
      </c>
      <c r="C20" s="216">
        <v>96</v>
      </c>
      <c r="D20" s="219"/>
      <c r="E20" s="221"/>
      <c r="F20" s="219"/>
      <c r="G20" s="220">
        <v>871</v>
      </c>
      <c r="H20" s="219"/>
      <c r="I20" s="221"/>
      <c r="J20" s="219"/>
      <c r="K20" s="222"/>
      <c r="L20" s="223">
        <f t="shared" si="1"/>
        <v>967</v>
      </c>
      <c r="M20" s="11"/>
    </row>
    <row r="21" spans="1:13" ht="15.75" customHeight="1" x14ac:dyDescent="0.25">
      <c r="A21" s="214">
        <v>562.35</v>
      </c>
      <c r="B21" s="350" t="s">
        <v>13</v>
      </c>
      <c r="C21" s="216"/>
      <c r="D21" s="219"/>
      <c r="E21" s="221"/>
      <c r="F21" s="219"/>
      <c r="G21" s="220"/>
      <c r="H21" s="219"/>
      <c r="I21" s="221"/>
      <c r="J21" s="219"/>
      <c r="K21" s="222"/>
      <c r="L21" s="223">
        <f t="shared" si="1"/>
        <v>0</v>
      </c>
      <c r="M21" s="11"/>
    </row>
    <row r="22" spans="1:13" ht="15.75" customHeight="1" x14ac:dyDescent="0.25">
      <c r="A22" s="214">
        <v>562.39</v>
      </c>
      <c r="B22" s="350" t="s">
        <v>14</v>
      </c>
      <c r="C22" s="216">
        <v>1291</v>
      </c>
      <c r="D22" s="219"/>
      <c r="E22" s="221"/>
      <c r="F22" s="219"/>
      <c r="G22" s="220">
        <v>11740</v>
      </c>
      <c r="H22" s="219"/>
      <c r="I22" s="221"/>
      <c r="J22" s="219"/>
      <c r="K22" s="222"/>
      <c r="L22" s="223">
        <f t="shared" si="1"/>
        <v>13031</v>
      </c>
      <c r="M22" s="11"/>
    </row>
    <row r="23" spans="1:13" ht="15.7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.75" customHeight="1" x14ac:dyDescent="0.25">
      <c r="A24" s="214">
        <v>562.41999999999996</v>
      </c>
      <c r="B24" s="350" t="s">
        <v>16</v>
      </c>
      <c r="C24" s="216">
        <v>358</v>
      </c>
      <c r="D24" s="219"/>
      <c r="E24" s="221"/>
      <c r="F24" s="219"/>
      <c r="G24" s="220">
        <v>3257</v>
      </c>
      <c r="H24" s="219"/>
      <c r="I24" s="221"/>
      <c r="J24" s="219"/>
      <c r="K24" s="222"/>
      <c r="L24" s="223">
        <f t="shared" si="1"/>
        <v>3615</v>
      </c>
      <c r="M24" s="11"/>
    </row>
    <row r="25" spans="1:13" ht="15.7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.75" customHeight="1" x14ac:dyDescent="0.25">
      <c r="A26" s="214">
        <v>562.44000000000005</v>
      </c>
      <c r="B26" s="350" t="s">
        <v>56</v>
      </c>
      <c r="C26" s="216"/>
      <c r="D26" s="219"/>
      <c r="E26" s="221"/>
      <c r="F26" s="219"/>
      <c r="G26" s="220"/>
      <c r="H26" s="219"/>
      <c r="I26" s="221"/>
      <c r="J26" s="219"/>
      <c r="K26" s="222"/>
      <c r="L26" s="223">
        <f t="shared" si="1"/>
        <v>0</v>
      </c>
      <c r="M26" s="11"/>
    </row>
    <row r="27" spans="1:13" ht="15.75" customHeight="1" x14ac:dyDescent="0.25">
      <c r="A27" s="214">
        <v>562.45000000000005</v>
      </c>
      <c r="B27" s="350" t="s">
        <v>57</v>
      </c>
      <c r="C27" s="216"/>
      <c r="D27" s="219"/>
      <c r="E27" s="221"/>
      <c r="F27" s="219"/>
      <c r="G27" s="220"/>
      <c r="H27" s="219"/>
      <c r="I27" s="221"/>
      <c r="J27" s="219"/>
      <c r="K27" s="222"/>
      <c r="L27" s="223">
        <f t="shared" si="1"/>
        <v>0</v>
      </c>
      <c r="M27" s="11"/>
    </row>
    <row r="28" spans="1:13" ht="15.7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ht="15.75" customHeight="1" x14ac:dyDescent="0.25">
      <c r="A29" s="214">
        <v>562.52</v>
      </c>
      <c r="B29" s="350" t="s">
        <v>17</v>
      </c>
      <c r="C29" s="216">
        <v>8600</v>
      </c>
      <c r="D29" s="219"/>
      <c r="E29" s="221"/>
      <c r="F29" s="219"/>
      <c r="G29" s="220"/>
      <c r="H29" s="219"/>
      <c r="I29" s="221"/>
      <c r="J29" s="219"/>
      <c r="K29" s="222"/>
      <c r="L29" s="223">
        <f t="shared" si="1"/>
        <v>8600</v>
      </c>
      <c r="M29" s="11"/>
    </row>
    <row r="30" spans="1:13" ht="15.75" customHeight="1" x14ac:dyDescent="0.25">
      <c r="A30" s="214">
        <v>562.53</v>
      </c>
      <c r="B30" s="350" t="s">
        <v>58</v>
      </c>
      <c r="C30" s="216">
        <v>0</v>
      </c>
      <c r="D30" s="219"/>
      <c r="E30" s="221"/>
      <c r="F30" s="219"/>
      <c r="G30" s="220"/>
      <c r="H30" s="219"/>
      <c r="I30" s="221"/>
      <c r="J30" s="219"/>
      <c r="K30" s="222"/>
      <c r="L30" s="223">
        <f t="shared" si="1"/>
        <v>0</v>
      </c>
      <c r="M30" s="11"/>
    </row>
    <row r="31" spans="1:13" ht="15.75" customHeight="1" x14ac:dyDescent="0.25">
      <c r="A31" s="214">
        <v>562.54</v>
      </c>
      <c r="B31" s="350" t="s">
        <v>59</v>
      </c>
      <c r="C31" s="216"/>
      <c r="D31" s="219"/>
      <c r="E31" s="221"/>
      <c r="F31" s="219"/>
      <c r="G31" s="220"/>
      <c r="H31" s="219"/>
      <c r="I31" s="221"/>
      <c r="J31" s="219"/>
      <c r="K31" s="222"/>
      <c r="L31" s="223">
        <f t="shared" si="1"/>
        <v>0</v>
      </c>
      <c r="M31" s="11"/>
    </row>
    <row r="32" spans="1:13" ht="15.7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.75" customHeight="1" x14ac:dyDescent="0.25">
      <c r="A33" s="214">
        <v>562.55999999999995</v>
      </c>
      <c r="B33" s="350" t="s">
        <v>19</v>
      </c>
      <c r="C33" s="216">
        <v>3942</v>
      </c>
      <c r="D33" s="219">
        <v>29822</v>
      </c>
      <c r="E33" s="221"/>
      <c r="F33" s="219"/>
      <c r="G33" s="220">
        <v>6016</v>
      </c>
      <c r="H33" s="219"/>
      <c r="I33" s="221"/>
      <c r="J33" s="219"/>
      <c r="K33" s="222"/>
      <c r="L33" s="223">
        <f t="shared" si="1"/>
        <v>39780</v>
      </c>
      <c r="M33" s="11"/>
    </row>
    <row r="34" spans="1:13" ht="15.7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.75" customHeight="1" x14ac:dyDescent="0.25">
      <c r="A35" s="214">
        <v>562.58000000000004</v>
      </c>
      <c r="B35" s="350" t="s">
        <v>47</v>
      </c>
      <c r="C35" s="216"/>
      <c r="D35" s="219"/>
      <c r="E35" s="221"/>
      <c r="F35" s="219"/>
      <c r="G35" s="220"/>
      <c r="H35" s="219"/>
      <c r="I35" s="221"/>
      <c r="J35" s="219"/>
      <c r="K35" s="222"/>
      <c r="L35" s="223">
        <f t="shared" si="1"/>
        <v>0</v>
      </c>
      <c r="M35" s="11"/>
    </row>
    <row r="36" spans="1:13" ht="15.7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.75" customHeight="1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ht="15.75" customHeight="1" x14ac:dyDescent="0.25">
      <c r="A38" s="214">
        <v>562.71</v>
      </c>
      <c r="B38" s="350" t="s">
        <v>21</v>
      </c>
      <c r="C38" s="216">
        <v>206</v>
      </c>
      <c r="D38" s="219"/>
      <c r="E38" s="221"/>
      <c r="F38" s="219"/>
      <c r="G38" s="220">
        <v>1873</v>
      </c>
      <c r="H38" s="219"/>
      <c r="I38" s="221"/>
      <c r="J38" s="219"/>
      <c r="K38" s="222"/>
      <c r="L38" s="223">
        <f t="shared" si="1"/>
        <v>2079</v>
      </c>
      <c r="M38" s="11"/>
    </row>
    <row r="39" spans="1:13" ht="15.7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.7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.7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.7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.7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.7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/>
      <c r="H44" s="219"/>
      <c r="I44" s="221"/>
      <c r="J44" s="219"/>
      <c r="K44" s="222"/>
      <c r="L44" s="223">
        <f t="shared" si="1"/>
        <v>0</v>
      </c>
      <c r="M44" s="11"/>
    </row>
    <row r="45" spans="1:13" ht="15.75" customHeight="1" x14ac:dyDescent="0.25">
      <c r="A45" s="214">
        <v>562.88</v>
      </c>
      <c r="B45" s="350" t="s">
        <v>50</v>
      </c>
      <c r="C45" s="216">
        <v>3151</v>
      </c>
      <c r="D45" s="219"/>
      <c r="E45" s="221"/>
      <c r="F45" s="219"/>
      <c r="G45" s="220">
        <v>702</v>
      </c>
      <c r="H45" s="219"/>
      <c r="I45" s="221">
        <v>27940</v>
      </c>
      <c r="J45" s="219"/>
      <c r="K45" s="222"/>
      <c r="L45" s="223">
        <f t="shared" si="1"/>
        <v>31793</v>
      </c>
      <c r="M45" s="11"/>
    </row>
    <row r="46" spans="1:13" ht="15.7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.7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.75" customHeight="1" thickBot="1" x14ac:dyDescent="0.3">
      <c r="A48" s="359" t="s">
        <v>63</v>
      </c>
      <c r="B48" s="360" t="s">
        <v>29</v>
      </c>
      <c r="C48" s="361">
        <f t="shared" ref="C48:J48" si="2">SUM(C5:C47)</f>
        <v>40410</v>
      </c>
      <c r="D48" s="364">
        <f t="shared" si="2"/>
        <v>47761</v>
      </c>
      <c r="E48" s="366">
        <f t="shared" si="2"/>
        <v>12166</v>
      </c>
      <c r="F48" s="364">
        <f t="shared" si="2"/>
        <v>1000</v>
      </c>
      <c r="G48" s="365">
        <f t="shared" si="2"/>
        <v>108420</v>
      </c>
      <c r="H48" s="364">
        <f t="shared" si="2"/>
        <v>3750</v>
      </c>
      <c r="I48" s="366">
        <f t="shared" si="2"/>
        <v>99302</v>
      </c>
      <c r="J48" s="364">
        <f t="shared" si="2"/>
        <v>16773</v>
      </c>
      <c r="K48" s="404" t="s">
        <v>154</v>
      </c>
      <c r="L48" s="405">
        <f>SUM(C48:K48)</f>
        <v>329582</v>
      </c>
      <c r="M48" s="11"/>
    </row>
    <row r="49" spans="1:13" ht="15.7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.7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.7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.7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.7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.7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.7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.75" customHeight="1" x14ac:dyDescent="0.25">
      <c r="A56" s="214">
        <v>564</v>
      </c>
      <c r="B56" s="309" t="s">
        <v>36</v>
      </c>
      <c r="C56" s="400"/>
      <c r="D56" s="219">
        <v>849429</v>
      </c>
      <c r="E56" s="221"/>
      <c r="F56" s="219"/>
      <c r="G56" s="220"/>
      <c r="H56" s="217">
        <v>-158</v>
      </c>
      <c r="I56" s="218"/>
      <c r="J56" s="219"/>
      <c r="K56" s="222">
        <v>-10</v>
      </c>
      <c r="L56" s="223">
        <f t="shared" si="3"/>
        <v>849261</v>
      </c>
      <c r="M56" s="11"/>
    </row>
    <row r="57" spans="1:13" ht="15.75" customHeight="1" x14ac:dyDescent="0.25">
      <c r="A57" s="214">
        <v>566</v>
      </c>
      <c r="B57" s="309" t="s">
        <v>37</v>
      </c>
      <c r="C57" s="400"/>
      <c r="D57" s="219">
        <v>176338</v>
      </c>
      <c r="E57" s="221"/>
      <c r="F57" s="219"/>
      <c r="G57" s="220"/>
      <c r="H57" s="217"/>
      <c r="I57" s="218"/>
      <c r="J57" s="219"/>
      <c r="K57" s="222"/>
      <c r="L57" s="223">
        <f t="shared" si="3"/>
        <v>176338</v>
      </c>
      <c r="M57" s="11"/>
    </row>
    <row r="58" spans="1:13" ht="15.75" customHeight="1" x14ac:dyDescent="0.25">
      <c r="A58" s="214">
        <v>568</v>
      </c>
      <c r="B58" s="309" t="s">
        <v>38</v>
      </c>
      <c r="C58" s="400"/>
      <c r="D58" s="219">
        <v>32611</v>
      </c>
      <c r="E58" s="221"/>
      <c r="F58" s="219"/>
      <c r="G58" s="220"/>
      <c r="H58" s="217">
        <v>55225</v>
      </c>
      <c r="I58" s="218"/>
      <c r="J58" s="219"/>
      <c r="K58" s="222"/>
      <c r="L58" s="223">
        <f t="shared" si="3"/>
        <v>87836</v>
      </c>
      <c r="M58" s="11"/>
    </row>
    <row r="59" spans="1:13" ht="15.7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.75" customHeight="1" thickBot="1" x14ac:dyDescent="0.3">
      <c r="A60" s="334"/>
      <c r="B60" s="335" t="s">
        <v>41</v>
      </c>
      <c r="C60" s="408">
        <f>SUM(C48:C59)</f>
        <v>40410</v>
      </c>
      <c r="D60" s="364">
        <f>SUM(D48:D59)</f>
        <v>1106139</v>
      </c>
      <c r="E60" s="366">
        <f t="shared" ref="E60:K60" si="4">SUM(E48:E59)</f>
        <v>12166</v>
      </c>
      <c r="F60" s="364">
        <f>SUM(F48:F59)</f>
        <v>1000</v>
      </c>
      <c r="G60" s="365">
        <f>SUM(G48:G59)</f>
        <v>108420</v>
      </c>
      <c r="H60" s="362">
        <f>SUM(H48:H59)</f>
        <v>58817</v>
      </c>
      <c r="I60" s="363">
        <f t="shared" si="4"/>
        <v>99302</v>
      </c>
      <c r="J60" s="364">
        <f t="shared" si="4"/>
        <v>16773</v>
      </c>
      <c r="K60" s="456">
        <f t="shared" si="4"/>
        <v>-10</v>
      </c>
      <c r="L60" s="409">
        <f>SUM(C60:K60)</f>
        <v>1443017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40410</v>
      </c>
      <c r="D66" s="422">
        <f>C60/L60</f>
        <v>2.8003828090729353E-2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1106139</v>
      </c>
      <c r="D67" s="425">
        <f>D60/L60</f>
        <v>0.76654606286689619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1146549</v>
      </c>
      <c r="D68" s="428">
        <f>SUM(D66:D67)</f>
        <v>0.79454989095762552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12166</v>
      </c>
      <c r="D70" s="434">
        <f>E60/$L60</f>
        <v>8.4309471059592512E-3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1000</v>
      </c>
      <c r="D71" s="434">
        <f>F60/L60</f>
        <v>6.9299252884754651E-4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108420</v>
      </c>
      <c r="D72" s="434">
        <f>G60/$L60</f>
        <v>7.5134249977650988E-2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58817</v>
      </c>
      <c r="D73" s="437">
        <f>H60/$L60</f>
        <v>4.0759741569226141E-2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180403</v>
      </c>
      <c r="D74" s="428">
        <f>SUM(D70:D73)</f>
        <v>0.12501793118168392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99302</v>
      </c>
      <c r="D76" s="422">
        <f>I60/L60</f>
        <v>6.8815544099619055E-2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16773</v>
      </c>
      <c r="D77" s="425">
        <f>J60/L60</f>
        <v>1.1623563686359898E-2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116075</v>
      </c>
      <c r="D78" s="428">
        <f>SUM(D76:D77)</f>
        <v>8.0439107785978958E-2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-10</v>
      </c>
      <c r="D80" s="428">
        <f>K60/L60</f>
        <v>-6.9299252884754648E-6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1443017</v>
      </c>
      <c r="D81" s="448">
        <f>D74+D78+D68+D80</f>
        <v>0.99999999999999978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37" priority="5">
      <formula>ROW()=EVEN(ROW())</formula>
    </cfRule>
  </conditionalFormatting>
  <conditionalFormatting sqref="L49:L59">
    <cfRule type="expression" dxfId="36" priority="3">
      <formula>ROW()=EVEN(ROW())</formula>
    </cfRule>
  </conditionalFormatting>
  <conditionalFormatting sqref="L5:L10">
    <cfRule type="expression" dxfId="35" priority="4">
      <formula>ROW()=EVEN(ROW())</formula>
    </cfRule>
  </conditionalFormatting>
  <conditionalFormatting sqref="A6:K10">
    <cfRule type="expression" dxfId="34" priority="2">
      <formula>ROW()=EVEN(ROW())</formula>
    </cfRule>
  </conditionalFormatting>
  <printOptions horizontalCentered="1"/>
  <pageMargins left="0" right="0" top="0.98" bottom="0.6" header="0.3" footer="0.3"/>
  <pageSetup scale="65" firstPageNumber="58" fitToHeight="2" orientation="landscape" useFirstPageNumber="1" r:id="rId1"/>
  <headerFooter>
    <oddHeader>&amp;C&amp;"Arial,Bold"&amp;16Expenditures by Expenditure Code and Revenue Source
2017
SKAMANIA</oddHeader>
  </headerFooter>
  <rowBreaks count="1" manualBreakCount="1">
    <brk id="48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72" zoomScaleNormal="100" workbookViewId="0">
      <selection activeCell="G87" sqref="G87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789400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131.19999999999999</v>
      </c>
      <c r="D2" s="386"/>
      <c r="G2" s="382"/>
      <c r="H2" s="380"/>
      <c r="I2" s="380"/>
      <c r="J2" s="531" t="s">
        <v>143</v>
      </c>
      <c r="K2" s="531"/>
      <c r="L2" s="504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44.25" customHeight="1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ht="15.75" customHeight="1" x14ac:dyDescent="0.25">
      <c r="A5" s="214">
        <v>562.1</v>
      </c>
      <c r="B5" s="350" t="s">
        <v>9</v>
      </c>
      <c r="C5" s="216">
        <f>673100+381000</f>
        <v>1054100</v>
      </c>
      <c r="D5" s="219">
        <f>57+401+11341+352</f>
        <v>12151</v>
      </c>
      <c r="E5" s="221"/>
      <c r="F5" s="219"/>
      <c r="G5" s="220">
        <v>185793</v>
      </c>
      <c r="H5" s="219"/>
      <c r="I5" s="221"/>
      <c r="J5" s="219"/>
      <c r="K5" s="222">
        <v>-1066251</v>
      </c>
      <c r="L5" s="223">
        <f>SUM(C5:K5)</f>
        <v>185793</v>
      </c>
      <c r="M5" s="11"/>
    </row>
    <row r="6" spans="1:13" ht="15.75" customHeight="1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ht="15.75" customHeight="1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ht="15.75" customHeight="1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ht="15.75" customHeight="1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ht="15.75" customHeight="1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ht="15.75" customHeight="1" x14ac:dyDescent="0.25">
      <c r="A11" s="214">
        <v>562.22</v>
      </c>
      <c r="B11" s="350" t="s">
        <v>51</v>
      </c>
      <c r="C11" s="216"/>
      <c r="D11" s="219"/>
      <c r="E11" s="221"/>
      <c r="F11" s="219"/>
      <c r="G11" s="220">
        <v>453668</v>
      </c>
      <c r="H11" s="219"/>
      <c r="I11" s="221">
        <v>216947</v>
      </c>
      <c r="J11" s="219">
        <f>60122+71210</f>
        <v>131332</v>
      </c>
      <c r="K11" s="222">
        <v>90559</v>
      </c>
      <c r="L11" s="223">
        <f t="shared" ref="L11:L47" si="1">SUM(C11:K11)</f>
        <v>892506</v>
      </c>
      <c r="M11" s="11"/>
    </row>
    <row r="12" spans="1:13" ht="15.75" customHeight="1" x14ac:dyDescent="0.25">
      <c r="A12" s="214">
        <v>562.24</v>
      </c>
      <c r="B12" s="350" t="s">
        <v>10</v>
      </c>
      <c r="C12" s="216"/>
      <c r="D12" s="219"/>
      <c r="E12" s="221"/>
      <c r="F12" s="219"/>
      <c r="G12" s="220">
        <v>679</v>
      </c>
      <c r="H12" s="219"/>
      <c r="I12" s="231"/>
      <c r="J12" s="219">
        <v>43942</v>
      </c>
      <c r="K12" s="222">
        <v>262</v>
      </c>
      <c r="L12" s="223">
        <f t="shared" si="1"/>
        <v>44883</v>
      </c>
      <c r="M12" s="11"/>
    </row>
    <row r="13" spans="1:13" ht="15.75" customHeight="1" x14ac:dyDescent="0.25">
      <c r="A13" s="214">
        <v>562.25</v>
      </c>
      <c r="B13" s="350" t="s">
        <v>52</v>
      </c>
      <c r="C13" s="216"/>
      <c r="D13" s="219">
        <v>4225</v>
      </c>
      <c r="E13" s="221"/>
      <c r="F13" s="219"/>
      <c r="G13" s="220">
        <v>273</v>
      </c>
      <c r="H13" s="219"/>
      <c r="I13" s="221">
        <v>231499</v>
      </c>
      <c r="J13" s="219"/>
      <c r="K13" s="222">
        <v>105</v>
      </c>
      <c r="L13" s="223">
        <f t="shared" si="1"/>
        <v>236102</v>
      </c>
      <c r="M13" s="11"/>
    </row>
    <row r="14" spans="1:13" ht="15.75" customHeight="1" x14ac:dyDescent="0.25">
      <c r="A14" s="214">
        <v>562.26</v>
      </c>
      <c r="B14" s="350" t="s">
        <v>43</v>
      </c>
      <c r="C14" s="216"/>
      <c r="D14" s="219"/>
      <c r="E14" s="221"/>
      <c r="F14" s="219"/>
      <c r="G14" s="220">
        <v>325812</v>
      </c>
      <c r="H14" s="219"/>
      <c r="I14" s="221">
        <v>971665</v>
      </c>
      <c r="J14" s="219"/>
      <c r="K14" s="222">
        <v>125677</v>
      </c>
      <c r="L14" s="223">
        <f t="shared" si="1"/>
        <v>1423154</v>
      </c>
      <c r="M14" s="11"/>
    </row>
    <row r="15" spans="1:13" ht="15.75" customHeight="1" x14ac:dyDescent="0.25">
      <c r="A15" s="214">
        <v>562.27</v>
      </c>
      <c r="B15" s="350" t="s">
        <v>44</v>
      </c>
      <c r="C15" s="216"/>
      <c r="D15" s="219">
        <v>270646</v>
      </c>
      <c r="E15" s="221"/>
      <c r="F15" s="219"/>
      <c r="G15" s="220"/>
      <c r="H15" s="219"/>
      <c r="I15" s="221"/>
      <c r="J15" s="219"/>
      <c r="K15" s="222"/>
      <c r="L15" s="223">
        <f t="shared" si="1"/>
        <v>270646</v>
      </c>
      <c r="M15" s="11"/>
    </row>
    <row r="16" spans="1:13" ht="15.75" customHeight="1" x14ac:dyDescent="0.25">
      <c r="A16" s="214">
        <v>562.28</v>
      </c>
      <c r="B16" s="350" t="s">
        <v>53</v>
      </c>
      <c r="C16" s="216"/>
      <c r="D16" s="219"/>
      <c r="E16" s="221"/>
      <c r="F16" s="219"/>
      <c r="G16" s="220"/>
      <c r="H16" s="219"/>
      <c r="I16" s="221"/>
      <c r="J16" s="219"/>
      <c r="K16" s="222"/>
      <c r="L16" s="223">
        <f t="shared" si="1"/>
        <v>0</v>
      </c>
      <c r="M16" s="11"/>
    </row>
    <row r="17" spans="1:13" ht="15.75" customHeight="1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ht="15.75" customHeight="1" x14ac:dyDescent="0.25">
      <c r="A18" s="214">
        <v>562.32000000000005</v>
      </c>
      <c r="B18" s="350" t="s">
        <v>11</v>
      </c>
      <c r="C18" s="216"/>
      <c r="D18" s="219"/>
      <c r="E18" s="221"/>
      <c r="F18" s="219"/>
      <c r="G18" s="220">
        <v>247347</v>
      </c>
      <c r="H18" s="219"/>
      <c r="I18" s="221">
        <f>138074+28000</f>
        <v>166074</v>
      </c>
      <c r="J18" s="219">
        <f>89779-127</f>
        <v>89652</v>
      </c>
      <c r="K18" s="222">
        <f>300+5632</f>
        <v>5932</v>
      </c>
      <c r="L18" s="223">
        <f t="shared" si="1"/>
        <v>509005</v>
      </c>
      <c r="M18" s="11"/>
    </row>
    <row r="19" spans="1:13" ht="15.75" customHeight="1" x14ac:dyDescent="0.25">
      <c r="A19" s="214">
        <v>562.33000000000004</v>
      </c>
      <c r="B19" s="350" t="s">
        <v>54</v>
      </c>
      <c r="C19" s="216">
        <v>8607</v>
      </c>
      <c r="D19" s="219"/>
      <c r="E19" s="221"/>
      <c r="F19" s="219"/>
      <c r="G19" s="220">
        <v>56153</v>
      </c>
      <c r="H19" s="219"/>
      <c r="I19" s="221">
        <v>77141</v>
      </c>
      <c r="J19" s="219"/>
      <c r="K19" s="222">
        <v>21660</v>
      </c>
      <c r="L19" s="223">
        <f t="shared" si="1"/>
        <v>163561</v>
      </c>
      <c r="M19" s="11"/>
    </row>
    <row r="20" spans="1:13" ht="15.75" customHeight="1" x14ac:dyDescent="0.25">
      <c r="A20" s="214">
        <v>562.34</v>
      </c>
      <c r="B20" s="350" t="s">
        <v>12</v>
      </c>
      <c r="C20" s="216">
        <v>1154825</v>
      </c>
      <c r="D20" s="219">
        <f>15101+33357+47329</f>
        <v>95787</v>
      </c>
      <c r="E20" s="221"/>
      <c r="F20" s="219"/>
      <c r="G20" s="220"/>
      <c r="H20" s="219"/>
      <c r="I20" s="221">
        <v>86250</v>
      </c>
      <c r="J20" s="219"/>
      <c r="K20" s="222"/>
      <c r="L20" s="223">
        <f t="shared" si="1"/>
        <v>1336862</v>
      </c>
      <c r="M20" s="11"/>
    </row>
    <row r="21" spans="1:13" ht="15.75" customHeight="1" x14ac:dyDescent="0.25">
      <c r="A21" s="214">
        <v>562.35</v>
      </c>
      <c r="B21" s="350" t="s">
        <v>13</v>
      </c>
      <c r="C21" s="216"/>
      <c r="D21" s="219">
        <v>420</v>
      </c>
      <c r="E21" s="221">
        <f>23692+29046</f>
        <v>52738</v>
      </c>
      <c r="F21" s="219"/>
      <c r="G21" s="220">
        <v>70826</v>
      </c>
      <c r="H21" s="219"/>
      <c r="I21" s="221">
        <f>185660+20670</f>
        <v>206330</v>
      </c>
      <c r="J21" s="219"/>
      <c r="K21" s="222">
        <v>27320</v>
      </c>
      <c r="L21" s="223">
        <f t="shared" si="1"/>
        <v>357634</v>
      </c>
      <c r="M21" s="11"/>
    </row>
    <row r="22" spans="1:13" ht="15.75" customHeight="1" x14ac:dyDescent="0.25">
      <c r="A22" s="214">
        <v>562.39</v>
      </c>
      <c r="B22" s="350" t="s">
        <v>14</v>
      </c>
      <c r="C22" s="216">
        <v>436568</v>
      </c>
      <c r="D22" s="219">
        <v>604</v>
      </c>
      <c r="E22" s="221"/>
      <c r="F22" s="219">
        <v>437504</v>
      </c>
      <c r="G22" s="220">
        <v>137355</v>
      </c>
      <c r="H22" s="219"/>
      <c r="I22" s="221"/>
      <c r="J22" s="219"/>
      <c r="K22" s="222">
        <v>52982</v>
      </c>
      <c r="L22" s="223">
        <f t="shared" si="1"/>
        <v>1065013</v>
      </c>
      <c r="M22" s="11"/>
    </row>
    <row r="23" spans="1:13" ht="15.75" customHeight="1" x14ac:dyDescent="0.25">
      <c r="A23" s="214">
        <v>562.41</v>
      </c>
      <c r="B23" s="350" t="s">
        <v>15</v>
      </c>
      <c r="C23" s="216"/>
      <c r="D23" s="219"/>
      <c r="E23" s="221"/>
      <c r="F23" s="219"/>
      <c r="G23" s="220"/>
      <c r="H23" s="219"/>
      <c r="I23" s="221"/>
      <c r="J23" s="219"/>
      <c r="K23" s="222"/>
      <c r="L23" s="223">
        <f t="shared" si="1"/>
        <v>0</v>
      </c>
      <c r="M23" s="11"/>
    </row>
    <row r="24" spans="1:13" ht="15.75" customHeight="1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/>
      <c r="H24" s="219"/>
      <c r="I24" s="221"/>
      <c r="J24" s="219"/>
      <c r="K24" s="222"/>
      <c r="L24" s="223">
        <f t="shared" si="1"/>
        <v>0</v>
      </c>
      <c r="M24" s="11"/>
    </row>
    <row r="25" spans="1:13" ht="15.75" customHeight="1" x14ac:dyDescent="0.25">
      <c r="A25" s="214">
        <v>562.42999999999995</v>
      </c>
      <c r="B25" s="350" t="s">
        <v>55</v>
      </c>
      <c r="C25" s="216"/>
      <c r="D25" s="219"/>
      <c r="E25" s="221"/>
      <c r="F25" s="219"/>
      <c r="G25" s="220"/>
      <c r="H25" s="219"/>
      <c r="I25" s="221"/>
      <c r="J25" s="219"/>
      <c r="K25" s="222"/>
      <c r="L25" s="223">
        <f t="shared" si="1"/>
        <v>0</v>
      </c>
      <c r="M25" s="11"/>
    </row>
    <row r="26" spans="1:13" ht="15.75" customHeight="1" x14ac:dyDescent="0.25">
      <c r="A26" s="214">
        <v>562.44000000000005</v>
      </c>
      <c r="B26" s="350" t="s">
        <v>56</v>
      </c>
      <c r="C26" s="216"/>
      <c r="D26" s="219"/>
      <c r="E26" s="221">
        <v>66839</v>
      </c>
      <c r="F26" s="219"/>
      <c r="G26" s="220">
        <v>370107</v>
      </c>
      <c r="H26" s="219">
        <v>81350</v>
      </c>
      <c r="I26" s="221">
        <v>44503</v>
      </c>
      <c r="J26" s="219">
        <v>12555</v>
      </c>
      <c r="K26" s="222">
        <v>142764</v>
      </c>
      <c r="L26" s="223">
        <f t="shared" si="1"/>
        <v>718118</v>
      </c>
      <c r="M26" s="11"/>
    </row>
    <row r="27" spans="1:13" ht="15.75" customHeight="1" x14ac:dyDescent="0.25">
      <c r="A27" s="214">
        <v>562.45000000000005</v>
      </c>
      <c r="B27" s="350" t="s">
        <v>57</v>
      </c>
      <c r="C27" s="216"/>
      <c r="D27" s="219">
        <v>37500</v>
      </c>
      <c r="E27" s="221"/>
      <c r="F27" s="219"/>
      <c r="G27" s="220">
        <v>13413</v>
      </c>
      <c r="H27" s="219"/>
      <c r="I27" s="221">
        <v>45404</v>
      </c>
      <c r="J27" s="219"/>
      <c r="K27" s="222">
        <v>5174</v>
      </c>
      <c r="L27" s="223">
        <f t="shared" si="1"/>
        <v>101491</v>
      </c>
      <c r="M27" s="11"/>
    </row>
    <row r="28" spans="1:13" ht="15.75" customHeight="1" x14ac:dyDescent="0.25">
      <c r="A28" s="214">
        <v>562.49</v>
      </c>
      <c r="B28" s="350" t="s">
        <v>46</v>
      </c>
      <c r="C28" s="216"/>
      <c r="D28" s="219"/>
      <c r="E28" s="221"/>
      <c r="F28" s="219"/>
      <c r="G28" s="220">
        <v>3958</v>
      </c>
      <c r="H28" s="219"/>
      <c r="I28" s="221">
        <v>26239</v>
      </c>
      <c r="J28" s="219"/>
      <c r="K28" s="222">
        <v>1527</v>
      </c>
      <c r="L28" s="223">
        <f t="shared" si="1"/>
        <v>31724</v>
      </c>
      <c r="M28" s="11"/>
    </row>
    <row r="29" spans="1:13" ht="15.75" customHeight="1" x14ac:dyDescent="0.25">
      <c r="A29" s="214">
        <v>562.52</v>
      </c>
      <c r="B29" s="350" t="s">
        <v>17</v>
      </c>
      <c r="C29" s="216"/>
      <c r="D29" s="219">
        <v>168100</v>
      </c>
      <c r="E29" s="221"/>
      <c r="F29" s="219"/>
      <c r="G29" s="220"/>
      <c r="H29" s="219">
        <v>76179</v>
      </c>
      <c r="I29" s="221"/>
      <c r="J29" s="219"/>
      <c r="K29" s="222">
        <v>-100183</v>
      </c>
      <c r="L29" s="223">
        <f t="shared" si="1"/>
        <v>144096</v>
      </c>
      <c r="M29" s="11"/>
    </row>
    <row r="30" spans="1:13" ht="15.75" customHeight="1" x14ac:dyDescent="0.25">
      <c r="A30" s="214">
        <v>562.53</v>
      </c>
      <c r="B30" s="350" t="s">
        <v>58</v>
      </c>
      <c r="C30" s="216">
        <v>0</v>
      </c>
      <c r="D30" s="219">
        <v>620889</v>
      </c>
      <c r="E30" s="221"/>
      <c r="F30" s="219"/>
      <c r="G30" s="220">
        <v>327884</v>
      </c>
      <c r="H30" s="219">
        <v>307702</v>
      </c>
      <c r="I30" s="221"/>
      <c r="J30" s="219"/>
      <c r="K30" s="222">
        <f>126476+10354</f>
        <v>136830</v>
      </c>
      <c r="L30" s="223">
        <f t="shared" si="1"/>
        <v>1393305</v>
      </c>
      <c r="M30" s="11"/>
    </row>
    <row r="31" spans="1:13" ht="15.75" customHeight="1" x14ac:dyDescent="0.25">
      <c r="A31" s="214">
        <v>562.54</v>
      </c>
      <c r="B31" s="350" t="s">
        <v>59</v>
      </c>
      <c r="C31" s="216">
        <v>51252</v>
      </c>
      <c r="D31" s="219">
        <v>1375572</v>
      </c>
      <c r="E31" s="221">
        <v>30000</v>
      </c>
      <c r="F31" s="219"/>
      <c r="G31" s="220">
        <v>325230</v>
      </c>
      <c r="H31" s="219"/>
      <c r="I31" s="221"/>
      <c r="J31" s="219"/>
      <c r="K31" s="222">
        <v>125453</v>
      </c>
      <c r="L31" s="223">
        <f t="shared" si="1"/>
        <v>1907507</v>
      </c>
      <c r="M31" s="11"/>
    </row>
    <row r="32" spans="1:13" ht="15.75" customHeight="1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ht="15.75" customHeight="1" x14ac:dyDescent="0.25">
      <c r="A33" s="214">
        <v>562.55999999999995</v>
      </c>
      <c r="B33" s="350" t="s">
        <v>19</v>
      </c>
      <c r="C33" s="216"/>
      <c r="D33" s="219">
        <v>2588840</v>
      </c>
      <c r="E33" s="221"/>
      <c r="F33" s="219"/>
      <c r="G33" s="220">
        <v>424058</v>
      </c>
      <c r="H33" s="219"/>
      <c r="I33" s="221"/>
      <c r="J33" s="219">
        <v>4827</v>
      </c>
      <c r="K33" s="222">
        <v>163574</v>
      </c>
      <c r="L33" s="223">
        <f t="shared" si="1"/>
        <v>3181299</v>
      </c>
      <c r="M33" s="11"/>
    </row>
    <row r="34" spans="1:13" ht="15.75" customHeight="1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ht="15.75" customHeight="1" x14ac:dyDescent="0.25">
      <c r="A35" s="214">
        <v>562.58000000000004</v>
      </c>
      <c r="B35" s="350" t="s">
        <v>47</v>
      </c>
      <c r="C35" s="216"/>
      <c r="D35" s="219">
        <f>288569+65369</f>
        <v>353938</v>
      </c>
      <c r="E35" s="221"/>
      <c r="F35" s="219"/>
      <c r="G35" s="220">
        <v>117430</v>
      </c>
      <c r="H35" s="219"/>
      <c r="I35" s="221"/>
      <c r="J35" s="219"/>
      <c r="K35" s="222">
        <v>45297</v>
      </c>
      <c r="L35" s="223">
        <f t="shared" si="1"/>
        <v>516665</v>
      </c>
      <c r="M35" s="11"/>
    </row>
    <row r="36" spans="1:13" ht="15.75" customHeight="1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ht="15.75" customHeight="1" x14ac:dyDescent="0.25">
      <c r="A37" s="214">
        <v>562.6</v>
      </c>
      <c r="B37" s="350" t="s">
        <v>20</v>
      </c>
      <c r="C37" s="216"/>
      <c r="D37" s="219">
        <v>372</v>
      </c>
      <c r="E37" s="221">
        <v>4678</v>
      </c>
      <c r="F37" s="219"/>
      <c r="G37" s="220">
        <v>5282</v>
      </c>
      <c r="H37" s="219"/>
      <c r="I37" s="221"/>
      <c r="J37" s="219"/>
      <c r="K37" s="222">
        <v>2038</v>
      </c>
      <c r="L37" s="223">
        <f t="shared" si="1"/>
        <v>12370</v>
      </c>
      <c r="M37" s="11"/>
    </row>
    <row r="38" spans="1:13" ht="15.75" customHeight="1" x14ac:dyDescent="0.25">
      <c r="A38" s="214">
        <v>562.71</v>
      </c>
      <c r="B38" s="350" t="s">
        <v>21</v>
      </c>
      <c r="C38" s="216"/>
      <c r="D38" s="219">
        <f>56+402625</f>
        <v>402681</v>
      </c>
      <c r="E38" s="221"/>
      <c r="F38" s="219"/>
      <c r="G38" s="220">
        <v>30134</v>
      </c>
      <c r="H38" s="219"/>
      <c r="I38" s="221"/>
      <c r="J38" s="219"/>
      <c r="K38" s="222">
        <f>11624-5</f>
        <v>11619</v>
      </c>
      <c r="L38" s="223">
        <f t="shared" si="1"/>
        <v>444434</v>
      </c>
      <c r="M38" s="11"/>
    </row>
    <row r="39" spans="1:13" ht="15.75" customHeight="1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ht="15.75" customHeight="1" x14ac:dyDescent="0.25">
      <c r="A40" s="214">
        <v>562.73</v>
      </c>
      <c r="B40" s="350" t="s">
        <v>23</v>
      </c>
      <c r="C40" s="216"/>
      <c r="D40" s="219"/>
      <c r="E40" s="221"/>
      <c r="F40" s="219"/>
      <c r="G40" s="220"/>
      <c r="H40" s="219"/>
      <c r="I40" s="221"/>
      <c r="J40" s="219"/>
      <c r="K40" s="222"/>
      <c r="L40" s="223">
        <f t="shared" si="1"/>
        <v>0</v>
      </c>
      <c r="M40" s="11"/>
    </row>
    <row r="41" spans="1:13" ht="15.75" customHeight="1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ht="15.75" customHeight="1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ht="15.75" customHeight="1" x14ac:dyDescent="0.25">
      <c r="A43" s="214">
        <v>562.79</v>
      </c>
      <c r="B43" s="350" t="s">
        <v>25</v>
      </c>
      <c r="C43" s="216"/>
      <c r="D43" s="219"/>
      <c r="E43" s="221"/>
      <c r="F43" s="219"/>
      <c r="G43" s="220"/>
      <c r="H43" s="219"/>
      <c r="I43" s="221"/>
      <c r="J43" s="219"/>
      <c r="K43" s="222"/>
      <c r="L43" s="223">
        <f t="shared" si="1"/>
        <v>0</v>
      </c>
      <c r="M43" s="11"/>
    </row>
    <row r="44" spans="1:13" ht="15.75" customHeight="1" x14ac:dyDescent="0.25">
      <c r="A44" s="214">
        <v>562.79999999999995</v>
      </c>
      <c r="B44" s="350" t="s">
        <v>26</v>
      </c>
      <c r="C44" s="216"/>
      <c r="D44" s="219"/>
      <c r="E44" s="221"/>
      <c r="F44" s="219"/>
      <c r="G44" s="220">
        <v>295369</v>
      </c>
      <c r="H44" s="219"/>
      <c r="I44" s="221"/>
      <c r="J44" s="219"/>
      <c r="K44" s="222">
        <v>113934</v>
      </c>
      <c r="L44" s="223">
        <f t="shared" si="1"/>
        <v>409303</v>
      </c>
      <c r="M44" s="11"/>
    </row>
    <row r="45" spans="1:13" ht="15.75" customHeight="1" x14ac:dyDescent="0.25">
      <c r="A45" s="214">
        <v>562.88</v>
      </c>
      <c r="B45" s="350" t="s">
        <v>50</v>
      </c>
      <c r="C45" s="216"/>
      <c r="D45" s="219"/>
      <c r="E45" s="221"/>
      <c r="F45" s="219"/>
      <c r="G45" s="220">
        <v>25656</v>
      </c>
      <c r="H45" s="219"/>
      <c r="I45" s="221">
        <v>853163</v>
      </c>
      <c r="J45" s="219"/>
      <c r="K45" s="222">
        <v>9896</v>
      </c>
      <c r="L45" s="223">
        <f t="shared" si="1"/>
        <v>888715</v>
      </c>
      <c r="M45" s="11"/>
    </row>
    <row r="46" spans="1:13" ht="15.75" customHeight="1" x14ac:dyDescent="0.25">
      <c r="A46" s="214">
        <v>562.9</v>
      </c>
      <c r="B46" s="350" t="s">
        <v>27</v>
      </c>
      <c r="C46" s="216"/>
      <c r="D46" s="219"/>
      <c r="E46" s="221"/>
      <c r="F46" s="219"/>
      <c r="G46" s="220">
        <v>6332</v>
      </c>
      <c r="H46" s="219"/>
      <c r="I46" s="221"/>
      <c r="J46" s="219">
        <v>8776</v>
      </c>
      <c r="K46" s="222">
        <v>2443</v>
      </c>
      <c r="L46" s="223">
        <f t="shared" si="1"/>
        <v>17551</v>
      </c>
      <c r="M46" s="11"/>
    </row>
    <row r="47" spans="1:13" ht="15.75" customHeight="1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.75" customHeight="1" thickBot="1" x14ac:dyDescent="0.3">
      <c r="A48" s="359" t="s">
        <v>63</v>
      </c>
      <c r="B48" s="360" t="s">
        <v>29</v>
      </c>
      <c r="C48" s="361">
        <f t="shared" ref="C48:K48" si="2">SUM(C5:C47)</f>
        <v>2705352</v>
      </c>
      <c r="D48" s="364">
        <f t="shared" si="2"/>
        <v>5931725</v>
      </c>
      <c r="E48" s="366">
        <f t="shared" si="2"/>
        <v>154255</v>
      </c>
      <c r="F48" s="364">
        <f t="shared" si="2"/>
        <v>437504</v>
      </c>
      <c r="G48" s="365">
        <f t="shared" si="2"/>
        <v>3422759</v>
      </c>
      <c r="H48" s="364">
        <f t="shared" si="2"/>
        <v>465231</v>
      </c>
      <c r="I48" s="366">
        <f t="shared" si="2"/>
        <v>2925215</v>
      </c>
      <c r="J48" s="364">
        <f t="shared" si="2"/>
        <v>291084</v>
      </c>
      <c r="K48" s="456">
        <f t="shared" si="2"/>
        <v>-81388</v>
      </c>
      <c r="L48" s="405">
        <f>SUM(C48:K48)</f>
        <v>16251737</v>
      </c>
      <c r="M48" s="11"/>
    </row>
    <row r="49" spans="1:13" ht="15.75" customHeight="1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ht="15.7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.75" customHeight="1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.75" customHeight="1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.75" customHeight="1" x14ac:dyDescent="0.25">
      <c r="A53" s="214">
        <v>554</v>
      </c>
      <c r="B53" s="309" t="s">
        <v>61</v>
      </c>
      <c r="C53" s="400"/>
      <c r="D53" s="219"/>
      <c r="E53" s="221"/>
      <c r="F53" s="219"/>
      <c r="G53" s="220">
        <v>10532</v>
      </c>
      <c r="H53" s="217">
        <v>127906</v>
      </c>
      <c r="I53" s="218"/>
      <c r="J53" s="219">
        <v>14596</v>
      </c>
      <c r="K53" s="222">
        <v>4063</v>
      </c>
      <c r="L53" s="223">
        <f t="shared" si="3"/>
        <v>157097</v>
      </c>
      <c r="M53" s="11"/>
    </row>
    <row r="54" spans="1:13" ht="15.75" customHeight="1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.75" customHeight="1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.75" customHeight="1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.75" customHeight="1" x14ac:dyDescent="0.25">
      <c r="A57" s="214">
        <v>566</v>
      </c>
      <c r="B57" s="309" t="s">
        <v>37</v>
      </c>
      <c r="C57" s="400"/>
      <c r="D57" s="219"/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.75" customHeight="1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.75" customHeight="1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.75" customHeight="1" thickBot="1" x14ac:dyDescent="0.3">
      <c r="A60" s="334"/>
      <c r="B60" s="335" t="s">
        <v>41</v>
      </c>
      <c r="C60" s="408">
        <f>SUM(C48:C59)</f>
        <v>2705352</v>
      </c>
      <c r="D60" s="364">
        <f>SUM(D48:D59)</f>
        <v>5931725</v>
      </c>
      <c r="E60" s="366">
        <f t="shared" ref="E60:K60" si="4">SUM(E48:E59)</f>
        <v>154255</v>
      </c>
      <c r="F60" s="364">
        <f>SUM(F48:F59)</f>
        <v>437504</v>
      </c>
      <c r="G60" s="365">
        <f t="shared" si="4"/>
        <v>3433291</v>
      </c>
      <c r="H60" s="362">
        <f t="shared" si="4"/>
        <v>593137</v>
      </c>
      <c r="I60" s="363">
        <f t="shared" si="4"/>
        <v>2925215</v>
      </c>
      <c r="J60" s="364">
        <f t="shared" si="4"/>
        <v>305680</v>
      </c>
      <c r="K60" s="456">
        <f t="shared" si="4"/>
        <v>-77325</v>
      </c>
      <c r="L60" s="409">
        <f>SUM(C60:K60)</f>
        <v>16408834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2705352</v>
      </c>
      <c r="D66" s="422">
        <f>C60/L60</f>
        <v>0.16487167826793786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5931725</v>
      </c>
      <c r="D67" s="425">
        <f>D60/L60</f>
        <v>0.36149582596789021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8637077</v>
      </c>
      <c r="D68" s="428">
        <f>SUM(D66:D67)</f>
        <v>0.52636750423582801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154255</v>
      </c>
      <c r="D70" s="434">
        <f>E60/$L60</f>
        <v>9.4007289000546893E-3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437504</v>
      </c>
      <c r="D71" s="434">
        <f>F60/L60</f>
        <v>2.6662711073803295E-2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3433291</v>
      </c>
      <c r="D72" s="434">
        <f>G60/$L60</f>
        <v>0.20923430634986009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593137</v>
      </c>
      <c r="D73" s="437">
        <f>H60/$L60</f>
        <v>3.6147419128013607E-2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4618187</v>
      </c>
      <c r="D74" s="428">
        <f>SUM(D70:D73)</f>
        <v>0.2814451654517317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2925215</v>
      </c>
      <c r="D76" s="422">
        <f>I60/L60</f>
        <v>0.17827074123609271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305680</v>
      </c>
      <c r="D77" s="425">
        <f>J60/L60</f>
        <v>1.8628989725900085E-2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3230895</v>
      </c>
      <c r="D78" s="428">
        <f>SUM(D76:D77)</f>
        <v>0.19689973096199279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>
        <v>0</v>
      </c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-77325</v>
      </c>
      <c r="D80" s="428">
        <f>K60/L60</f>
        <v>-4.7124006495525518E-3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16408834</v>
      </c>
      <c r="D81" s="448">
        <f>D74+D78+D68+D80</f>
        <v>0.99999999999999989</v>
      </c>
      <c r="E81" s="410"/>
      <c r="F81" s="410"/>
      <c r="G81" s="410"/>
      <c r="I81" s="381"/>
      <c r="J81" s="381"/>
      <c r="K81" s="410"/>
      <c r="M81" s="11"/>
    </row>
    <row r="82" spans="2:13" x14ac:dyDescent="0.25">
      <c r="C82" s="381"/>
      <c r="D82" s="381"/>
      <c r="E82" s="410"/>
      <c r="F82" s="410"/>
      <c r="G82" s="410"/>
      <c r="I82" s="381"/>
      <c r="J82" s="381"/>
      <c r="K82" s="410"/>
      <c r="M82" s="11"/>
    </row>
    <row r="83" spans="2:13" x14ac:dyDescent="0.25">
      <c r="C83" s="381"/>
      <c r="D83" s="381"/>
      <c r="E83" s="410"/>
      <c r="F83" s="410"/>
      <c r="G83" s="410"/>
      <c r="I83" s="381"/>
      <c r="J83" s="381"/>
      <c r="K83" s="410"/>
      <c r="M83" s="11"/>
    </row>
    <row r="84" spans="2:13" x14ac:dyDescent="0.25">
      <c r="C84" s="381"/>
      <c r="D84" s="381"/>
      <c r="E84" s="410"/>
      <c r="F84" s="410"/>
      <c r="G84" s="410"/>
      <c r="I84" s="381"/>
      <c r="J84" s="381"/>
      <c r="K84" s="410"/>
      <c r="M84" s="11"/>
    </row>
    <row r="85" spans="2:13" x14ac:dyDescent="0.25">
      <c r="C85" s="381"/>
      <c r="D85" s="381"/>
      <c r="E85" s="410"/>
      <c r="F85" s="410"/>
      <c r="G85" s="410"/>
      <c r="I85" s="381"/>
      <c r="J85" s="381"/>
      <c r="K85" s="410"/>
      <c r="M85" s="11"/>
    </row>
    <row r="86" spans="2:13" x14ac:dyDescent="0.25">
      <c r="C86" s="381"/>
      <c r="D86" s="381"/>
      <c r="E86" s="410"/>
      <c r="F86" s="410"/>
      <c r="G86" s="410"/>
      <c r="I86" s="381"/>
      <c r="J86" s="381"/>
      <c r="K86" s="410"/>
      <c r="M86" s="11"/>
    </row>
    <row r="87" spans="2:13" x14ac:dyDescent="0.25">
      <c r="C87" s="381"/>
      <c r="D87" s="381"/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33" priority="5">
      <formula>ROW()=EVEN(ROW())</formula>
    </cfRule>
  </conditionalFormatting>
  <conditionalFormatting sqref="L49:L59">
    <cfRule type="expression" dxfId="32" priority="3">
      <formula>ROW()=EVEN(ROW())</formula>
    </cfRule>
  </conditionalFormatting>
  <conditionalFormatting sqref="L5:L10">
    <cfRule type="expression" dxfId="31" priority="4">
      <formula>ROW()=EVEN(ROW())</formula>
    </cfRule>
  </conditionalFormatting>
  <conditionalFormatting sqref="A6:K10">
    <cfRule type="expression" dxfId="30" priority="2">
      <formula>ROW()=EVEN(ROW())</formula>
    </cfRule>
  </conditionalFormatting>
  <printOptions horizontalCentered="1"/>
  <pageMargins left="0" right="0" top="0.98" bottom="0.6" header="0.3" footer="0.3"/>
  <pageSetup scale="65" firstPageNumber="60" fitToHeight="2" orientation="landscape" useFirstPageNumber="1" r:id="rId1"/>
  <headerFooter>
    <oddHeader>&amp;C&amp;"Arial,Bold"&amp;16Expenditures by Expenditure Code and Revenue Source
2017
SNOHOMISH</oddHeader>
  </headerFooter>
  <rowBreaks count="1" manualBreakCount="1">
    <brk id="48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zoomScaleNormal="100" workbookViewId="0">
      <selection activeCell="E4" sqref="E4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499800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219.15</v>
      </c>
      <c r="D2" s="386"/>
      <c r="G2" s="382"/>
      <c r="H2" s="380"/>
      <c r="I2" s="380"/>
      <c r="J2" s="531" t="s">
        <v>143</v>
      </c>
      <c r="K2" s="531"/>
      <c r="L2" s="505" t="s">
        <v>138</v>
      </c>
    </row>
    <row r="3" spans="1:13" ht="15.75" thickBot="1" x14ac:dyDescent="0.3">
      <c r="A3" s="388"/>
      <c r="B3" s="389"/>
      <c r="C3" s="534" t="s">
        <v>69</v>
      </c>
      <c r="D3" s="534"/>
      <c r="E3" s="533" t="s">
        <v>67</v>
      </c>
      <c r="F3" s="534"/>
      <c r="G3" s="534"/>
      <c r="H3" s="534"/>
      <c r="I3" s="533" t="s">
        <v>68</v>
      </c>
      <c r="J3" s="534"/>
      <c r="K3" s="453" t="s">
        <v>70</v>
      </c>
      <c r="L3" s="297"/>
      <c r="M3" s="11"/>
    </row>
    <row r="4" spans="1:13" ht="39.75" thickBot="1" x14ac:dyDescent="0.3">
      <c r="A4" s="391" t="s">
        <v>65</v>
      </c>
      <c r="B4" s="454" t="s">
        <v>64</v>
      </c>
      <c r="C4" s="393" t="s">
        <v>62</v>
      </c>
      <c r="D4" s="396" t="s">
        <v>6</v>
      </c>
      <c r="E4" s="455" t="s">
        <v>1</v>
      </c>
      <c r="F4" s="397" t="s">
        <v>157</v>
      </c>
      <c r="G4" s="451" t="s">
        <v>2</v>
      </c>
      <c r="H4" s="396" t="s">
        <v>3</v>
      </c>
      <c r="I4" s="395" t="s">
        <v>4</v>
      </c>
      <c r="J4" s="396" t="s">
        <v>5</v>
      </c>
      <c r="K4" s="398" t="s">
        <v>8</v>
      </c>
      <c r="L4" s="399" t="s">
        <v>0</v>
      </c>
      <c r="M4" s="11"/>
    </row>
    <row r="5" spans="1:13" x14ac:dyDescent="0.25">
      <c r="A5" s="214">
        <v>562.1</v>
      </c>
      <c r="B5" s="350" t="s">
        <v>9</v>
      </c>
      <c r="C5" s="216">
        <v>1780477</v>
      </c>
      <c r="D5" s="219">
        <v>9071</v>
      </c>
      <c r="E5" s="221">
        <f>63250+13095</f>
        <v>76345</v>
      </c>
      <c r="F5" s="219"/>
      <c r="G5" s="220"/>
      <c r="H5" s="219"/>
      <c r="I5" s="221"/>
      <c r="J5" s="219">
        <v>189666</v>
      </c>
      <c r="K5" s="222">
        <v>131031</v>
      </c>
      <c r="L5" s="223">
        <f>SUM(C5:K5)</f>
        <v>2186590</v>
      </c>
      <c r="M5" s="11"/>
    </row>
    <row r="6" spans="1:13" x14ac:dyDescent="0.25">
      <c r="A6" s="214">
        <v>562.11</v>
      </c>
      <c r="B6" s="350" t="s">
        <v>145</v>
      </c>
      <c r="C6" s="357"/>
      <c r="D6" s="299"/>
      <c r="E6" s="310"/>
      <c r="F6" s="299"/>
      <c r="G6" s="311"/>
      <c r="H6" s="299"/>
      <c r="I6" s="310"/>
      <c r="J6" s="299"/>
      <c r="K6" s="313"/>
      <c r="L6" s="223">
        <f t="shared" ref="L6:L10" si="0">SUM(C6:K6)</f>
        <v>0</v>
      </c>
      <c r="M6" s="11"/>
    </row>
    <row r="7" spans="1:13" x14ac:dyDescent="0.25">
      <c r="A7" s="214">
        <v>562.12</v>
      </c>
      <c r="B7" s="350" t="s">
        <v>146</v>
      </c>
      <c r="C7" s="357"/>
      <c r="D7" s="299"/>
      <c r="E7" s="310"/>
      <c r="F7" s="299"/>
      <c r="G7" s="311"/>
      <c r="H7" s="299"/>
      <c r="I7" s="310"/>
      <c r="J7" s="299"/>
      <c r="K7" s="313"/>
      <c r="L7" s="223">
        <f t="shared" si="0"/>
        <v>0</v>
      </c>
      <c r="M7" s="11"/>
    </row>
    <row r="8" spans="1:13" x14ac:dyDescent="0.25">
      <c r="A8" s="214">
        <v>562.13</v>
      </c>
      <c r="B8" s="350" t="s">
        <v>147</v>
      </c>
      <c r="C8" s="357"/>
      <c r="D8" s="299"/>
      <c r="E8" s="310"/>
      <c r="F8" s="299"/>
      <c r="G8" s="311"/>
      <c r="H8" s="299"/>
      <c r="I8" s="310"/>
      <c r="J8" s="299"/>
      <c r="K8" s="313"/>
      <c r="L8" s="223">
        <f t="shared" si="0"/>
        <v>0</v>
      </c>
      <c r="M8" s="11"/>
    </row>
    <row r="9" spans="1:13" x14ac:dyDescent="0.25">
      <c r="A9" s="214">
        <v>562.14</v>
      </c>
      <c r="B9" s="350" t="s">
        <v>148</v>
      </c>
      <c r="C9" s="357"/>
      <c r="D9" s="299"/>
      <c r="E9" s="310"/>
      <c r="F9" s="299"/>
      <c r="G9" s="311"/>
      <c r="H9" s="299"/>
      <c r="I9" s="310"/>
      <c r="J9" s="299"/>
      <c r="K9" s="313"/>
      <c r="L9" s="223">
        <f t="shared" si="0"/>
        <v>0</v>
      </c>
      <c r="M9" s="11"/>
    </row>
    <row r="10" spans="1:13" x14ac:dyDescent="0.25">
      <c r="A10" s="214">
        <v>562.15</v>
      </c>
      <c r="B10" s="350" t="s">
        <v>149</v>
      </c>
      <c r="C10" s="357"/>
      <c r="D10" s="299"/>
      <c r="E10" s="310"/>
      <c r="F10" s="299"/>
      <c r="G10" s="311"/>
      <c r="H10" s="299"/>
      <c r="I10" s="310"/>
      <c r="J10" s="299"/>
      <c r="K10" s="313"/>
      <c r="L10" s="223">
        <f t="shared" si="0"/>
        <v>0</v>
      </c>
      <c r="M10" s="11"/>
    </row>
    <row r="11" spans="1:13" x14ac:dyDescent="0.25">
      <c r="A11" s="214">
        <v>562.22</v>
      </c>
      <c r="B11" s="350" t="s">
        <v>51</v>
      </c>
      <c r="C11" s="216"/>
      <c r="D11" s="219"/>
      <c r="E11" s="221"/>
      <c r="F11" s="219"/>
      <c r="G11" s="220">
        <v>403402</v>
      </c>
      <c r="H11" s="219">
        <f>95802+118576</f>
        <v>214378</v>
      </c>
      <c r="I11" s="221">
        <v>236248</v>
      </c>
      <c r="J11" s="219">
        <v>902823</v>
      </c>
      <c r="K11" s="222">
        <v>2642</v>
      </c>
      <c r="L11" s="223">
        <f t="shared" ref="L11:L47" si="1">SUM(C11:K11)</f>
        <v>1759493</v>
      </c>
      <c r="M11" s="11"/>
    </row>
    <row r="12" spans="1:13" x14ac:dyDescent="0.25">
      <c r="A12" s="214">
        <v>562.24</v>
      </c>
      <c r="B12" s="350" t="s">
        <v>10</v>
      </c>
      <c r="C12" s="216"/>
      <c r="D12" s="219"/>
      <c r="E12" s="221"/>
      <c r="F12" s="219"/>
      <c r="G12" s="220">
        <v>51227</v>
      </c>
      <c r="H12" s="219">
        <v>23875</v>
      </c>
      <c r="I12" s="231"/>
      <c r="J12" s="219">
        <f>3774+23875</f>
        <v>27649</v>
      </c>
      <c r="K12" s="222"/>
      <c r="L12" s="223">
        <f t="shared" si="1"/>
        <v>102751</v>
      </c>
      <c r="M12" s="11"/>
    </row>
    <row r="13" spans="1:13" x14ac:dyDescent="0.25">
      <c r="A13" s="214">
        <v>562.25</v>
      </c>
      <c r="B13" s="350" t="s">
        <v>52</v>
      </c>
      <c r="C13" s="216"/>
      <c r="D13" s="219">
        <v>304</v>
      </c>
      <c r="E13" s="221">
        <v>2038</v>
      </c>
      <c r="F13" s="219"/>
      <c r="G13" s="220">
        <v>120681</v>
      </c>
      <c r="H13" s="219">
        <f>5342522+181515</f>
        <v>5524037</v>
      </c>
      <c r="I13" s="221">
        <f>2100+123915</f>
        <v>126015</v>
      </c>
      <c r="J13" s="219">
        <f>14515+557252</f>
        <v>571767</v>
      </c>
      <c r="K13" s="222"/>
      <c r="L13" s="223">
        <f t="shared" si="1"/>
        <v>6344842</v>
      </c>
      <c r="M13" s="11"/>
    </row>
    <row r="14" spans="1:13" x14ac:dyDescent="0.25">
      <c r="A14" s="214">
        <v>562.26</v>
      </c>
      <c r="B14" s="350" t="s">
        <v>43</v>
      </c>
      <c r="C14" s="216"/>
      <c r="D14" s="219"/>
      <c r="E14" s="221"/>
      <c r="F14" s="219"/>
      <c r="G14" s="220"/>
      <c r="H14" s="219"/>
      <c r="I14" s="221"/>
      <c r="J14" s="219"/>
      <c r="K14" s="222"/>
      <c r="L14" s="223">
        <f t="shared" si="1"/>
        <v>0</v>
      </c>
      <c r="M14" s="11"/>
    </row>
    <row r="15" spans="1:13" x14ac:dyDescent="0.25">
      <c r="A15" s="214">
        <v>562.27</v>
      </c>
      <c r="B15" s="350" t="s">
        <v>44</v>
      </c>
      <c r="C15" s="216"/>
      <c r="D15" s="219"/>
      <c r="E15" s="221"/>
      <c r="F15" s="219"/>
      <c r="G15" s="220"/>
      <c r="H15" s="219"/>
      <c r="I15" s="221"/>
      <c r="J15" s="219"/>
      <c r="K15" s="222"/>
      <c r="L15" s="223">
        <f t="shared" si="1"/>
        <v>0</v>
      </c>
      <c r="M15" s="11"/>
    </row>
    <row r="16" spans="1:13" x14ac:dyDescent="0.25">
      <c r="A16" s="214">
        <v>562.28</v>
      </c>
      <c r="B16" s="350" t="s">
        <v>53</v>
      </c>
      <c r="C16" s="216"/>
      <c r="D16" s="219">
        <v>90</v>
      </c>
      <c r="E16" s="221"/>
      <c r="F16" s="219"/>
      <c r="G16" s="220">
        <v>36109</v>
      </c>
      <c r="H16" s="219"/>
      <c r="I16" s="221">
        <f>2123055+2246</f>
        <v>2125301</v>
      </c>
      <c r="J16" s="219"/>
      <c r="K16" s="222"/>
      <c r="L16" s="223">
        <f t="shared" si="1"/>
        <v>2161500</v>
      </c>
      <c r="M16" s="11"/>
    </row>
    <row r="17" spans="1:13" x14ac:dyDescent="0.25">
      <c r="A17" s="214">
        <v>562.29</v>
      </c>
      <c r="B17" s="350" t="s">
        <v>45</v>
      </c>
      <c r="C17" s="216"/>
      <c r="D17" s="219"/>
      <c r="E17" s="221"/>
      <c r="F17" s="219"/>
      <c r="G17" s="220"/>
      <c r="H17" s="219"/>
      <c r="I17" s="221"/>
      <c r="J17" s="219"/>
      <c r="K17" s="222"/>
      <c r="L17" s="223">
        <f t="shared" si="1"/>
        <v>0</v>
      </c>
      <c r="M17" s="11"/>
    </row>
    <row r="18" spans="1:13" x14ac:dyDescent="0.25">
      <c r="A18" s="214">
        <v>562.32000000000005</v>
      </c>
      <c r="B18" s="350" t="s">
        <v>11</v>
      </c>
      <c r="C18" s="216"/>
      <c r="D18" s="219">
        <v>5084</v>
      </c>
      <c r="E18" s="221"/>
      <c r="F18" s="219"/>
      <c r="G18" s="220">
        <v>30707</v>
      </c>
      <c r="H18" s="219"/>
      <c r="I18" s="221">
        <f>76101+22321+3078</f>
        <v>101500</v>
      </c>
      <c r="J18" s="219"/>
      <c r="K18" s="222">
        <v>39701</v>
      </c>
      <c r="L18" s="223">
        <f t="shared" si="1"/>
        <v>176992</v>
      </c>
      <c r="M18" s="11"/>
    </row>
    <row r="19" spans="1:13" x14ac:dyDescent="0.25">
      <c r="A19" s="214">
        <v>562.33000000000004</v>
      </c>
      <c r="B19" s="350" t="s">
        <v>54</v>
      </c>
      <c r="C19" s="216"/>
      <c r="D19" s="219"/>
      <c r="E19" s="221"/>
      <c r="F19" s="219"/>
      <c r="G19" s="220">
        <v>12425</v>
      </c>
      <c r="H19" s="219"/>
      <c r="I19" s="221">
        <v>49313</v>
      </c>
      <c r="J19" s="219"/>
      <c r="K19" s="222"/>
      <c r="L19" s="223">
        <f t="shared" si="1"/>
        <v>61738</v>
      </c>
      <c r="M19" s="11"/>
    </row>
    <row r="20" spans="1:13" x14ac:dyDescent="0.25">
      <c r="A20" s="214">
        <v>562.34</v>
      </c>
      <c r="B20" s="350" t="s">
        <v>12</v>
      </c>
      <c r="C20" s="216">
        <v>129070</v>
      </c>
      <c r="D20" s="219"/>
      <c r="E20" s="221"/>
      <c r="F20" s="219"/>
      <c r="G20" s="220"/>
      <c r="H20" s="219"/>
      <c r="I20" s="221"/>
      <c r="J20" s="219"/>
      <c r="K20" s="222"/>
      <c r="L20" s="223">
        <f t="shared" si="1"/>
        <v>129070</v>
      </c>
      <c r="M20" s="11"/>
    </row>
    <row r="21" spans="1:13" x14ac:dyDescent="0.25">
      <c r="A21" s="214">
        <v>562.35</v>
      </c>
      <c r="B21" s="350" t="s">
        <v>13</v>
      </c>
      <c r="C21" s="216"/>
      <c r="D21" s="219">
        <f>160419+6667</f>
        <v>167086</v>
      </c>
      <c r="E21" s="221">
        <f>188311+906985</f>
        <v>1095296</v>
      </c>
      <c r="F21" s="219"/>
      <c r="G21" s="220">
        <v>125052</v>
      </c>
      <c r="H21" s="219"/>
      <c r="I21" s="221">
        <v>59992</v>
      </c>
      <c r="J21" s="219">
        <v>9484</v>
      </c>
      <c r="K21" s="222"/>
      <c r="L21" s="223">
        <f t="shared" si="1"/>
        <v>1456910</v>
      </c>
      <c r="M21" s="11"/>
    </row>
    <row r="22" spans="1:13" x14ac:dyDescent="0.25">
      <c r="A22" s="214">
        <v>562.39</v>
      </c>
      <c r="B22" s="350" t="s">
        <v>14</v>
      </c>
      <c r="C22" s="216"/>
      <c r="D22" s="219"/>
      <c r="E22" s="221"/>
      <c r="F22" s="219"/>
      <c r="G22" s="220"/>
      <c r="H22" s="219"/>
      <c r="I22" s="221"/>
      <c r="J22" s="219"/>
      <c r="K22" s="222"/>
      <c r="L22" s="223">
        <f t="shared" si="1"/>
        <v>0</v>
      </c>
      <c r="M22" s="11"/>
    </row>
    <row r="23" spans="1:13" x14ac:dyDescent="0.25">
      <c r="A23" s="214">
        <v>562.41</v>
      </c>
      <c r="B23" s="350" t="s">
        <v>15</v>
      </c>
      <c r="C23" s="216"/>
      <c r="D23" s="219"/>
      <c r="E23" s="221"/>
      <c r="F23" s="219"/>
      <c r="G23" s="220">
        <v>35576</v>
      </c>
      <c r="H23" s="219"/>
      <c r="I23" s="221">
        <v>332663</v>
      </c>
      <c r="J23" s="219"/>
      <c r="K23" s="222"/>
      <c r="L23" s="223">
        <f t="shared" si="1"/>
        <v>368239</v>
      </c>
      <c r="M23" s="11"/>
    </row>
    <row r="24" spans="1:13" x14ac:dyDescent="0.25">
      <c r="A24" s="214">
        <v>562.41999999999996</v>
      </c>
      <c r="B24" s="350" t="s">
        <v>16</v>
      </c>
      <c r="C24" s="216"/>
      <c r="D24" s="219"/>
      <c r="E24" s="221"/>
      <c r="F24" s="219"/>
      <c r="G24" s="220">
        <v>452538</v>
      </c>
      <c r="H24" s="219">
        <v>86</v>
      </c>
      <c r="I24" s="221"/>
      <c r="J24" s="219">
        <v>172163</v>
      </c>
      <c r="K24" s="222"/>
      <c r="L24" s="223">
        <f t="shared" si="1"/>
        <v>624787</v>
      </c>
      <c r="M24" s="11"/>
    </row>
    <row r="25" spans="1:13" x14ac:dyDescent="0.25">
      <c r="A25" s="214">
        <v>562.42999999999995</v>
      </c>
      <c r="B25" s="350" t="s">
        <v>55</v>
      </c>
      <c r="C25" s="216"/>
      <c r="D25" s="219"/>
      <c r="E25" s="221">
        <v>108369</v>
      </c>
      <c r="F25" s="219"/>
      <c r="G25" s="220">
        <v>18676</v>
      </c>
      <c r="H25" s="219"/>
      <c r="I25" s="221">
        <f>263061+39965</f>
        <v>303026</v>
      </c>
      <c r="J25" s="219"/>
      <c r="K25" s="222">
        <v>1961</v>
      </c>
      <c r="L25" s="223">
        <f t="shared" si="1"/>
        <v>432032</v>
      </c>
      <c r="M25" s="11"/>
    </row>
    <row r="26" spans="1:13" x14ac:dyDescent="0.25">
      <c r="A26" s="214">
        <v>562.44000000000005</v>
      </c>
      <c r="B26" s="350" t="s">
        <v>56</v>
      </c>
      <c r="C26" s="216"/>
      <c r="D26" s="219"/>
      <c r="E26" s="221">
        <v>311988</v>
      </c>
      <c r="F26" s="219"/>
      <c r="G26" s="220">
        <v>122089</v>
      </c>
      <c r="H26" s="219"/>
      <c r="I26" s="221">
        <v>54885</v>
      </c>
      <c r="J26" s="219"/>
      <c r="K26" s="222">
        <v>3000</v>
      </c>
      <c r="L26" s="223">
        <f t="shared" si="1"/>
        <v>491962</v>
      </c>
      <c r="M26" s="11"/>
    </row>
    <row r="27" spans="1:13" x14ac:dyDescent="0.25">
      <c r="A27" s="214">
        <v>562.45000000000005</v>
      </c>
      <c r="B27" s="350" t="s">
        <v>57</v>
      </c>
      <c r="C27" s="216"/>
      <c r="D27" s="219">
        <v>606</v>
      </c>
      <c r="E27" s="221"/>
      <c r="F27" s="219"/>
      <c r="G27" s="220">
        <v>55231</v>
      </c>
      <c r="H27" s="219">
        <v>26003</v>
      </c>
      <c r="I27" s="221"/>
      <c r="J27" s="219"/>
      <c r="K27" s="222"/>
      <c r="L27" s="223">
        <f t="shared" si="1"/>
        <v>81840</v>
      </c>
      <c r="M27" s="11"/>
    </row>
    <row r="28" spans="1:13" x14ac:dyDescent="0.25">
      <c r="A28" s="214">
        <v>562.49</v>
      </c>
      <c r="B28" s="350" t="s">
        <v>46</v>
      </c>
      <c r="C28" s="216"/>
      <c r="D28" s="219"/>
      <c r="E28" s="221"/>
      <c r="F28" s="219"/>
      <c r="G28" s="220"/>
      <c r="H28" s="219"/>
      <c r="I28" s="221"/>
      <c r="J28" s="219"/>
      <c r="K28" s="222"/>
      <c r="L28" s="223">
        <f t="shared" si="1"/>
        <v>0</v>
      </c>
      <c r="M28" s="11"/>
    </row>
    <row r="29" spans="1:13" x14ac:dyDescent="0.25">
      <c r="A29" s="214">
        <v>562.52</v>
      </c>
      <c r="B29" s="350" t="s">
        <v>17</v>
      </c>
      <c r="C29" s="216"/>
      <c r="D29" s="219"/>
      <c r="E29" s="221"/>
      <c r="F29" s="219"/>
      <c r="G29" s="220"/>
      <c r="H29" s="219"/>
      <c r="I29" s="221"/>
      <c r="J29" s="219"/>
      <c r="K29" s="222"/>
      <c r="L29" s="223">
        <f t="shared" si="1"/>
        <v>0</v>
      </c>
      <c r="M29" s="11"/>
    </row>
    <row r="30" spans="1:13" x14ac:dyDescent="0.25">
      <c r="A30" s="214">
        <v>562.53</v>
      </c>
      <c r="B30" s="350" t="s">
        <v>58</v>
      </c>
      <c r="C30" s="216">
        <v>0</v>
      </c>
      <c r="D30" s="219">
        <f>309424+360</f>
        <v>309784</v>
      </c>
      <c r="E30" s="221"/>
      <c r="F30" s="219"/>
      <c r="G30" s="220"/>
      <c r="H30" s="219">
        <f>125388+165812</f>
        <v>291200</v>
      </c>
      <c r="I30" s="221"/>
      <c r="J30" s="219"/>
      <c r="K30" s="222"/>
      <c r="L30" s="223">
        <f t="shared" si="1"/>
        <v>600984</v>
      </c>
      <c r="M30" s="11"/>
    </row>
    <row r="31" spans="1:13" x14ac:dyDescent="0.25">
      <c r="A31" s="214">
        <v>562.54</v>
      </c>
      <c r="B31" s="350" t="s">
        <v>59</v>
      </c>
      <c r="C31" s="216"/>
      <c r="D31" s="219">
        <f>911197-2669+110643</f>
        <v>1019171</v>
      </c>
      <c r="E31" s="221"/>
      <c r="F31" s="219"/>
      <c r="G31" s="220">
        <v>8117</v>
      </c>
      <c r="H31" s="219"/>
      <c r="I31" s="221"/>
      <c r="J31" s="219"/>
      <c r="K31" s="222"/>
      <c r="L31" s="223">
        <f t="shared" si="1"/>
        <v>1027288</v>
      </c>
      <c r="M31" s="11"/>
    </row>
    <row r="32" spans="1:13" x14ac:dyDescent="0.25">
      <c r="A32" s="214">
        <v>562.54999999999995</v>
      </c>
      <c r="B32" s="350" t="s">
        <v>18</v>
      </c>
      <c r="C32" s="216"/>
      <c r="D32" s="219"/>
      <c r="E32" s="221"/>
      <c r="F32" s="219"/>
      <c r="G32" s="220"/>
      <c r="H32" s="219"/>
      <c r="I32" s="221"/>
      <c r="J32" s="219"/>
      <c r="K32" s="222"/>
      <c r="L32" s="223">
        <f t="shared" si="1"/>
        <v>0</v>
      </c>
      <c r="M32" s="11"/>
    </row>
    <row r="33" spans="1:13" x14ac:dyDescent="0.25">
      <c r="A33" s="214">
        <v>562.55999999999995</v>
      </c>
      <c r="B33" s="350" t="s">
        <v>19</v>
      </c>
      <c r="C33" s="216"/>
      <c r="D33" s="219">
        <f>1285421+171894+96697</f>
        <v>1554012</v>
      </c>
      <c r="E33" s="221"/>
      <c r="F33" s="219"/>
      <c r="G33" s="220"/>
      <c r="H33" s="219"/>
      <c r="I33" s="221"/>
      <c r="J33" s="219"/>
      <c r="K33" s="222"/>
      <c r="L33" s="223">
        <f t="shared" si="1"/>
        <v>1554012</v>
      </c>
      <c r="M33" s="11"/>
    </row>
    <row r="34" spans="1:13" x14ac:dyDescent="0.25">
      <c r="A34" s="214">
        <v>562.57000000000005</v>
      </c>
      <c r="B34" s="350" t="s">
        <v>60</v>
      </c>
      <c r="C34" s="216"/>
      <c r="D34" s="219"/>
      <c r="E34" s="221"/>
      <c r="F34" s="219"/>
      <c r="G34" s="220"/>
      <c r="H34" s="219"/>
      <c r="I34" s="221"/>
      <c r="J34" s="219"/>
      <c r="K34" s="222"/>
      <c r="L34" s="223">
        <f t="shared" si="1"/>
        <v>0</v>
      </c>
      <c r="M34" s="11"/>
    </row>
    <row r="35" spans="1:13" x14ac:dyDescent="0.25">
      <c r="A35" s="214">
        <v>562.58000000000004</v>
      </c>
      <c r="B35" s="350" t="s">
        <v>47</v>
      </c>
      <c r="C35" s="216"/>
      <c r="D35" s="219">
        <f>193358+119843</f>
        <v>313201</v>
      </c>
      <c r="E35" s="221"/>
      <c r="F35" s="219"/>
      <c r="G35" s="220">
        <v>375461</v>
      </c>
      <c r="H35" s="219"/>
      <c r="I35" s="221"/>
      <c r="J35" s="219"/>
      <c r="K35" s="222"/>
      <c r="L35" s="223">
        <f t="shared" si="1"/>
        <v>688662</v>
      </c>
      <c r="M35" s="11"/>
    </row>
    <row r="36" spans="1:13" x14ac:dyDescent="0.25">
      <c r="A36" s="214">
        <v>562.59</v>
      </c>
      <c r="B36" s="350" t="s">
        <v>48</v>
      </c>
      <c r="C36" s="216"/>
      <c r="D36" s="219"/>
      <c r="E36" s="221"/>
      <c r="F36" s="219"/>
      <c r="G36" s="220"/>
      <c r="H36" s="219"/>
      <c r="I36" s="221"/>
      <c r="J36" s="219"/>
      <c r="K36" s="222"/>
      <c r="L36" s="223">
        <f t="shared" si="1"/>
        <v>0</v>
      </c>
      <c r="M36" s="11"/>
    </row>
    <row r="37" spans="1:13" x14ac:dyDescent="0.25">
      <c r="A37" s="214">
        <v>562.6</v>
      </c>
      <c r="B37" s="350" t="s">
        <v>20</v>
      </c>
      <c r="C37" s="216"/>
      <c r="D37" s="219"/>
      <c r="E37" s="221"/>
      <c r="F37" s="219"/>
      <c r="G37" s="220"/>
      <c r="H37" s="219"/>
      <c r="I37" s="221"/>
      <c r="J37" s="219"/>
      <c r="K37" s="222"/>
      <c r="L37" s="223">
        <f t="shared" si="1"/>
        <v>0</v>
      </c>
      <c r="M37" s="11"/>
    </row>
    <row r="38" spans="1:13" x14ac:dyDescent="0.25">
      <c r="A38" s="214">
        <v>562.71</v>
      </c>
      <c r="B38" s="350" t="s">
        <v>21</v>
      </c>
      <c r="C38" s="216"/>
      <c r="D38" s="219">
        <v>376749</v>
      </c>
      <c r="E38" s="221"/>
      <c r="F38" s="219"/>
      <c r="G38" s="220"/>
      <c r="H38" s="219"/>
      <c r="I38" s="221"/>
      <c r="J38" s="219"/>
      <c r="K38" s="222"/>
      <c r="L38" s="223">
        <f t="shared" si="1"/>
        <v>376749</v>
      </c>
      <c r="M38" s="11"/>
    </row>
    <row r="39" spans="1:13" x14ac:dyDescent="0.25">
      <c r="A39" s="214">
        <v>562.72</v>
      </c>
      <c r="B39" s="350" t="s">
        <v>22</v>
      </c>
      <c r="C39" s="216"/>
      <c r="D39" s="219"/>
      <c r="E39" s="221"/>
      <c r="F39" s="219"/>
      <c r="G39" s="220"/>
      <c r="H39" s="219"/>
      <c r="I39" s="221"/>
      <c r="J39" s="219"/>
      <c r="K39" s="222"/>
      <c r="L39" s="223">
        <f t="shared" si="1"/>
        <v>0</v>
      </c>
      <c r="M39" s="11"/>
    </row>
    <row r="40" spans="1:13" x14ac:dyDescent="0.25">
      <c r="A40" s="214">
        <v>562.73</v>
      </c>
      <c r="B40" s="350" t="s">
        <v>23</v>
      </c>
      <c r="C40" s="216"/>
      <c r="D40" s="219"/>
      <c r="E40" s="221"/>
      <c r="F40" s="219"/>
      <c r="G40" s="220">
        <v>49053</v>
      </c>
      <c r="H40" s="219"/>
      <c r="I40" s="221">
        <v>41384</v>
      </c>
      <c r="J40" s="219">
        <f>1334830+7160</f>
        <v>1341990</v>
      </c>
      <c r="K40" s="222">
        <v>5293</v>
      </c>
      <c r="L40" s="223">
        <f t="shared" si="1"/>
        <v>1437720</v>
      </c>
      <c r="M40" s="11"/>
    </row>
    <row r="41" spans="1:13" x14ac:dyDescent="0.25">
      <c r="A41" s="214">
        <v>562.74</v>
      </c>
      <c r="B41" s="350" t="s">
        <v>49</v>
      </c>
      <c r="C41" s="216"/>
      <c r="D41" s="219"/>
      <c r="E41" s="221"/>
      <c r="F41" s="219"/>
      <c r="G41" s="220"/>
      <c r="H41" s="219"/>
      <c r="I41" s="221"/>
      <c r="J41" s="219"/>
      <c r="K41" s="222"/>
      <c r="L41" s="223">
        <f t="shared" si="1"/>
        <v>0</v>
      </c>
      <c r="M41" s="11"/>
    </row>
    <row r="42" spans="1:13" x14ac:dyDescent="0.25">
      <c r="A42" s="214">
        <v>562.78</v>
      </c>
      <c r="B42" s="350" t="s">
        <v>24</v>
      </c>
      <c r="C42" s="216"/>
      <c r="D42" s="219"/>
      <c r="E42" s="221"/>
      <c r="F42" s="219"/>
      <c r="G42" s="220"/>
      <c r="H42" s="219"/>
      <c r="I42" s="221"/>
      <c r="J42" s="219"/>
      <c r="K42" s="222"/>
      <c r="L42" s="223">
        <f t="shared" si="1"/>
        <v>0</v>
      </c>
      <c r="M42" s="11"/>
    </row>
    <row r="43" spans="1:13" x14ac:dyDescent="0.25">
      <c r="A43" s="214">
        <v>562.79</v>
      </c>
      <c r="B43" s="350" t="s">
        <v>25</v>
      </c>
      <c r="C43" s="216"/>
      <c r="D43" s="219"/>
      <c r="E43" s="221"/>
      <c r="F43" s="219"/>
      <c r="G43" s="220">
        <v>490229</v>
      </c>
      <c r="H43" s="219"/>
      <c r="I43" s="221">
        <v>145537</v>
      </c>
      <c r="J43" s="219"/>
      <c r="K43" s="222"/>
      <c r="L43" s="223">
        <f t="shared" si="1"/>
        <v>635766</v>
      </c>
      <c r="M43" s="11"/>
    </row>
    <row r="44" spans="1:13" x14ac:dyDescent="0.25">
      <c r="A44" s="214">
        <v>562.79999999999995</v>
      </c>
      <c r="B44" s="350" t="s">
        <v>26</v>
      </c>
      <c r="C44" s="216">
        <v>300311</v>
      </c>
      <c r="D44" s="219">
        <f>5043+98145</f>
        <v>103188</v>
      </c>
      <c r="E44" s="221">
        <v>817</v>
      </c>
      <c r="F44" s="219">
        <v>288025</v>
      </c>
      <c r="G44" s="220">
        <v>490745</v>
      </c>
      <c r="H44" s="219"/>
      <c r="I44" s="221">
        <v>66114</v>
      </c>
      <c r="J44" s="219">
        <f>38920+45750</f>
        <v>84670</v>
      </c>
      <c r="K44" s="222">
        <v>31334</v>
      </c>
      <c r="L44" s="223">
        <f t="shared" si="1"/>
        <v>1365204</v>
      </c>
      <c r="M44" s="11"/>
    </row>
    <row r="45" spans="1:13" x14ac:dyDescent="0.25">
      <c r="A45" s="214">
        <v>562.88</v>
      </c>
      <c r="B45" s="350" t="s">
        <v>50</v>
      </c>
      <c r="C45" s="216">
        <v>5658</v>
      </c>
      <c r="D45" s="219"/>
      <c r="E45" s="221"/>
      <c r="F45" s="219"/>
      <c r="G45" s="220"/>
      <c r="H45" s="219"/>
      <c r="I45" s="221">
        <v>962701</v>
      </c>
      <c r="J45" s="219">
        <v>13000</v>
      </c>
      <c r="K45" s="222"/>
      <c r="L45" s="223">
        <f t="shared" si="1"/>
        <v>981359</v>
      </c>
      <c r="M45" s="11"/>
    </row>
    <row r="46" spans="1:13" x14ac:dyDescent="0.25">
      <c r="A46" s="214">
        <v>562.9</v>
      </c>
      <c r="B46" s="350" t="s">
        <v>27</v>
      </c>
      <c r="C46" s="216"/>
      <c r="D46" s="219"/>
      <c r="E46" s="221"/>
      <c r="F46" s="219"/>
      <c r="G46" s="220"/>
      <c r="H46" s="219"/>
      <c r="I46" s="221"/>
      <c r="J46" s="219"/>
      <c r="K46" s="222"/>
      <c r="L46" s="223">
        <f t="shared" si="1"/>
        <v>0</v>
      </c>
      <c r="M46" s="11"/>
    </row>
    <row r="47" spans="1:13" ht="15.75" thickBot="1" x14ac:dyDescent="0.3">
      <c r="A47" s="214">
        <v>562.99</v>
      </c>
      <c r="B47" s="350" t="s">
        <v>28</v>
      </c>
      <c r="C47" s="216"/>
      <c r="D47" s="219"/>
      <c r="E47" s="221"/>
      <c r="F47" s="219"/>
      <c r="G47" s="220"/>
      <c r="H47" s="219"/>
      <c r="I47" s="221"/>
      <c r="J47" s="219"/>
      <c r="K47" s="222"/>
      <c r="L47" s="223">
        <f t="shared" si="1"/>
        <v>0</v>
      </c>
      <c r="M47" s="11"/>
    </row>
    <row r="48" spans="1:13" ht="15.75" thickBot="1" x14ac:dyDescent="0.3">
      <c r="A48" s="359" t="s">
        <v>63</v>
      </c>
      <c r="B48" s="360" t="s">
        <v>29</v>
      </c>
      <c r="C48" s="361">
        <f t="shared" ref="C48:K48" si="2">SUM(C5:C47)</f>
        <v>2215516</v>
      </c>
      <c r="D48" s="364">
        <f t="shared" si="2"/>
        <v>3858346</v>
      </c>
      <c r="E48" s="366">
        <f t="shared" si="2"/>
        <v>1594853</v>
      </c>
      <c r="F48" s="364">
        <f t="shared" si="2"/>
        <v>288025</v>
      </c>
      <c r="G48" s="365">
        <f t="shared" si="2"/>
        <v>2877318</v>
      </c>
      <c r="H48" s="364">
        <f t="shared" si="2"/>
        <v>6079579</v>
      </c>
      <c r="I48" s="366">
        <f t="shared" si="2"/>
        <v>4604679</v>
      </c>
      <c r="J48" s="364">
        <f t="shared" si="2"/>
        <v>3313212</v>
      </c>
      <c r="K48" s="456">
        <f t="shared" si="2"/>
        <v>214962</v>
      </c>
      <c r="L48" s="405">
        <f>SUM(C48:K48)</f>
        <v>25046490</v>
      </c>
      <c r="M48" s="11"/>
    </row>
    <row r="49" spans="1:13" x14ac:dyDescent="0.25">
      <c r="A49" s="214">
        <v>523</v>
      </c>
      <c r="B49" s="309" t="s">
        <v>30</v>
      </c>
      <c r="C49" s="400"/>
      <c r="D49" s="219"/>
      <c r="E49" s="221"/>
      <c r="F49" s="219"/>
      <c r="G49" s="220"/>
      <c r="H49" s="217"/>
      <c r="I49" s="218"/>
      <c r="J49" s="219"/>
      <c r="K49" s="222"/>
      <c r="L49" s="223">
        <f t="shared" ref="L49:L59" si="3">SUM(C49:K49)</f>
        <v>0</v>
      </c>
      <c r="M49" s="11"/>
    </row>
    <row r="50" spans="1:13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x14ac:dyDescent="0.25">
      <c r="A51" s="214">
        <v>527.70000000000005</v>
      </c>
      <c r="B51" s="309" t="s">
        <v>32</v>
      </c>
      <c r="C51" s="400"/>
      <c r="D51" s="219"/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x14ac:dyDescent="0.25">
      <c r="A52" s="214">
        <v>551.20000000000005</v>
      </c>
      <c r="B52" s="309" t="s">
        <v>33</v>
      </c>
      <c r="C52" s="400"/>
      <c r="D52" s="219"/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x14ac:dyDescent="0.25">
      <c r="A53" s="214">
        <v>554</v>
      </c>
      <c r="B53" s="309" t="s">
        <v>61</v>
      </c>
      <c r="C53" s="400"/>
      <c r="D53" s="219"/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x14ac:dyDescent="0.25">
      <c r="A54" s="214">
        <v>555</v>
      </c>
      <c r="B54" s="309" t="s">
        <v>34</v>
      </c>
      <c r="C54" s="400"/>
      <c r="D54" s="219"/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x14ac:dyDescent="0.25">
      <c r="A55" s="214">
        <v>563</v>
      </c>
      <c r="B55" s="309" t="s">
        <v>35</v>
      </c>
      <c r="C55" s="400"/>
      <c r="D55" s="219"/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x14ac:dyDescent="0.25">
      <c r="A56" s="214">
        <v>564</v>
      </c>
      <c r="B56" s="309" t="s">
        <v>36</v>
      </c>
      <c r="C56" s="400"/>
      <c r="D56" s="219"/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x14ac:dyDescent="0.25">
      <c r="A57" s="214">
        <v>566</v>
      </c>
      <c r="B57" s="309" t="s">
        <v>37</v>
      </c>
      <c r="C57" s="400"/>
      <c r="D57" s="219">
        <f>621541+3965086</f>
        <v>4586627</v>
      </c>
      <c r="E57" s="221"/>
      <c r="F57" s="219"/>
      <c r="G57" s="220"/>
      <c r="H57" s="217"/>
      <c r="I57" s="218"/>
      <c r="J57" s="219">
        <v>142437</v>
      </c>
      <c r="K57" s="222">
        <v>23</v>
      </c>
      <c r="L57" s="223">
        <f t="shared" si="3"/>
        <v>4729087</v>
      </c>
      <c r="M57" s="11"/>
    </row>
    <row r="58" spans="1:13" x14ac:dyDescent="0.25">
      <c r="A58" s="214">
        <v>568</v>
      </c>
      <c r="B58" s="309" t="s">
        <v>38</v>
      </c>
      <c r="C58" s="400"/>
      <c r="D58" s="219"/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.75" thickBot="1" x14ac:dyDescent="0.3">
      <c r="A59" s="214">
        <v>500</v>
      </c>
      <c r="B59" s="309" t="s">
        <v>66</v>
      </c>
      <c r="C59" s="400"/>
      <c r="D59" s="219"/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.75" thickBot="1" x14ac:dyDescent="0.3">
      <c r="A60" s="334"/>
      <c r="B60" s="335" t="s">
        <v>41</v>
      </c>
      <c r="C60" s="408">
        <f>SUM(C48:C59)</f>
        <v>2215516</v>
      </c>
      <c r="D60" s="364">
        <f>SUM(D48:D59)</f>
        <v>8444973</v>
      </c>
      <c r="E60" s="366">
        <f t="shared" ref="E60:K60" si="4">SUM(E48:E59)</f>
        <v>1594853</v>
      </c>
      <c r="F60" s="364">
        <f>SUM(F48:F59)</f>
        <v>288025</v>
      </c>
      <c r="G60" s="365">
        <f t="shared" si="4"/>
        <v>2877318</v>
      </c>
      <c r="H60" s="362">
        <f t="shared" si="4"/>
        <v>6079579</v>
      </c>
      <c r="I60" s="363">
        <f t="shared" si="4"/>
        <v>4604679</v>
      </c>
      <c r="J60" s="364">
        <f t="shared" si="4"/>
        <v>3455649</v>
      </c>
      <c r="K60" s="456">
        <f t="shared" si="4"/>
        <v>214985</v>
      </c>
      <c r="L60" s="409">
        <f>SUM(C60:K60)</f>
        <v>29775577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2215516</v>
      </c>
      <c r="D66" s="422">
        <f>C60/L60</f>
        <v>7.440715590498885E-2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8444973</v>
      </c>
      <c r="D67" s="425">
        <f>D60/L60</f>
        <v>0.28362080103435106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10660489</v>
      </c>
      <c r="D68" s="428">
        <f>SUM(D66:D67)</f>
        <v>0.35802795693933992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1594853</v>
      </c>
      <c r="D70" s="507">
        <f>E60/$L60</f>
        <v>5.35624548938212E-2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288025</v>
      </c>
      <c r="D71" s="507">
        <f>F60/L60</f>
        <v>9.6731962574562371E-3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2877318</v>
      </c>
      <c r="D72" s="434">
        <f>G60/$L60</f>
        <v>9.6633492610403479E-2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6079579</v>
      </c>
      <c r="D73" s="437">
        <f>H60/$L60</f>
        <v>0.20418005669545883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10839775</v>
      </c>
      <c r="D74" s="428">
        <f>SUM(D70:D73)</f>
        <v>0.36404920045713973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4604679</v>
      </c>
      <c r="D76" s="422">
        <f>I60/L60</f>
        <v>0.15464617192808724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3455649</v>
      </c>
      <c r="D77" s="425">
        <f>J60/L60</f>
        <v>0.11605649153331268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8060328</v>
      </c>
      <c r="D78" s="428">
        <f>SUM(D76:D77)</f>
        <v>0.27070266346139993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38">
        <f>K60</f>
        <v>214985</v>
      </c>
      <c r="D80" s="428">
        <f>K60/L60</f>
        <v>7.2201791421204033E-3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29775577</v>
      </c>
      <c r="D81" s="448">
        <f>D74+D78+D68+D80</f>
        <v>0.99999999999999989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29" priority="5">
      <formula>ROW()=EVEN(ROW())</formula>
    </cfRule>
  </conditionalFormatting>
  <conditionalFormatting sqref="L49:L59">
    <cfRule type="expression" dxfId="28" priority="3">
      <formula>ROW()=EVEN(ROW())</formula>
    </cfRule>
  </conditionalFormatting>
  <conditionalFormatting sqref="L5:L10">
    <cfRule type="expression" dxfId="27" priority="4">
      <formula>ROW()=EVEN(ROW())</formula>
    </cfRule>
  </conditionalFormatting>
  <conditionalFormatting sqref="A6:K10">
    <cfRule type="expression" dxfId="26" priority="2">
      <formula>ROW()=EVEN(ROW())</formula>
    </cfRule>
  </conditionalFormatting>
  <printOptions horizontalCentered="1"/>
  <pageMargins left="0" right="0" top="0.98" bottom="0.6" header="0.3" footer="0.3"/>
  <pageSetup scale="65" firstPageNumber="62" fitToHeight="2" orientation="landscape" useFirstPageNumber="1" r:id="rId1"/>
  <headerFooter>
    <oddHeader>&amp;C&amp;"Arial,Bold"&amp;16Expenditures by Expenditure Code and Revenue Source
2017
SPOKANE</oddHeader>
  </headerFooter>
  <rowBreaks count="1" manualBreakCount="1">
    <brk id="48" max="16383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3"/>
  <sheetViews>
    <sheetView showZeros="0" view="pageLayout" topLeftCell="A50" zoomScaleNormal="100" workbookViewId="0">
      <selection activeCell="D65" sqref="D65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859400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255.8</v>
      </c>
      <c r="D2" s="134"/>
      <c r="G2" s="130"/>
      <c r="H2" s="128"/>
      <c r="I2" s="128"/>
      <c r="J2" s="526" t="s">
        <v>143</v>
      </c>
      <c r="K2" s="526"/>
      <c r="L2" s="506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f>18924+82563</f>
        <v>101487</v>
      </c>
      <c r="D5" s="95"/>
      <c r="E5" s="147"/>
      <c r="F5" s="95"/>
      <c r="G5" s="146">
        <v>141072</v>
      </c>
      <c r="H5" s="95"/>
      <c r="I5" s="147"/>
      <c r="J5" s="95">
        <v>161010</v>
      </c>
      <c r="K5" s="96">
        <v>177</v>
      </c>
      <c r="L5" s="97">
        <f>SUM(C5:K5)</f>
        <v>403746</v>
      </c>
      <c r="M5" s="11"/>
    </row>
    <row r="6" spans="1:13" ht="15.75" customHeight="1" x14ac:dyDescent="0.25">
      <c r="A6" s="90">
        <v>562.11</v>
      </c>
      <c r="B6" s="171" t="s">
        <v>145</v>
      </c>
      <c r="C6" s="481">
        <f>2023+8825</f>
        <v>10848</v>
      </c>
      <c r="D6" s="482"/>
      <c r="E6" s="483"/>
      <c r="F6" s="482"/>
      <c r="G6" s="484">
        <v>14823</v>
      </c>
      <c r="H6" s="482"/>
      <c r="I6" s="483"/>
      <c r="J6" s="482"/>
      <c r="K6" s="485"/>
      <c r="L6" s="97">
        <f t="shared" ref="L6:L10" si="0">SUM(C6:K6)</f>
        <v>25671</v>
      </c>
      <c r="M6" s="11"/>
    </row>
    <row r="7" spans="1:13" ht="15.75" customHeight="1" x14ac:dyDescent="0.25">
      <c r="A7" s="90">
        <v>562.12</v>
      </c>
      <c r="B7" s="171" t="s">
        <v>146</v>
      </c>
      <c r="C7" s="481">
        <f>12441+54280</f>
        <v>66721</v>
      </c>
      <c r="D7" s="482"/>
      <c r="E7" s="483"/>
      <c r="F7" s="482"/>
      <c r="G7" s="484">
        <v>82792</v>
      </c>
      <c r="H7" s="482"/>
      <c r="I7" s="483"/>
      <c r="J7" s="482"/>
      <c r="K7" s="485">
        <f>48+28283</f>
        <v>28331</v>
      </c>
      <c r="L7" s="97">
        <f t="shared" si="0"/>
        <v>177844</v>
      </c>
      <c r="M7" s="11"/>
    </row>
    <row r="8" spans="1:13" ht="15.75" customHeight="1" x14ac:dyDescent="0.25">
      <c r="A8" s="90">
        <v>562.13</v>
      </c>
      <c r="B8" s="171" t="s">
        <v>147</v>
      </c>
      <c r="C8" s="481">
        <f>28855+125890</f>
        <v>154745</v>
      </c>
      <c r="D8" s="482"/>
      <c r="E8" s="483"/>
      <c r="F8" s="482"/>
      <c r="G8" s="484">
        <v>220517</v>
      </c>
      <c r="H8" s="482"/>
      <c r="I8" s="483"/>
      <c r="J8" s="482">
        <v>-169715</v>
      </c>
      <c r="K8" s="485">
        <f>38+199707</f>
        <v>199745</v>
      </c>
      <c r="L8" s="97">
        <f t="shared" si="0"/>
        <v>405292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>
        <v>5996</v>
      </c>
      <c r="L9" s="97">
        <f t="shared" si="0"/>
        <v>5996</v>
      </c>
      <c r="M9" s="11"/>
    </row>
    <row r="10" spans="1:13" ht="15.75" customHeight="1" x14ac:dyDescent="0.25">
      <c r="A10" s="90">
        <v>562.15</v>
      </c>
      <c r="B10" s="171" t="s">
        <v>149</v>
      </c>
      <c r="C10" s="481">
        <f>5851+25529</f>
        <v>31380</v>
      </c>
      <c r="D10" s="482"/>
      <c r="E10" s="483"/>
      <c r="F10" s="482"/>
      <c r="G10" s="484">
        <v>50796</v>
      </c>
      <c r="H10" s="482"/>
      <c r="I10" s="483"/>
      <c r="J10" s="482"/>
      <c r="K10" s="485">
        <v>3132</v>
      </c>
      <c r="L10" s="97">
        <f t="shared" si="0"/>
        <v>85308</v>
      </c>
      <c r="M10" s="11"/>
    </row>
    <row r="11" spans="1:13" ht="15.75" customHeight="1" x14ac:dyDescent="0.25">
      <c r="A11" s="90">
        <v>562.22</v>
      </c>
      <c r="B11" s="171" t="s">
        <v>51</v>
      </c>
      <c r="C11" s="144">
        <v>491938</v>
      </c>
      <c r="D11" s="95">
        <v>40950</v>
      </c>
      <c r="E11" s="147">
        <v>19903</v>
      </c>
      <c r="F11" s="95"/>
      <c r="G11" s="146">
        <v>310083</v>
      </c>
      <c r="H11" s="95">
        <v>506187</v>
      </c>
      <c r="I11" s="147">
        <v>621517</v>
      </c>
      <c r="J11" s="95">
        <v>590718</v>
      </c>
      <c r="K11" s="96">
        <v>17855</v>
      </c>
      <c r="L11" s="97">
        <f t="shared" ref="L11:L47" si="1">SUM(C11:K11)</f>
        <v>2599151</v>
      </c>
      <c r="M11" s="11"/>
    </row>
    <row r="12" spans="1:13" ht="15.75" customHeight="1" x14ac:dyDescent="0.25">
      <c r="A12" s="90">
        <v>562.24</v>
      </c>
      <c r="B12" s="171" t="s">
        <v>10</v>
      </c>
      <c r="C12" s="144">
        <f>10187+44443</f>
        <v>54630</v>
      </c>
      <c r="D12" s="95"/>
      <c r="E12" s="147"/>
      <c r="F12" s="95"/>
      <c r="G12" s="146">
        <v>69042</v>
      </c>
      <c r="H12" s="95">
        <v>27750</v>
      </c>
      <c r="I12" s="486"/>
      <c r="J12" s="95">
        <v>27750</v>
      </c>
      <c r="K12" s="96">
        <f>53+10000</f>
        <v>10053</v>
      </c>
      <c r="L12" s="97">
        <f t="shared" si="1"/>
        <v>189225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/>
      <c r="F13" s="95"/>
      <c r="G13" s="146"/>
      <c r="H13" s="95"/>
      <c r="I13" s="147"/>
      <c r="J13" s="95"/>
      <c r="K13" s="96"/>
      <c r="L13" s="97">
        <f t="shared" si="1"/>
        <v>0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509"/>
      <c r="K15" s="96"/>
      <c r="L15" s="97">
        <f t="shared" si="1"/>
        <v>0</v>
      </c>
      <c r="M15" s="11"/>
    </row>
    <row r="16" spans="1:13" ht="15.75" customHeight="1" x14ac:dyDescent="0.25">
      <c r="A16" s="90">
        <v>562.28</v>
      </c>
      <c r="B16" s="171" t="s">
        <v>53</v>
      </c>
      <c r="C16" s="144"/>
      <c r="D16" s="95"/>
      <c r="E16" s="147"/>
      <c r="F16" s="95"/>
      <c r="G16" s="146"/>
      <c r="H16" s="95"/>
      <c r="I16" s="147"/>
      <c r="J16" s="95"/>
      <c r="K16" s="96"/>
      <c r="L16" s="97">
        <f t="shared" si="1"/>
        <v>0</v>
      </c>
      <c r="M16" s="11"/>
    </row>
    <row r="17" spans="1:13" ht="15.75" customHeight="1" x14ac:dyDescent="0.25">
      <c r="A17" s="90">
        <v>562.29</v>
      </c>
      <c r="B17" s="171" t="s">
        <v>45</v>
      </c>
      <c r="C17" s="144">
        <v>781738</v>
      </c>
      <c r="D17" s="95">
        <v>21000</v>
      </c>
      <c r="E17" s="147"/>
      <c r="F17" s="95"/>
      <c r="G17" s="146">
        <v>441092</v>
      </c>
      <c r="H17" s="95"/>
      <c r="I17" s="147"/>
      <c r="J17" s="95">
        <v>377009</v>
      </c>
      <c r="K17" s="96">
        <v>221148</v>
      </c>
      <c r="L17" s="97">
        <f t="shared" si="1"/>
        <v>1841987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>
        <f>24415+106517</f>
        <v>130932</v>
      </c>
      <c r="D18" s="95">
        <v>2805</v>
      </c>
      <c r="E18" s="147"/>
      <c r="F18" s="95"/>
      <c r="G18" s="146">
        <v>182002</v>
      </c>
      <c r="H18" s="95"/>
      <c r="I18" s="147">
        <v>30858</v>
      </c>
      <c r="J18" s="95">
        <v>35660</v>
      </c>
      <c r="K18" s="96">
        <v>6</v>
      </c>
      <c r="L18" s="97">
        <f t="shared" si="1"/>
        <v>382263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>
        <v>171646</v>
      </c>
      <c r="D19" s="95"/>
      <c r="E19" s="147"/>
      <c r="F19" s="95"/>
      <c r="G19" s="146">
        <v>107377</v>
      </c>
      <c r="H19" s="95"/>
      <c r="I19" s="147">
        <v>162448</v>
      </c>
      <c r="J19" s="95">
        <v>21363</v>
      </c>
      <c r="K19" s="96">
        <v>70</v>
      </c>
      <c r="L19" s="97">
        <f t="shared" si="1"/>
        <v>462904</v>
      </c>
      <c r="M19" s="11"/>
    </row>
    <row r="20" spans="1:13" ht="15.75" customHeight="1" x14ac:dyDescent="0.25">
      <c r="A20" s="90">
        <v>562.34</v>
      </c>
      <c r="B20" s="171" t="s">
        <v>12</v>
      </c>
      <c r="C20" s="144">
        <v>103966</v>
      </c>
      <c r="D20" s="95"/>
      <c r="E20" s="147">
        <v>49915</v>
      </c>
      <c r="F20" s="95"/>
      <c r="G20" s="146">
        <v>160371</v>
      </c>
      <c r="H20" s="95"/>
      <c r="I20" s="147">
        <v>61343</v>
      </c>
      <c r="J20" s="95">
        <f>162732+83871</f>
        <v>246603</v>
      </c>
      <c r="K20" s="96">
        <v>12</v>
      </c>
      <c r="L20" s="97">
        <f t="shared" si="1"/>
        <v>622210</v>
      </c>
      <c r="M20" s="11"/>
    </row>
    <row r="21" spans="1:13" ht="15.75" customHeight="1" x14ac:dyDescent="0.25">
      <c r="A21" s="90">
        <v>562.35</v>
      </c>
      <c r="B21" s="171" t="s">
        <v>13</v>
      </c>
      <c r="C21" s="144">
        <v>171121</v>
      </c>
      <c r="D21" s="95">
        <v>4866</v>
      </c>
      <c r="E21" s="147">
        <f>85962+130986</f>
        <v>216948</v>
      </c>
      <c r="F21" s="95"/>
      <c r="G21" s="146">
        <v>50667</v>
      </c>
      <c r="H21" s="95"/>
      <c r="I21" s="147">
        <v>159210</v>
      </c>
      <c r="J21" s="95">
        <v>1137</v>
      </c>
      <c r="K21" s="96">
        <v>9</v>
      </c>
      <c r="L21" s="97">
        <f t="shared" si="1"/>
        <v>603958</v>
      </c>
      <c r="M21" s="11"/>
    </row>
    <row r="22" spans="1:13" ht="15.75" customHeight="1" x14ac:dyDescent="0.25">
      <c r="A22" s="90">
        <v>562.39</v>
      </c>
      <c r="B22" s="171" t="s">
        <v>14</v>
      </c>
      <c r="C22" s="144">
        <f>76369+333179</f>
        <v>409548</v>
      </c>
      <c r="D22" s="95">
        <v>820</v>
      </c>
      <c r="E22" s="147"/>
      <c r="F22" s="95">
        <v>160509</v>
      </c>
      <c r="G22" s="146">
        <v>521200</v>
      </c>
      <c r="H22" s="95"/>
      <c r="I22" s="147"/>
      <c r="J22" s="95">
        <v>261679</v>
      </c>
      <c r="K22" s="96">
        <f>602+7823</f>
        <v>8425</v>
      </c>
      <c r="L22" s="97">
        <f t="shared" si="1"/>
        <v>1362181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>
        <f>42212+184158</f>
        <v>226370</v>
      </c>
      <c r="D24" s="95"/>
      <c r="E24" s="147"/>
      <c r="F24" s="95"/>
      <c r="G24" s="146">
        <v>282064</v>
      </c>
      <c r="H24" s="95"/>
      <c r="I24" s="147"/>
      <c r="J24" s="95"/>
      <c r="K24" s="96">
        <v>39</v>
      </c>
      <c r="L24" s="97">
        <f t="shared" si="1"/>
        <v>508473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>
        <f>48003+209426</f>
        <v>257429</v>
      </c>
      <c r="D26" s="95"/>
      <c r="E26" s="147">
        <v>77704</v>
      </c>
      <c r="F26" s="95"/>
      <c r="G26" s="146">
        <v>349150</v>
      </c>
      <c r="H26" s="95"/>
      <c r="I26" s="147">
        <f>27708+2986</f>
        <v>30694</v>
      </c>
      <c r="J26" s="95"/>
      <c r="K26" s="96">
        <v>112</v>
      </c>
      <c r="L26" s="97">
        <f t="shared" si="1"/>
        <v>715089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.75" customHeight="1" x14ac:dyDescent="0.25">
      <c r="A28" s="90">
        <v>562.49</v>
      </c>
      <c r="B28" s="171" t="s">
        <v>46</v>
      </c>
      <c r="C28" s="144">
        <v>304922</v>
      </c>
      <c r="D28" s="95"/>
      <c r="E28" s="147"/>
      <c r="F28" s="95"/>
      <c r="G28" s="146">
        <v>137013</v>
      </c>
      <c r="H28" s="95"/>
      <c r="I28" s="147"/>
      <c r="J28" s="95">
        <v>56555</v>
      </c>
      <c r="K28" s="96">
        <f>76+10728</f>
        <v>10804</v>
      </c>
      <c r="L28" s="97">
        <f t="shared" si="1"/>
        <v>509294</v>
      </c>
      <c r="M28" s="11"/>
    </row>
    <row r="29" spans="1:13" ht="15.75" customHeight="1" x14ac:dyDescent="0.25">
      <c r="A29" s="90">
        <v>562.52</v>
      </c>
      <c r="B29" s="171" t="s">
        <v>17</v>
      </c>
      <c r="C29" s="144">
        <v>178841</v>
      </c>
      <c r="D29" s="95">
        <v>373087</v>
      </c>
      <c r="E29" s="147"/>
      <c r="F29" s="95"/>
      <c r="G29" s="146">
        <v>278531</v>
      </c>
      <c r="H29" s="95"/>
      <c r="I29" s="147"/>
      <c r="J29" s="95">
        <v>142835</v>
      </c>
      <c r="K29" s="96">
        <v>196</v>
      </c>
      <c r="L29" s="97">
        <f t="shared" si="1"/>
        <v>973490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100321</v>
      </c>
      <c r="D30" s="95">
        <v>895076</v>
      </c>
      <c r="E30" s="147"/>
      <c r="F30" s="95"/>
      <c r="G30" s="146"/>
      <c r="H30" s="95">
        <v>998630</v>
      </c>
      <c r="I30" s="147"/>
      <c r="J30" s="95">
        <v>60214</v>
      </c>
      <c r="K30" s="96">
        <v>122239</v>
      </c>
      <c r="L30" s="97">
        <f t="shared" si="1"/>
        <v>2176480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3447929</v>
      </c>
      <c r="E31" s="147">
        <v>92990</v>
      </c>
      <c r="F31" s="95"/>
      <c r="G31" s="146"/>
      <c r="H31" s="95"/>
      <c r="I31" s="147">
        <v>79950</v>
      </c>
      <c r="J31" s="95"/>
      <c r="K31" s="96">
        <f>52410+10650</f>
        <v>63060</v>
      </c>
      <c r="L31" s="97">
        <f t="shared" si="1"/>
        <v>3683929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/>
      <c r="H32" s="95"/>
      <c r="I32" s="147"/>
      <c r="J32" s="95"/>
      <c r="K32" s="96"/>
      <c r="L32" s="97">
        <f t="shared" si="1"/>
        <v>0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/>
      <c r="D33" s="95">
        <v>3637474</v>
      </c>
      <c r="E33" s="147"/>
      <c r="F33" s="95"/>
      <c r="G33" s="146"/>
      <c r="H33" s="95"/>
      <c r="I33" s="147"/>
      <c r="J33" s="95">
        <v>50174</v>
      </c>
      <c r="K33" s="96">
        <f>186+131823</f>
        <v>132009</v>
      </c>
      <c r="L33" s="97">
        <f t="shared" si="1"/>
        <v>3819657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>
        <f>230984+113831</f>
        <v>344815</v>
      </c>
      <c r="E35" s="147"/>
      <c r="F35" s="95"/>
      <c r="G35" s="146"/>
      <c r="H35" s="95"/>
      <c r="I35" s="147"/>
      <c r="J35" s="95"/>
      <c r="K35" s="96">
        <f>55+38018</f>
        <v>38073</v>
      </c>
      <c r="L35" s="97">
        <f t="shared" si="1"/>
        <v>382888</v>
      </c>
      <c r="M35" s="11"/>
    </row>
    <row r="36" spans="1:13" ht="15.75" customHeight="1" x14ac:dyDescent="0.25">
      <c r="A36" s="90">
        <v>562.59</v>
      </c>
      <c r="B36" s="171" t="s">
        <v>48</v>
      </c>
      <c r="C36" s="144">
        <f>26392+115139</f>
        <v>141531</v>
      </c>
      <c r="D36" s="95"/>
      <c r="E36" s="147"/>
      <c r="F36" s="95"/>
      <c r="G36" s="146">
        <v>207432</v>
      </c>
      <c r="H36" s="95"/>
      <c r="I36" s="147"/>
      <c r="J36" s="95"/>
      <c r="K36" s="96">
        <v>44</v>
      </c>
      <c r="L36" s="97">
        <f t="shared" si="1"/>
        <v>349007</v>
      </c>
      <c r="M36" s="11"/>
    </row>
    <row r="37" spans="1:13" ht="15.75" customHeight="1" x14ac:dyDescent="0.25">
      <c r="A37" s="90">
        <v>562.6</v>
      </c>
      <c r="B37" s="171" t="s">
        <v>20</v>
      </c>
      <c r="C37" s="144">
        <v>211244</v>
      </c>
      <c r="D37" s="95">
        <v>237728</v>
      </c>
      <c r="E37" s="147">
        <v>14357</v>
      </c>
      <c r="F37" s="95"/>
      <c r="G37" s="146">
        <v>14337</v>
      </c>
      <c r="H37" s="95"/>
      <c r="I37" s="147">
        <f>68318+30000</f>
        <v>98318</v>
      </c>
      <c r="J37" s="95">
        <v>127211</v>
      </c>
      <c r="K37" s="96">
        <f>522+7917+1</f>
        <v>8440</v>
      </c>
      <c r="L37" s="97">
        <f t="shared" si="1"/>
        <v>711635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603542</v>
      </c>
      <c r="E38" s="147"/>
      <c r="F38" s="95"/>
      <c r="G38" s="146"/>
      <c r="H38" s="95"/>
      <c r="I38" s="147"/>
      <c r="J38" s="95"/>
      <c r="K38" s="96">
        <v>81242</v>
      </c>
      <c r="L38" s="97">
        <f t="shared" si="1"/>
        <v>684784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/>
      <c r="E39" s="147"/>
      <c r="F39" s="95"/>
      <c r="G39" s="146"/>
      <c r="H39" s="95"/>
      <c r="I39" s="147"/>
      <c r="J39" s="95"/>
      <c r="K39" s="96"/>
      <c r="L39" s="97">
        <f t="shared" si="1"/>
        <v>0</v>
      </c>
      <c r="M39" s="11"/>
    </row>
    <row r="40" spans="1:13" ht="15.75" customHeight="1" x14ac:dyDescent="0.25">
      <c r="A40" s="90">
        <v>562.73</v>
      </c>
      <c r="B40" s="171" t="s">
        <v>23</v>
      </c>
      <c r="C40" s="144">
        <f>463+523</f>
        <v>986</v>
      </c>
      <c r="D40" s="95"/>
      <c r="E40" s="147">
        <v>353554</v>
      </c>
      <c r="F40" s="95"/>
      <c r="G40" s="146">
        <v>19631</v>
      </c>
      <c r="H40" s="95"/>
      <c r="I40" s="147">
        <v>494223</v>
      </c>
      <c r="J40" s="95">
        <v>7304</v>
      </c>
      <c r="K40" s="96"/>
      <c r="L40" s="97">
        <f t="shared" si="1"/>
        <v>875698</v>
      </c>
      <c r="M40" s="11"/>
    </row>
    <row r="41" spans="1:13" ht="15.75" customHeight="1" x14ac:dyDescent="0.25">
      <c r="A41" s="90">
        <v>562.74</v>
      </c>
      <c r="B41" s="171" t="s">
        <v>49</v>
      </c>
      <c r="C41" s="144">
        <v>143243</v>
      </c>
      <c r="D41" s="95"/>
      <c r="E41" s="147"/>
      <c r="F41" s="95"/>
      <c r="G41" s="146">
        <v>106459</v>
      </c>
      <c r="H41" s="95"/>
      <c r="I41" s="147"/>
      <c r="J41" s="95"/>
      <c r="K41" s="96">
        <v>744</v>
      </c>
      <c r="L41" s="97">
        <f t="shared" si="1"/>
        <v>250446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/>
      <c r="H43" s="95"/>
      <c r="I43" s="147"/>
      <c r="J43" s="95"/>
      <c r="K43" s="96"/>
      <c r="L43" s="97">
        <f t="shared" si="1"/>
        <v>0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>
        <v>117916</v>
      </c>
      <c r="D44" s="95">
        <v>25279</v>
      </c>
      <c r="E44" s="147"/>
      <c r="F44" s="95"/>
      <c r="G44" s="146">
        <v>179806</v>
      </c>
      <c r="H44" s="95"/>
      <c r="I44" s="147">
        <v>346154</v>
      </c>
      <c r="J44" s="95"/>
      <c r="K44" s="96">
        <v>89427</v>
      </c>
      <c r="L44" s="97">
        <f t="shared" si="1"/>
        <v>758582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>
        <v>8814</v>
      </c>
      <c r="H45" s="95"/>
      <c r="I45" s="147">
        <v>900617</v>
      </c>
      <c r="J45" s="95"/>
      <c r="K45" s="96">
        <v>9618</v>
      </c>
      <c r="L45" s="97">
        <f t="shared" si="1"/>
        <v>919049</v>
      </c>
      <c r="M45" s="11"/>
    </row>
    <row r="46" spans="1:13" ht="15.75" customHeight="1" x14ac:dyDescent="0.25">
      <c r="A46" s="90">
        <v>562.9</v>
      </c>
      <c r="B46" s="171" t="s">
        <v>27</v>
      </c>
      <c r="C46" s="144">
        <f>6155+55108</f>
        <v>61263</v>
      </c>
      <c r="D46" s="95"/>
      <c r="E46" s="147"/>
      <c r="F46" s="95"/>
      <c r="G46" s="146">
        <v>77185</v>
      </c>
      <c r="H46" s="95"/>
      <c r="I46" s="147"/>
      <c r="J46" s="95"/>
      <c r="K46" s="96">
        <v>12</v>
      </c>
      <c r="L46" s="97">
        <f t="shared" si="1"/>
        <v>138460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4424766</v>
      </c>
      <c r="D48" s="112">
        <f t="shared" si="2"/>
        <v>9635371</v>
      </c>
      <c r="E48" s="158">
        <f t="shared" si="2"/>
        <v>825371</v>
      </c>
      <c r="F48" s="112">
        <f t="shared" si="2"/>
        <v>160509</v>
      </c>
      <c r="G48" s="157">
        <f t="shared" si="2"/>
        <v>4012256</v>
      </c>
      <c r="H48" s="112">
        <f t="shared" si="2"/>
        <v>1532567</v>
      </c>
      <c r="I48" s="158">
        <f t="shared" si="2"/>
        <v>2985332</v>
      </c>
      <c r="J48" s="112">
        <f t="shared" si="2"/>
        <v>1997507</v>
      </c>
      <c r="K48" s="113">
        <f t="shared" si="2"/>
        <v>1051018</v>
      </c>
      <c r="L48" s="160">
        <f>SUM(C48:K48)</f>
        <v>26624697</v>
      </c>
      <c r="M48" s="11"/>
    </row>
    <row r="49" spans="1:13" ht="15.75" customHeight="1" x14ac:dyDescent="0.25">
      <c r="A49" s="90">
        <v>523</v>
      </c>
      <c r="B49" s="488" t="s">
        <v>30</v>
      </c>
      <c r="C49" s="489"/>
      <c r="D49" s="95">
        <v>0</v>
      </c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/>
      <c r="D51" s="95"/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/>
      <c r="D52" s="95"/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/>
      <c r="D53" s="95"/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/>
      <c r="D54" s="95"/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/>
      <c r="D55" s="95"/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/>
      <c r="D56" s="95"/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/>
      <c r="D57" s="95">
        <v>4764288</v>
      </c>
      <c r="E57" s="147"/>
      <c r="F57" s="95"/>
      <c r="G57" s="146"/>
      <c r="H57" s="94"/>
      <c r="I57" s="145"/>
      <c r="J57" s="95"/>
      <c r="K57" s="96">
        <f>2665+361514</f>
        <v>364179</v>
      </c>
      <c r="L57" s="97">
        <f t="shared" si="3"/>
        <v>5128467</v>
      </c>
      <c r="M57" s="11"/>
    </row>
    <row r="58" spans="1:13" ht="15.75" customHeight="1" x14ac:dyDescent="0.25">
      <c r="A58" s="90">
        <v>568</v>
      </c>
      <c r="B58" s="488" t="s">
        <v>38</v>
      </c>
      <c r="C58" s="489"/>
      <c r="D58" s="95"/>
      <c r="E58" s="147"/>
      <c r="F58" s="95"/>
      <c r="G58" s="146"/>
      <c r="H58" s="94"/>
      <c r="I58" s="145"/>
      <c r="J58" s="95"/>
      <c r="K58" s="96"/>
      <c r="L58" s="97">
        <f t="shared" si="3"/>
        <v>0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>
        <v>94178</v>
      </c>
      <c r="D59" s="95"/>
      <c r="E59" s="147"/>
      <c r="F59" s="95"/>
      <c r="G59" s="146">
        <v>130912</v>
      </c>
      <c r="H59" s="94"/>
      <c r="I59" s="145"/>
      <c r="J59" s="95"/>
      <c r="K59" s="96">
        <v>162065</v>
      </c>
      <c r="L59" s="97">
        <f t="shared" si="3"/>
        <v>387155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4518944</v>
      </c>
      <c r="D60" s="112">
        <f>SUM(D48:D59)</f>
        <v>14399659</v>
      </c>
      <c r="E60" s="158">
        <f t="shared" ref="E60:K60" si="4">SUM(E48:E59)</f>
        <v>825371</v>
      </c>
      <c r="F60" s="112">
        <f>SUM(F48:F59)</f>
        <v>160509</v>
      </c>
      <c r="G60" s="157">
        <f t="shared" si="4"/>
        <v>4143168</v>
      </c>
      <c r="H60" s="111">
        <f t="shared" si="4"/>
        <v>1532567</v>
      </c>
      <c r="I60" s="156">
        <f t="shared" si="4"/>
        <v>2985332</v>
      </c>
      <c r="J60" s="112">
        <f t="shared" si="4"/>
        <v>1997507</v>
      </c>
      <c r="K60" s="113">
        <f t="shared" si="4"/>
        <v>1577262</v>
      </c>
      <c r="L60" s="492">
        <f>SUM(C60:K60)</f>
        <v>32140319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4518944</v>
      </c>
      <c r="D66" s="188">
        <f>C60/L60</f>
        <v>0.14060047132699585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14399659</v>
      </c>
      <c r="D67" s="191">
        <f>D60/L60</f>
        <v>0.44802476913810346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18918603</v>
      </c>
      <c r="D68" s="194">
        <f>SUM(D66:D67)</f>
        <v>0.58862524046509934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825371</v>
      </c>
      <c r="D70" s="200">
        <f>E60/$L60</f>
        <v>2.5680236714514252E-2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160509</v>
      </c>
      <c r="D71" s="200">
        <f>F60/L60</f>
        <v>4.9940076823755232E-3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4143168</v>
      </c>
      <c r="D72" s="200">
        <f>G60/$L60</f>
        <v>0.12890873920697551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1532567</v>
      </c>
      <c r="D73" s="203">
        <f>H60/$L60</f>
        <v>4.7683627533379493E-2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6661615</v>
      </c>
      <c r="D74" s="194">
        <f>SUM(D70:D73)</f>
        <v>0.20726661113724479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2985332</v>
      </c>
      <c r="D76" s="188">
        <f>I60/L60</f>
        <v>9.2884330115080682E-2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1997507</v>
      </c>
      <c r="D77" s="191">
        <f>J60/L60</f>
        <v>6.2149569828476192E-2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4982839</v>
      </c>
      <c r="D78" s="194">
        <f>SUM(D76:D77)</f>
        <v>0.15503389994355687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1577262</v>
      </c>
      <c r="D80" s="194">
        <f>K60/L60</f>
        <v>4.9074248454099037E-2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32140319</v>
      </c>
      <c r="D81" s="212">
        <f>D74+D78+D68+D80</f>
        <v>1</v>
      </c>
      <c r="E81" s="176"/>
      <c r="F81" s="176"/>
      <c r="G81" s="176"/>
      <c r="I81" s="129"/>
      <c r="J81" s="129"/>
      <c r="K81" s="176"/>
      <c r="M81" s="11"/>
    </row>
    <row r="82" spans="2:13" x14ac:dyDescent="0.25">
      <c r="C82" s="129"/>
      <c r="D82" s="129"/>
      <c r="E82" s="176"/>
      <c r="F82" s="176"/>
      <c r="G82" s="176"/>
      <c r="I82" s="129"/>
      <c r="J82" s="129"/>
      <c r="K82" s="176"/>
      <c r="M82" s="11"/>
    </row>
    <row r="83" spans="2:13" x14ac:dyDescent="0.25">
      <c r="C83" s="129"/>
      <c r="D83" s="129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25" priority="5">
      <formula>ROW()=EVEN(ROW())</formula>
    </cfRule>
  </conditionalFormatting>
  <conditionalFormatting sqref="L49:L59">
    <cfRule type="expression" dxfId="24" priority="3">
      <formula>ROW()=EVEN(ROW())</formula>
    </cfRule>
  </conditionalFormatting>
  <conditionalFormatting sqref="L5:L10">
    <cfRule type="expression" dxfId="23" priority="4">
      <formula>ROW()=EVEN(ROW())</formula>
    </cfRule>
  </conditionalFormatting>
  <conditionalFormatting sqref="A6:K10">
    <cfRule type="expression" dxfId="22" priority="2">
      <formula>ROW()=EVEN(ROW())</formula>
    </cfRule>
  </conditionalFormatting>
  <printOptions horizontalCentered="1"/>
  <pageMargins left="0" right="0" top="0.98" bottom="0.6" header="0.3" footer="0.3"/>
  <pageSetup scale="65" firstPageNumber="64" fitToHeight="2" orientation="landscape" useFirstPageNumber="1" r:id="rId1"/>
  <headerFooter>
    <oddHeader>&amp;C&amp;"Arial,Bold"&amp;16Expenditures by Expenditure Code and Revenue Source
2017
TACOMA-PIERCE</oddHeader>
  </headerFooter>
  <rowBreaks count="1" manualBreakCount="1">
    <brk id="48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zoomScaleNormal="100" workbookViewId="0">
      <selection activeCell="F1" sqref="F1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276900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511">
        <v>67.22</v>
      </c>
      <c r="D2" s="134"/>
      <c r="G2" s="130"/>
      <c r="H2" s="128"/>
      <c r="I2" s="128"/>
      <c r="J2" s="526" t="s">
        <v>143</v>
      </c>
      <c r="K2" s="526"/>
      <c r="L2" s="508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v>1078315</v>
      </c>
      <c r="D5" s="95">
        <v>1087860</v>
      </c>
      <c r="E5" s="147">
        <v>4664</v>
      </c>
      <c r="F5" s="95">
        <v>13265</v>
      </c>
      <c r="G5" s="146">
        <v>331576</v>
      </c>
      <c r="H5" s="95">
        <v>92778</v>
      </c>
      <c r="I5" s="147">
        <v>160322</v>
      </c>
      <c r="J5" s="95">
        <v>423</v>
      </c>
      <c r="K5" s="96">
        <v>2600</v>
      </c>
      <c r="L5" s="97">
        <f>SUM(C5:K5)</f>
        <v>2771803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/>
      <c r="G6" s="484"/>
      <c r="H6" s="482"/>
      <c r="I6" s="483"/>
      <c r="J6" s="482"/>
      <c r="K6" s="485"/>
      <c r="L6" s="97">
        <f t="shared" ref="L6:L10" si="0">SUM(C6:K6)</f>
        <v>0</v>
      </c>
      <c r="M6" s="11"/>
    </row>
    <row r="7" spans="1:13" ht="15.75" customHeight="1" x14ac:dyDescent="0.25">
      <c r="A7" s="90">
        <v>562.12</v>
      </c>
      <c r="B7" s="171" t="s">
        <v>146</v>
      </c>
      <c r="C7" s="481"/>
      <c r="D7" s="482"/>
      <c r="E7" s="483"/>
      <c r="F7" s="482"/>
      <c r="G7" s="484"/>
      <c r="H7" s="482"/>
      <c r="I7" s="483"/>
      <c r="J7" s="482"/>
      <c r="K7" s="485"/>
      <c r="L7" s="97">
        <f t="shared" si="0"/>
        <v>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>
        <v>463281</v>
      </c>
      <c r="D11" s="95">
        <v>94060</v>
      </c>
      <c r="E11" s="147">
        <v>8389</v>
      </c>
      <c r="F11" s="95"/>
      <c r="G11" s="146"/>
      <c r="H11" s="95">
        <v>249063</v>
      </c>
      <c r="I11" s="147">
        <v>115550</v>
      </c>
      <c r="J11" s="95">
        <v>52295</v>
      </c>
      <c r="K11" s="96">
        <v>2000</v>
      </c>
      <c r="L11" s="97">
        <f t="shared" ref="L11:L47" si="1">SUM(C11:K11)</f>
        <v>984638</v>
      </c>
      <c r="M11" s="11"/>
    </row>
    <row r="12" spans="1:13" ht="15.7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/>
      <c r="I12" s="486"/>
      <c r="J12" s="95"/>
      <c r="K12" s="96"/>
      <c r="L12" s="97">
        <f t="shared" si="1"/>
        <v>0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/>
      <c r="F13" s="95"/>
      <c r="G13" s="146"/>
      <c r="H13" s="95"/>
      <c r="I13" s="147"/>
      <c r="J13" s="95"/>
      <c r="K13" s="96"/>
      <c r="L13" s="97">
        <f t="shared" si="1"/>
        <v>0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95"/>
      <c r="K15" s="96"/>
      <c r="L15" s="97">
        <f t="shared" si="1"/>
        <v>0</v>
      </c>
      <c r="M15" s="11"/>
    </row>
    <row r="16" spans="1:13" ht="15.75" customHeight="1" x14ac:dyDescent="0.25">
      <c r="A16" s="90">
        <v>562.28</v>
      </c>
      <c r="B16" s="171" t="s">
        <v>53</v>
      </c>
      <c r="C16" s="144"/>
      <c r="D16" s="95"/>
      <c r="E16" s="147"/>
      <c r="F16" s="95"/>
      <c r="G16" s="146"/>
      <c r="H16" s="95"/>
      <c r="I16" s="147"/>
      <c r="J16" s="95"/>
      <c r="K16" s="96"/>
      <c r="L16" s="97">
        <f t="shared" si="1"/>
        <v>0</v>
      </c>
      <c r="M16" s="11"/>
    </row>
    <row r="17" spans="1:13" ht="15.75" customHeight="1" x14ac:dyDescent="0.25">
      <c r="A17" s="90">
        <v>562.29</v>
      </c>
      <c r="B17" s="171" t="s">
        <v>45</v>
      </c>
      <c r="C17" s="144"/>
      <c r="D17" s="95"/>
      <c r="E17" s="147"/>
      <c r="F17" s="95"/>
      <c r="G17" s="146"/>
      <c r="H17" s="95"/>
      <c r="I17" s="147"/>
      <c r="J17" s="95"/>
      <c r="K17" s="96"/>
      <c r="L17" s="97">
        <f t="shared" si="1"/>
        <v>0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/>
      <c r="D18" s="95"/>
      <c r="E18" s="147"/>
      <c r="F18" s="95"/>
      <c r="G18" s="146">
        <v>18104</v>
      </c>
      <c r="H18" s="95"/>
      <c r="I18" s="147">
        <v>26095</v>
      </c>
      <c r="J18" s="95"/>
      <c r="K18" s="96"/>
      <c r="L18" s="97">
        <f t="shared" si="1"/>
        <v>44199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/>
      <c r="D19" s="95"/>
      <c r="E19" s="147"/>
      <c r="F19" s="95"/>
      <c r="G19" s="146">
        <v>58307</v>
      </c>
      <c r="H19" s="95"/>
      <c r="I19" s="147"/>
      <c r="J19" s="95"/>
      <c r="K19" s="96"/>
      <c r="L19" s="97">
        <f t="shared" si="1"/>
        <v>58307</v>
      </c>
      <c r="M19" s="11"/>
    </row>
    <row r="20" spans="1:13" ht="15.75" customHeight="1" x14ac:dyDescent="0.25">
      <c r="A20" s="90">
        <v>562.34</v>
      </c>
      <c r="B20" s="171" t="s">
        <v>12</v>
      </c>
      <c r="C20" s="144"/>
      <c r="D20" s="95"/>
      <c r="E20" s="147"/>
      <c r="F20" s="95"/>
      <c r="G20" s="146">
        <v>284758</v>
      </c>
      <c r="H20" s="95"/>
      <c r="I20" s="147">
        <v>20129</v>
      </c>
      <c r="J20" s="95">
        <v>27168</v>
      </c>
      <c r="K20" s="96"/>
      <c r="L20" s="97">
        <f t="shared" si="1"/>
        <v>332055</v>
      </c>
      <c r="M20" s="11"/>
    </row>
    <row r="21" spans="1:13" ht="15.75" customHeight="1" x14ac:dyDescent="0.25">
      <c r="A21" s="90">
        <v>562.35</v>
      </c>
      <c r="B21" s="171" t="s">
        <v>13</v>
      </c>
      <c r="C21" s="144">
        <v>80791</v>
      </c>
      <c r="D21" s="95"/>
      <c r="E21" s="147">
        <v>47500</v>
      </c>
      <c r="F21" s="95"/>
      <c r="G21" s="146"/>
      <c r="H21" s="95"/>
      <c r="I21" s="147"/>
      <c r="J21" s="95"/>
      <c r="K21" s="96"/>
      <c r="L21" s="97">
        <f t="shared" si="1"/>
        <v>128291</v>
      </c>
      <c r="M21" s="11"/>
    </row>
    <row r="22" spans="1:13" ht="15.75" customHeight="1" x14ac:dyDescent="0.25">
      <c r="A22" s="90">
        <v>562.39</v>
      </c>
      <c r="B22" s="171" t="s">
        <v>14</v>
      </c>
      <c r="C22" s="144"/>
      <c r="D22" s="95"/>
      <c r="E22" s="147"/>
      <c r="F22" s="95"/>
      <c r="G22" s="146"/>
      <c r="H22" s="95"/>
      <c r="I22" s="147"/>
      <c r="J22" s="95"/>
      <c r="K22" s="96"/>
      <c r="L22" s="97">
        <f t="shared" si="1"/>
        <v>0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/>
      <c r="H24" s="95"/>
      <c r="I24" s="147"/>
      <c r="J24" s="95"/>
      <c r="K24" s="96"/>
      <c r="L24" s="97">
        <f t="shared" si="1"/>
        <v>0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/>
      <c r="D26" s="95"/>
      <c r="E26" s="147"/>
      <c r="F26" s="95"/>
      <c r="G26" s="146"/>
      <c r="H26" s="95"/>
      <c r="I26" s="147"/>
      <c r="J26" s="95"/>
      <c r="K26" s="96"/>
      <c r="L26" s="97">
        <f t="shared" si="1"/>
        <v>0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.75" customHeight="1" x14ac:dyDescent="0.25">
      <c r="A28" s="90">
        <v>562.49</v>
      </c>
      <c r="B28" s="171" t="s">
        <v>46</v>
      </c>
      <c r="C28" s="144"/>
      <c r="D28" s="95">
        <v>36684</v>
      </c>
      <c r="E28" s="147">
        <v>209</v>
      </c>
      <c r="F28" s="95"/>
      <c r="G28" s="146">
        <v>149345</v>
      </c>
      <c r="H28" s="95"/>
      <c r="I28" s="147">
        <v>13885</v>
      </c>
      <c r="J28" s="95">
        <v>827</v>
      </c>
      <c r="K28" s="96">
        <v>7400</v>
      </c>
      <c r="L28" s="97">
        <f t="shared" si="1"/>
        <v>208350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>
        <v>96710</v>
      </c>
      <c r="E29" s="147">
        <v>20000</v>
      </c>
      <c r="F29" s="95"/>
      <c r="G29" s="146"/>
      <c r="H29" s="95">
        <v>25125</v>
      </c>
      <c r="I29" s="147">
        <v>19570</v>
      </c>
      <c r="J29" s="95"/>
      <c r="K29" s="96"/>
      <c r="L29" s="97">
        <f t="shared" si="1"/>
        <v>161405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0</v>
      </c>
      <c r="D30" s="95">
        <v>216527</v>
      </c>
      <c r="E30" s="147"/>
      <c r="F30" s="95"/>
      <c r="G30" s="146"/>
      <c r="H30" s="95"/>
      <c r="I30" s="147"/>
      <c r="J30" s="95"/>
      <c r="K30" s="96"/>
      <c r="L30" s="97">
        <f t="shared" si="1"/>
        <v>216527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1116811</v>
      </c>
      <c r="E31" s="147"/>
      <c r="F31" s="95"/>
      <c r="G31" s="146"/>
      <c r="H31" s="95"/>
      <c r="I31" s="147"/>
      <c r="J31" s="95"/>
      <c r="K31" s="96"/>
      <c r="L31" s="97">
        <f t="shared" si="1"/>
        <v>1116811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>
        <v>10221</v>
      </c>
      <c r="D32" s="95"/>
      <c r="E32" s="147"/>
      <c r="F32" s="95"/>
      <c r="G32" s="146"/>
      <c r="H32" s="95"/>
      <c r="I32" s="147"/>
      <c r="J32" s="95"/>
      <c r="K32" s="96"/>
      <c r="L32" s="97">
        <f t="shared" si="1"/>
        <v>10221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/>
      <c r="D33" s="95">
        <v>697887</v>
      </c>
      <c r="E33" s="147"/>
      <c r="F33" s="95"/>
      <c r="G33" s="146"/>
      <c r="H33" s="95"/>
      <c r="I33" s="147"/>
      <c r="J33" s="95"/>
      <c r="K33" s="96"/>
      <c r="L33" s="97">
        <f t="shared" si="1"/>
        <v>697887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>
        <v>412592</v>
      </c>
      <c r="E34" s="147"/>
      <c r="F34" s="95"/>
      <c r="G34" s="146"/>
      <c r="H34" s="95">
        <v>50647</v>
      </c>
      <c r="I34" s="147"/>
      <c r="J34" s="95"/>
      <c r="K34" s="96"/>
      <c r="L34" s="97">
        <f t="shared" si="1"/>
        <v>463239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>
        <v>143257</v>
      </c>
      <c r="E35" s="147"/>
      <c r="F35" s="95"/>
      <c r="G35" s="146"/>
      <c r="H35" s="95"/>
      <c r="I35" s="147"/>
      <c r="J35" s="95"/>
      <c r="K35" s="96"/>
      <c r="L35" s="97">
        <f t="shared" si="1"/>
        <v>143257</v>
      </c>
      <c r="M35" s="11"/>
    </row>
    <row r="36" spans="1:13" ht="15.75" customHeight="1" x14ac:dyDescent="0.25">
      <c r="A36" s="90">
        <v>562.59</v>
      </c>
      <c r="B36" s="171" t="s">
        <v>48</v>
      </c>
      <c r="C36" s="144"/>
      <c r="D36" s="95">
        <v>1649</v>
      </c>
      <c r="E36" s="147"/>
      <c r="F36" s="95"/>
      <c r="G36" s="146"/>
      <c r="H36" s="95"/>
      <c r="I36" s="147"/>
      <c r="J36" s="95"/>
      <c r="K36" s="96"/>
      <c r="L36" s="97">
        <f t="shared" si="1"/>
        <v>1649</v>
      </c>
      <c r="M36" s="11"/>
    </row>
    <row r="37" spans="1:13" ht="15.75" customHeight="1" x14ac:dyDescent="0.25">
      <c r="A37" s="90">
        <v>562.6</v>
      </c>
      <c r="B37" s="171" t="s">
        <v>20</v>
      </c>
      <c r="C37" s="144">
        <v>421940</v>
      </c>
      <c r="D37" s="95">
        <v>186395</v>
      </c>
      <c r="E37" s="147">
        <v>9873</v>
      </c>
      <c r="F37" s="95"/>
      <c r="G37" s="146"/>
      <c r="H37" s="95"/>
      <c r="I37" s="147">
        <v>142394</v>
      </c>
      <c r="J37" s="95"/>
      <c r="K37" s="96">
        <v>1856</v>
      </c>
      <c r="L37" s="97">
        <f t="shared" si="1"/>
        <v>762458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65745</v>
      </c>
      <c r="E38" s="147"/>
      <c r="F38" s="95"/>
      <c r="G38" s="146">
        <v>6117</v>
      </c>
      <c r="H38" s="95"/>
      <c r="I38" s="147"/>
      <c r="J38" s="95"/>
      <c r="K38" s="96"/>
      <c r="L38" s="97">
        <f t="shared" si="1"/>
        <v>71862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>
        <v>174742</v>
      </c>
      <c r="E39" s="147"/>
      <c r="F39" s="95"/>
      <c r="G39" s="146"/>
      <c r="H39" s="95"/>
      <c r="I39" s="147"/>
      <c r="J39" s="95"/>
      <c r="K39" s="96"/>
      <c r="L39" s="97">
        <f t="shared" si="1"/>
        <v>174742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/>
      <c r="H40" s="95"/>
      <c r="I40" s="147"/>
      <c r="J40" s="95"/>
      <c r="K40" s="96"/>
      <c r="L40" s="97">
        <f t="shared" si="1"/>
        <v>0</v>
      </c>
      <c r="M40" s="11"/>
    </row>
    <row r="41" spans="1:13" ht="15.7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>
        <v>111406</v>
      </c>
      <c r="H43" s="95"/>
      <c r="I43" s="147"/>
      <c r="J43" s="95"/>
      <c r="K43" s="96"/>
      <c r="L43" s="97">
        <f t="shared" si="1"/>
        <v>111406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/>
      <c r="D44" s="95"/>
      <c r="E44" s="147"/>
      <c r="F44" s="95"/>
      <c r="G44" s="146"/>
      <c r="H44" s="95"/>
      <c r="I44" s="147"/>
      <c r="J44" s="95"/>
      <c r="K44" s="96"/>
      <c r="L44" s="97">
        <f t="shared" si="1"/>
        <v>0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>
        <v>87284</v>
      </c>
      <c r="H45" s="95"/>
      <c r="I45" s="147">
        <v>221432</v>
      </c>
      <c r="J45" s="95">
        <v>957</v>
      </c>
      <c r="K45" s="96">
        <v>400</v>
      </c>
      <c r="L45" s="97">
        <f t="shared" si="1"/>
        <v>310073</v>
      </c>
      <c r="M45" s="11"/>
    </row>
    <row r="46" spans="1:13" ht="15.75" customHeight="1" x14ac:dyDescent="0.25">
      <c r="A46" s="90">
        <v>562.9</v>
      </c>
      <c r="B46" s="171" t="s">
        <v>27</v>
      </c>
      <c r="C46" s="144">
        <v>22629</v>
      </c>
      <c r="D46" s="95">
        <v>1612</v>
      </c>
      <c r="E46" s="147"/>
      <c r="F46" s="95"/>
      <c r="G46" s="146"/>
      <c r="H46" s="95"/>
      <c r="I46" s="147"/>
      <c r="J46" s="95"/>
      <c r="K46" s="96"/>
      <c r="L46" s="97">
        <f t="shared" si="1"/>
        <v>24241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2077177</v>
      </c>
      <c r="D48" s="112">
        <f t="shared" si="2"/>
        <v>4332531</v>
      </c>
      <c r="E48" s="158">
        <f t="shared" si="2"/>
        <v>90635</v>
      </c>
      <c r="F48" s="112">
        <f t="shared" si="2"/>
        <v>13265</v>
      </c>
      <c r="G48" s="157">
        <f t="shared" si="2"/>
        <v>1046897</v>
      </c>
      <c r="H48" s="112">
        <f t="shared" si="2"/>
        <v>417613</v>
      </c>
      <c r="I48" s="158">
        <f t="shared" si="2"/>
        <v>719377</v>
      </c>
      <c r="J48" s="112">
        <f t="shared" si="2"/>
        <v>81670</v>
      </c>
      <c r="K48" s="113">
        <f t="shared" si="2"/>
        <v>14256</v>
      </c>
      <c r="L48" s="160">
        <f>SUM(C48:K48)</f>
        <v>8793421</v>
      </c>
      <c r="M48" s="11"/>
    </row>
    <row r="49" spans="1:13" ht="15.75" customHeight="1" x14ac:dyDescent="0.25">
      <c r="A49" s="90">
        <v>523</v>
      </c>
      <c r="B49" s="488" t="s">
        <v>30</v>
      </c>
      <c r="C49" s="489">
        <v>0</v>
      </c>
      <c r="D49" s="95">
        <v>0</v>
      </c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>
        <v>0</v>
      </c>
      <c r="D51" s="95">
        <v>0</v>
      </c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>
        <v>0</v>
      </c>
      <c r="D52" s="95">
        <v>0</v>
      </c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>
        <v>0</v>
      </c>
      <c r="D53" s="95">
        <v>0</v>
      </c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>
        <v>0</v>
      </c>
      <c r="D54" s="95">
        <v>0</v>
      </c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>
        <v>0</v>
      </c>
      <c r="D55" s="95">
        <v>0</v>
      </c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>
        <v>0</v>
      </c>
      <c r="D56" s="95">
        <v>0</v>
      </c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>
        <v>0</v>
      </c>
      <c r="D57" s="95">
        <v>0</v>
      </c>
      <c r="E57" s="147"/>
      <c r="F57" s="95"/>
      <c r="G57" s="146"/>
      <c r="H57" s="94"/>
      <c r="I57" s="145"/>
      <c r="J57" s="95"/>
      <c r="K57" s="96"/>
      <c r="L57" s="97">
        <f t="shared" si="3"/>
        <v>0</v>
      </c>
      <c r="M57" s="11"/>
    </row>
    <row r="58" spans="1:13" ht="15.75" customHeight="1" x14ac:dyDescent="0.25">
      <c r="A58" s="90">
        <v>568</v>
      </c>
      <c r="B58" s="488" t="s">
        <v>38</v>
      </c>
      <c r="C58" s="489">
        <v>0</v>
      </c>
      <c r="D58" s="95">
        <v>0</v>
      </c>
      <c r="E58" s="147"/>
      <c r="F58" s="95"/>
      <c r="G58" s="146"/>
      <c r="H58" s="94"/>
      <c r="I58" s="145"/>
      <c r="J58" s="95"/>
      <c r="K58" s="96"/>
      <c r="L58" s="97">
        <f t="shared" si="3"/>
        <v>0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>
        <v>0</v>
      </c>
      <c r="D59" s="95">
        <v>0</v>
      </c>
      <c r="E59" s="147"/>
      <c r="F59" s="95"/>
      <c r="G59" s="146"/>
      <c r="H59" s="94"/>
      <c r="I59" s="145"/>
      <c r="J59" s="95"/>
      <c r="K59" s="96"/>
      <c r="L59" s="97">
        <f t="shared" si="3"/>
        <v>0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2077177</v>
      </c>
      <c r="D60" s="112">
        <f>SUM(D48:D59)</f>
        <v>4332531</v>
      </c>
      <c r="E60" s="158">
        <f t="shared" ref="E60:K60" si="4">SUM(E48:E59)</f>
        <v>90635</v>
      </c>
      <c r="F60" s="112">
        <f>SUM(F48:F59)</f>
        <v>13265</v>
      </c>
      <c r="G60" s="157">
        <f t="shared" si="4"/>
        <v>1046897</v>
      </c>
      <c r="H60" s="111">
        <f t="shared" si="4"/>
        <v>417613</v>
      </c>
      <c r="I60" s="156">
        <f t="shared" si="4"/>
        <v>719377</v>
      </c>
      <c r="J60" s="112">
        <f t="shared" si="4"/>
        <v>81670</v>
      </c>
      <c r="K60" s="113">
        <f t="shared" si="4"/>
        <v>14256</v>
      </c>
      <c r="L60" s="492">
        <f>SUM(C60:K60)</f>
        <v>8793421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2077177</v>
      </c>
      <c r="D66" s="188">
        <f>C60/L60</f>
        <v>0.23621944178494353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4332531</v>
      </c>
      <c r="D67" s="191">
        <f>D60/L60</f>
        <v>0.49270141848093024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6409708</v>
      </c>
      <c r="D68" s="194">
        <f>SUM(D66:D67)</f>
        <v>0.72892086026587377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90635</v>
      </c>
      <c r="D70" s="200">
        <f>E60/$L60</f>
        <v>1.0307137574784603E-2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13265</v>
      </c>
      <c r="D71" s="200">
        <f>F60/L60</f>
        <v>1.5085141493850914E-3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1046897</v>
      </c>
      <c r="D72" s="200">
        <f>G60/$L60</f>
        <v>0.11905457500556382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417613</v>
      </c>
      <c r="D73" s="203">
        <f>H60/$L60</f>
        <v>4.7491528041248107E-2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1568410</v>
      </c>
      <c r="D74" s="194">
        <f>SUM(D70:D73)</f>
        <v>0.17836175477098165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719377</v>
      </c>
      <c r="D76" s="188">
        <f>I60/L60</f>
        <v>8.1808547549355362E-2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81670</v>
      </c>
      <c r="D77" s="191">
        <f>J60/L60</f>
        <v>9.2876253735605287E-3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801047</v>
      </c>
      <c r="D78" s="194">
        <f>SUM(D76:D77)</f>
        <v>9.1096172922915886E-2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14256</v>
      </c>
      <c r="D80" s="194">
        <f>K60/L60</f>
        <v>1.621212040228712E-3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8793421</v>
      </c>
      <c r="D81" s="212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21" priority="5">
      <formula>ROW()=EVEN(ROW())</formula>
    </cfRule>
  </conditionalFormatting>
  <conditionalFormatting sqref="L49:L59">
    <cfRule type="expression" dxfId="20" priority="3">
      <formula>ROW()=EVEN(ROW())</formula>
    </cfRule>
  </conditionalFormatting>
  <conditionalFormatting sqref="L5:L10">
    <cfRule type="expression" dxfId="19" priority="4">
      <formula>ROW()=EVEN(ROW())</formula>
    </cfRule>
  </conditionalFormatting>
  <conditionalFormatting sqref="A6:K10">
    <cfRule type="expression" dxfId="18" priority="2">
      <formula>ROW()=EVEN(ROW())</formula>
    </cfRule>
  </conditionalFormatting>
  <printOptions horizontalCentered="1"/>
  <pageMargins left="0" right="0" top="0.98" bottom="0.6" header="0.3" footer="0.3"/>
  <pageSetup scale="65" firstPageNumber="66" fitToHeight="2" orientation="landscape" useFirstPageNumber="1" r:id="rId1"/>
  <headerFooter>
    <oddHeader>&amp;C&amp;"Arial,Bold"&amp;16Expenditures by Expenditure Code and Revenue Source
2017
THURSTON</oddHeader>
  </headerFooter>
  <rowBreaks count="1" manualBreakCount="1">
    <brk id="48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71" zoomScaleNormal="100" workbookViewId="0">
      <selection activeCell="H88" sqref="H88:H93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4030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5.6</v>
      </c>
      <c r="D2" s="134"/>
      <c r="G2" s="130"/>
      <c r="H2" s="128"/>
      <c r="I2" s="128"/>
      <c r="J2" s="526" t="s">
        <v>143</v>
      </c>
      <c r="K2" s="526"/>
      <c r="L2" s="510" t="s">
        <v>137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v>56696</v>
      </c>
      <c r="D5" s="95"/>
      <c r="E5" s="147"/>
      <c r="F5" s="95"/>
      <c r="G5" s="146"/>
      <c r="H5" s="95"/>
      <c r="I5" s="147"/>
      <c r="J5" s="95">
        <v>2465</v>
      </c>
      <c r="K5" s="96">
        <v>139</v>
      </c>
      <c r="L5" s="97">
        <f>SUM(C5:K5)</f>
        <v>59300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>
        <v>42000</v>
      </c>
      <c r="G6" s="484"/>
      <c r="H6" s="482"/>
      <c r="I6" s="483"/>
      <c r="J6" s="482"/>
      <c r="K6" s="485"/>
      <c r="L6" s="97">
        <f t="shared" ref="L6:L10" si="0">SUM(C6:K6)</f>
        <v>42000</v>
      </c>
      <c r="M6" s="11"/>
    </row>
    <row r="7" spans="1:13" ht="15.75" customHeight="1" x14ac:dyDescent="0.25">
      <c r="A7" s="90">
        <v>562.12</v>
      </c>
      <c r="B7" s="171" t="s">
        <v>146</v>
      </c>
      <c r="C7" s="481"/>
      <c r="D7" s="482"/>
      <c r="E7" s="483"/>
      <c r="F7" s="482"/>
      <c r="G7" s="484"/>
      <c r="H7" s="482"/>
      <c r="I7" s="483"/>
      <c r="J7" s="482"/>
      <c r="K7" s="485"/>
      <c r="L7" s="97">
        <f t="shared" si="0"/>
        <v>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/>
      <c r="D11" s="95"/>
      <c r="E11" s="147"/>
      <c r="F11" s="95"/>
      <c r="G11" s="146">
        <v>93181</v>
      </c>
      <c r="H11" s="95"/>
      <c r="I11" s="147">
        <v>24535</v>
      </c>
      <c r="J11" s="95"/>
      <c r="K11" s="96"/>
      <c r="L11" s="97">
        <f t="shared" ref="L11:L47" si="1">SUM(C11:K11)</f>
        <v>117716</v>
      </c>
      <c r="M11" s="11"/>
    </row>
    <row r="12" spans="1:13" ht="15.7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/>
      <c r="I12" s="486"/>
      <c r="J12" s="95"/>
      <c r="K12" s="96"/>
      <c r="L12" s="97">
        <f t="shared" si="1"/>
        <v>0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/>
      <c r="F13" s="95"/>
      <c r="G13" s="146"/>
      <c r="H13" s="95"/>
      <c r="I13" s="147"/>
      <c r="J13" s="95"/>
      <c r="K13" s="96"/>
      <c r="L13" s="97">
        <f t="shared" si="1"/>
        <v>0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95"/>
      <c r="K15" s="96"/>
      <c r="L15" s="97">
        <f t="shared" si="1"/>
        <v>0</v>
      </c>
      <c r="M15" s="11"/>
    </row>
    <row r="16" spans="1:13" ht="15.75" customHeight="1" x14ac:dyDescent="0.25">
      <c r="A16" s="90">
        <v>562.28</v>
      </c>
      <c r="B16" s="171" t="s">
        <v>53</v>
      </c>
      <c r="C16" s="144"/>
      <c r="D16" s="95"/>
      <c r="E16" s="147"/>
      <c r="F16" s="95"/>
      <c r="G16" s="146"/>
      <c r="H16" s="95"/>
      <c r="I16" s="147">
        <f>23953+157</f>
        <v>24110</v>
      </c>
      <c r="J16" s="95"/>
      <c r="K16" s="96"/>
      <c r="L16" s="97">
        <f t="shared" si="1"/>
        <v>24110</v>
      </c>
      <c r="M16" s="11"/>
    </row>
    <row r="17" spans="1:13" ht="15.75" customHeight="1" x14ac:dyDescent="0.25">
      <c r="A17" s="90">
        <v>562.29</v>
      </c>
      <c r="B17" s="171" t="s">
        <v>45</v>
      </c>
      <c r="C17" s="144"/>
      <c r="D17" s="95"/>
      <c r="E17" s="147"/>
      <c r="F17" s="95"/>
      <c r="G17" s="146"/>
      <c r="H17" s="95"/>
      <c r="I17" s="147"/>
      <c r="J17" s="95"/>
      <c r="K17" s="96"/>
      <c r="L17" s="97">
        <f t="shared" si="1"/>
        <v>0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>
        <v>513</v>
      </c>
      <c r="D18" s="95"/>
      <c r="E18" s="147"/>
      <c r="F18" s="95"/>
      <c r="G18" s="146"/>
      <c r="H18" s="95"/>
      <c r="I18" s="147">
        <v>1522</v>
      </c>
      <c r="J18" s="95"/>
      <c r="K18" s="96"/>
      <c r="L18" s="97">
        <f t="shared" si="1"/>
        <v>2035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/>
      <c r="D19" s="95"/>
      <c r="E19" s="147"/>
      <c r="F19" s="95"/>
      <c r="G19" s="146"/>
      <c r="H19" s="95"/>
      <c r="I19" s="147"/>
      <c r="J19" s="95"/>
      <c r="K19" s="96"/>
      <c r="L19" s="97">
        <f t="shared" si="1"/>
        <v>0</v>
      </c>
      <c r="M19" s="11"/>
    </row>
    <row r="20" spans="1:13" ht="15.75" customHeight="1" x14ac:dyDescent="0.25">
      <c r="A20" s="90">
        <v>562.34</v>
      </c>
      <c r="B20" s="171" t="s">
        <v>12</v>
      </c>
      <c r="C20" s="144"/>
      <c r="D20" s="95"/>
      <c r="E20" s="147"/>
      <c r="F20" s="95"/>
      <c r="G20" s="146"/>
      <c r="H20" s="95"/>
      <c r="I20" s="147"/>
      <c r="J20" s="95"/>
      <c r="K20" s="96"/>
      <c r="L20" s="97">
        <f t="shared" si="1"/>
        <v>0</v>
      </c>
      <c r="M20" s="11"/>
    </row>
    <row r="21" spans="1:13" ht="15.75" customHeight="1" x14ac:dyDescent="0.25">
      <c r="A21" s="90">
        <v>562.35</v>
      </c>
      <c r="B21" s="171" t="s">
        <v>13</v>
      </c>
      <c r="C21" s="144"/>
      <c r="D21" s="95"/>
      <c r="E21" s="147"/>
      <c r="F21" s="95"/>
      <c r="G21" s="146"/>
      <c r="H21" s="95"/>
      <c r="I21" s="147"/>
      <c r="J21" s="95"/>
      <c r="K21" s="96"/>
      <c r="L21" s="97">
        <f t="shared" si="1"/>
        <v>0</v>
      </c>
      <c r="M21" s="11"/>
    </row>
    <row r="22" spans="1:13" ht="15.75" customHeight="1" x14ac:dyDescent="0.25">
      <c r="A22" s="90">
        <v>562.39</v>
      </c>
      <c r="B22" s="171" t="s">
        <v>14</v>
      </c>
      <c r="C22" s="144"/>
      <c r="D22" s="95"/>
      <c r="E22" s="147"/>
      <c r="F22" s="95"/>
      <c r="G22" s="146"/>
      <c r="H22" s="95"/>
      <c r="I22" s="147"/>
      <c r="J22" s="95"/>
      <c r="K22" s="96"/>
      <c r="L22" s="97">
        <f t="shared" si="1"/>
        <v>0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/>
      <c r="H24" s="95"/>
      <c r="I24" s="147"/>
      <c r="J24" s="95"/>
      <c r="K24" s="96"/>
      <c r="L24" s="97">
        <f t="shared" si="1"/>
        <v>0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/>
      <c r="D26" s="95"/>
      <c r="E26" s="147"/>
      <c r="F26" s="95"/>
      <c r="G26" s="146"/>
      <c r="H26" s="95"/>
      <c r="I26" s="147"/>
      <c r="J26" s="95"/>
      <c r="K26" s="96"/>
      <c r="L26" s="97">
        <f t="shared" si="1"/>
        <v>0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.75" customHeight="1" x14ac:dyDescent="0.25">
      <c r="A28" s="90">
        <v>562.49</v>
      </c>
      <c r="B28" s="171" t="s">
        <v>46</v>
      </c>
      <c r="C28" s="144"/>
      <c r="D28" s="95"/>
      <c r="E28" s="147"/>
      <c r="F28" s="95"/>
      <c r="G28" s="146"/>
      <c r="H28" s="95"/>
      <c r="I28" s="147"/>
      <c r="J28" s="95"/>
      <c r="K28" s="96"/>
      <c r="L28" s="97">
        <f t="shared" si="1"/>
        <v>0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/>
      <c r="E29" s="147"/>
      <c r="F29" s="95"/>
      <c r="G29" s="146"/>
      <c r="H29" s="95"/>
      <c r="I29" s="147"/>
      <c r="J29" s="95"/>
      <c r="K29" s="96"/>
      <c r="L29" s="97">
        <f t="shared" si="1"/>
        <v>0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0</v>
      </c>
      <c r="D30" s="95"/>
      <c r="E30" s="147"/>
      <c r="F30" s="95"/>
      <c r="G30" s="146"/>
      <c r="H30" s="95">
        <v>16764</v>
      </c>
      <c r="I30" s="147"/>
      <c r="J30" s="95"/>
      <c r="K30" s="96"/>
      <c r="L30" s="97">
        <f t="shared" si="1"/>
        <v>16764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25053</v>
      </c>
      <c r="E31" s="147"/>
      <c r="F31" s="95"/>
      <c r="G31" s="146"/>
      <c r="H31" s="95"/>
      <c r="I31" s="147"/>
      <c r="J31" s="95"/>
      <c r="K31" s="96"/>
      <c r="L31" s="97">
        <f t="shared" si="1"/>
        <v>25053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/>
      <c r="H32" s="95"/>
      <c r="I32" s="147"/>
      <c r="J32" s="95"/>
      <c r="K32" s="96"/>
      <c r="L32" s="97">
        <f t="shared" si="1"/>
        <v>0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/>
      <c r="D33" s="95">
        <v>8127</v>
      </c>
      <c r="E33" s="147"/>
      <c r="F33" s="95"/>
      <c r="G33" s="146"/>
      <c r="H33" s="95"/>
      <c r="I33" s="147"/>
      <c r="J33" s="95"/>
      <c r="K33" s="96"/>
      <c r="L33" s="97">
        <f t="shared" si="1"/>
        <v>8127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/>
      <c r="E35" s="147"/>
      <c r="F35" s="95"/>
      <c r="G35" s="146"/>
      <c r="H35" s="95"/>
      <c r="I35" s="147"/>
      <c r="J35" s="95"/>
      <c r="K35" s="96"/>
      <c r="L35" s="97">
        <f t="shared" si="1"/>
        <v>0</v>
      </c>
      <c r="M35" s="11"/>
    </row>
    <row r="36" spans="1:13" ht="15.75" customHeight="1" x14ac:dyDescent="0.25">
      <c r="A36" s="90">
        <v>562.59</v>
      </c>
      <c r="B36" s="171" t="s">
        <v>48</v>
      </c>
      <c r="C36" s="144"/>
      <c r="D36" s="95"/>
      <c r="E36" s="147"/>
      <c r="F36" s="95"/>
      <c r="G36" s="146"/>
      <c r="H36" s="95"/>
      <c r="I36" s="147"/>
      <c r="J36" s="95"/>
      <c r="K36" s="96"/>
      <c r="L36" s="97">
        <f t="shared" si="1"/>
        <v>0</v>
      </c>
      <c r="M36" s="11"/>
    </row>
    <row r="37" spans="1:13" ht="15.75" customHeight="1" x14ac:dyDescent="0.25">
      <c r="A37" s="90">
        <v>562.6</v>
      </c>
      <c r="B37" s="171" t="s">
        <v>20</v>
      </c>
      <c r="C37" s="144"/>
      <c r="D37" s="95"/>
      <c r="E37" s="147"/>
      <c r="F37" s="95"/>
      <c r="G37" s="146"/>
      <c r="H37" s="95"/>
      <c r="I37" s="147"/>
      <c r="J37" s="95"/>
      <c r="K37" s="96"/>
      <c r="L37" s="97">
        <f t="shared" si="1"/>
        <v>0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1412</v>
      </c>
      <c r="E38" s="147"/>
      <c r="F38" s="95"/>
      <c r="G38" s="146"/>
      <c r="H38" s="95"/>
      <c r="I38" s="147"/>
      <c r="J38" s="95"/>
      <c r="K38" s="96"/>
      <c r="L38" s="97">
        <f t="shared" si="1"/>
        <v>1412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>
        <v>7020</v>
      </c>
      <c r="E39" s="147"/>
      <c r="F39" s="95"/>
      <c r="G39" s="146"/>
      <c r="H39" s="95"/>
      <c r="I39" s="147"/>
      <c r="J39" s="95"/>
      <c r="K39" s="96"/>
      <c r="L39" s="97">
        <f t="shared" si="1"/>
        <v>7020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/>
      <c r="H40" s="95"/>
      <c r="I40" s="147"/>
      <c r="J40" s="95"/>
      <c r="K40" s="96"/>
      <c r="L40" s="97">
        <f t="shared" si="1"/>
        <v>0</v>
      </c>
      <c r="M40" s="11"/>
    </row>
    <row r="41" spans="1:13" ht="15.7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/>
      <c r="H43" s="95"/>
      <c r="I43" s="147"/>
      <c r="J43" s="95"/>
      <c r="K43" s="96"/>
      <c r="L43" s="97">
        <f t="shared" si="1"/>
        <v>0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/>
      <c r="D44" s="95"/>
      <c r="E44" s="147"/>
      <c r="F44" s="95"/>
      <c r="G44" s="146"/>
      <c r="H44" s="95"/>
      <c r="I44" s="147"/>
      <c r="J44" s="95"/>
      <c r="K44" s="96"/>
      <c r="L44" s="97">
        <f t="shared" si="1"/>
        <v>0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/>
      <c r="H45" s="95"/>
      <c r="I45" s="147">
        <v>16106</v>
      </c>
      <c r="J45" s="95"/>
      <c r="K45" s="96"/>
      <c r="L45" s="97">
        <f t="shared" si="1"/>
        <v>16106</v>
      </c>
      <c r="M45" s="11"/>
    </row>
    <row r="46" spans="1:13" ht="15.75" customHeight="1" x14ac:dyDescent="0.25">
      <c r="A46" s="90">
        <v>562.9</v>
      </c>
      <c r="B46" s="171" t="s">
        <v>27</v>
      </c>
      <c r="C46" s="144"/>
      <c r="D46" s="95"/>
      <c r="E46" s="147"/>
      <c r="F46" s="95"/>
      <c r="G46" s="146"/>
      <c r="H46" s="95"/>
      <c r="I46" s="147"/>
      <c r="J46" s="95"/>
      <c r="K46" s="96"/>
      <c r="L46" s="97">
        <f t="shared" si="1"/>
        <v>0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57209</v>
      </c>
      <c r="D48" s="112">
        <f t="shared" si="2"/>
        <v>41612</v>
      </c>
      <c r="E48" s="513" t="s">
        <v>154</v>
      </c>
      <c r="F48" s="112">
        <f t="shared" si="2"/>
        <v>42000</v>
      </c>
      <c r="G48" s="157">
        <f t="shared" si="2"/>
        <v>93181</v>
      </c>
      <c r="H48" s="112">
        <f t="shared" si="2"/>
        <v>16764</v>
      </c>
      <c r="I48" s="158">
        <f t="shared" si="2"/>
        <v>66273</v>
      </c>
      <c r="J48" s="112">
        <f t="shared" si="2"/>
        <v>2465</v>
      </c>
      <c r="K48" s="113">
        <f t="shared" si="2"/>
        <v>139</v>
      </c>
      <c r="L48" s="160">
        <f>SUM(C48:K48)</f>
        <v>319643</v>
      </c>
      <c r="M48" s="11"/>
    </row>
    <row r="49" spans="1:13" ht="15.75" customHeight="1" x14ac:dyDescent="0.25">
      <c r="A49" s="90">
        <v>523</v>
      </c>
      <c r="B49" s="488" t="s">
        <v>30</v>
      </c>
      <c r="C49" s="489">
        <v>0</v>
      </c>
      <c r="D49" s="95">
        <v>0</v>
      </c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>
        <v>0</v>
      </c>
      <c r="D51" s="95">
        <v>0</v>
      </c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>
        <v>0</v>
      </c>
      <c r="D52" s="95">
        <v>0</v>
      </c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>
        <v>0</v>
      </c>
      <c r="D53" s="95">
        <v>0</v>
      </c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>
        <v>0</v>
      </c>
      <c r="D54" s="95">
        <v>0</v>
      </c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>
        <v>0</v>
      </c>
      <c r="D55" s="95">
        <v>0</v>
      </c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>
        <v>0</v>
      </c>
      <c r="D56" s="95">
        <v>0</v>
      </c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>
        <v>0</v>
      </c>
      <c r="D57" s="95">
        <v>0</v>
      </c>
      <c r="E57" s="147"/>
      <c r="F57" s="95"/>
      <c r="G57" s="146"/>
      <c r="H57" s="94"/>
      <c r="I57" s="145"/>
      <c r="J57" s="95"/>
      <c r="K57" s="96"/>
      <c r="L57" s="97">
        <f t="shared" si="3"/>
        <v>0</v>
      </c>
      <c r="M57" s="11"/>
    </row>
    <row r="58" spans="1:13" ht="15.75" customHeight="1" x14ac:dyDescent="0.25">
      <c r="A58" s="90">
        <v>568</v>
      </c>
      <c r="B58" s="488" t="s">
        <v>38</v>
      </c>
      <c r="C58" s="489">
        <v>0</v>
      </c>
      <c r="D58" s="95">
        <v>0</v>
      </c>
      <c r="E58" s="147"/>
      <c r="F58" s="95"/>
      <c r="G58" s="146"/>
      <c r="H58" s="94"/>
      <c r="I58" s="145"/>
      <c r="J58" s="95"/>
      <c r="K58" s="96"/>
      <c r="L58" s="97">
        <f t="shared" si="3"/>
        <v>0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>
        <v>0</v>
      </c>
      <c r="D59" s="95">
        <v>0</v>
      </c>
      <c r="E59" s="147"/>
      <c r="F59" s="95"/>
      <c r="G59" s="146"/>
      <c r="H59" s="94"/>
      <c r="I59" s="145"/>
      <c r="J59" s="95"/>
      <c r="K59" s="96"/>
      <c r="L59" s="97">
        <f t="shared" si="3"/>
        <v>0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57209</v>
      </c>
      <c r="D60" s="112">
        <f>SUM(D48:D59)</f>
        <v>41612</v>
      </c>
      <c r="E60" s="513" t="s">
        <v>154</v>
      </c>
      <c r="F60" s="112">
        <f>SUM(F48:F59)</f>
        <v>42000</v>
      </c>
      <c r="G60" s="157">
        <f t="shared" ref="G60:K60" si="4">SUM(G48:G59)</f>
        <v>93181</v>
      </c>
      <c r="H60" s="111">
        <f t="shared" si="4"/>
        <v>16764</v>
      </c>
      <c r="I60" s="156">
        <f t="shared" si="4"/>
        <v>66273</v>
      </c>
      <c r="J60" s="112">
        <f t="shared" si="4"/>
        <v>2465</v>
      </c>
      <c r="K60" s="113">
        <f t="shared" si="4"/>
        <v>139</v>
      </c>
      <c r="L60" s="492">
        <f>SUM(C60:K60)</f>
        <v>319643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57209</v>
      </c>
      <c r="D66" s="188">
        <f>C60/L60</f>
        <v>0.17897779710489514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41612</v>
      </c>
      <c r="D67" s="191">
        <f>D60/L60</f>
        <v>0.13018273511386141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98821</v>
      </c>
      <c r="D68" s="194">
        <f>SUM(D66:D67)</f>
        <v>0.30916053221875656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502" t="str">
        <f>E60</f>
        <v>0</v>
      </c>
      <c r="D70" s="503" t="s">
        <v>155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42000</v>
      </c>
      <c r="D71" s="200">
        <f>F60/L60</f>
        <v>0.13139658931996009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93181</v>
      </c>
      <c r="D72" s="200">
        <f>G60/$L60</f>
        <v>0.29151584736721903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16764</v>
      </c>
      <c r="D73" s="203">
        <f>H60/$L60</f>
        <v>5.2446010079995498E-2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151945</v>
      </c>
      <c r="D74" s="194">
        <f>SUM(D70:D73)</f>
        <v>0.47535844676717465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66273</v>
      </c>
      <c r="D76" s="188">
        <f>I60/L60</f>
        <v>0.20733443247623129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2465</v>
      </c>
      <c r="D77" s="191">
        <f>J60/L60</f>
        <v>7.7117283969928953E-3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68738</v>
      </c>
      <c r="D78" s="194">
        <f>SUM(D76:D77)</f>
        <v>0.21504616087322417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139</v>
      </c>
      <c r="D80" s="194">
        <f>K60/L60</f>
        <v>4.3486014084462982E-4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319643</v>
      </c>
      <c r="D81" s="212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7" priority="5">
      <formula>ROW()=EVEN(ROW())</formula>
    </cfRule>
  </conditionalFormatting>
  <conditionalFormatting sqref="L49:L59">
    <cfRule type="expression" dxfId="16" priority="3">
      <formula>ROW()=EVEN(ROW())</formula>
    </cfRule>
  </conditionalFormatting>
  <conditionalFormatting sqref="L5:L10">
    <cfRule type="expression" dxfId="15" priority="4">
      <formula>ROW()=EVEN(ROW())</formula>
    </cfRule>
  </conditionalFormatting>
  <conditionalFormatting sqref="A6:K10">
    <cfRule type="expression" dxfId="14" priority="2">
      <formula>ROW()=EVEN(ROW())</formula>
    </cfRule>
  </conditionalFormatting>
  <printOptions horizontalCentered="1"/>
  <pageMargins left="0" right="0" top="0.98" bottom="0.6" header="0.3" footer="0.3"/>
  <pageSetup scale="65" firstPageNumber="68" fitToHeight="2" orientation="landscape" useFirstPageNumber="1" r:id="rId1"/>
  <headerFooter>
    <oddHeader>&amp;C&amp;"Arial,Bold"&amp;16Expenditures by Expenditure Code and Revenue Source
2017
WAHKIAKUM</oddHeader>
  </headerFooter>
  <rowBreaks count="1" manualBreakCount="1">
    <brk id="48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74" zoomScaleNormal="100" workbookViewId="0">
      <selection activeCell="D89" sqref="D89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61400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19.5</v>
      </c>
      <c r="D2" s="134"/>
      <c r="G2" s="130"/>
      <c r="H2" s="128"/>
      <c r="I2" s="128"/>
      <c r="J2" s="526" t="s">
        <v>143</v>
      </c>
      <c r="K2" s="526"/>
      <c r="L2" s="512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v>233658</v>
      </c>
      <c r="D5" s="95">
        <f>1200+37340</f>
        <v>38540</v>
      </c>
      <c r="E5" s="147"/>
      <c r="F5" s="95"/>
      <c r="G5" s="146">
        <v>120000</v>
      </c>
      <c r="H5" s="95"/>
      <c r="I5" s="147"/>
      <c r="J5" s="95"/>
      <c r="K5" s="96"/>
      <c r="L5" s="97">
        <f>SUM(C5:K5)</f>
        <v>392198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>
        <v>2500</v>
      </c>
      <c r="G6" s="484"/>
      <c r="H6" s="482"/>
      <c r="I6" s="483"/>
      <c r="J6" s="482"/>
      <c r="K6" s="485"/>
      <c r="L6" s="97">
        <f t="shared" ref="L6:L10" si="0">SUM(C6:K6)</f>
        <v>2500</v>
      </c>
      <c r="M6" s="11"/>
    </row>
    <row r="7" spans="1:13" ht="15.75" customHeight="1" x14ac:dyDescent="0.25">
      <c r="A7" s="90">
        <v>562.12</v>
      </c>
      <c r="B7" s="171" t="s">
        <v>146</v>
      </c>
      <c r="C7" s="481"/>
      <c r="D7" s="482"/>
      <c r="E7" s="483"/>
      <c r="F7" s="482">
        <v>27500</v>
      </c>
      <c r="G7" s="484"/>
      <c r="H7" s="482"/>
      <c r="I7" s="483"/>
      <c r="J7" s="482"/>
      <c r="K7" s="485"/>
      <c r="L7" s="97">
        <f t="shared" si="0"/>
        <v>27500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>
        <v>12000</v>
      </c>
      <c r="G8" s="484"/>
      <c r="H8" s="482"/>
      <c r="I8" s="483"/>
      <c r="J8" s="482"/>
      <c r="K8" s="485"/>
      <c r="L8" s="97">
        <f t="shared" si="0"/>
        <v>12000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/>
      <c r="D11" s="95"/>
      <c r="E11" s="147"/>
      <c r="F11" s="95"/>
      <c r="G11" s="146"/>
      <c r="H11" s="95">
        <v>3589</v>
      </c>
      <c r="I11" s="147">
        <v>60139</v>
      </c>
      <c r="J11" s="95"/>
      <c r="K11" s="96"/>
      <c r="L11" s="97">
        <f t="shared" ref="L11:L47" si="1">SUM(C11:K11)</f>
        <v>63728</v>
      </c>
      <c r="M11" s="11"/>
    </row>
    <row r="12" spans="1:13" ht="15.7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>
        <v>12700</v>
      </c>
      <c r="I12" s="486"/>
      <c r="J12" s="95">
        <v>12700</v>
      </c>
      <c r="K12" s="96">
        <v>19913</v>
      </c>
      <c r="L12" s="97">
        <f t="shared" si="1"/>
        <v>45313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/>
      <c r="F13" s="95"/>
      <c r="G13" s="146"/>
      <c r="H13" s="95"/>
      <c r="I13" s="147"/>
      <c r="J13" s="95"/>
      <c r="K13" s="96"/>
      <c r="L13" s="97">
        <f t="shared" si="1"/>
        <v>0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95"/>
      <c r="K15" s="96"/>
      <c r="L15" s="97">
        <f t="shared" si="1"/>
        <v>0</v>
      </c>
      <c r="M15" s="11"/>
    </row>
    <row r="16" spans="1:13" ht="15.75" customHeight="1" x14ac:dyDescent="0.25">
      <c r="A16" s="90">
        <v>562.28</v>
      </c>
      <c r="B16" s="171" t="s">
        <v>53</v>
      </c>
      <c r="C16" s="144">
        <v>24000</v>
      </c>
      <c r="D16" s="95"/>
      <c r="E16" s="147"/>
      <c r="F16" s="95"/>
      <c r="G16" s="146">
        <v>29200</v>
      </c>
      <c r="H16" s="95"/>
      <c r="I16" s="147">
        <v>205896</v>
      </c>
      <c r="J16" s="95"/>
      <c r="K16" s="96"/>
      <c r="L16" s="97">
        <f t="shared" si="1"/>
        <v>259096</v>
      </c>
      <c r="M16" s="11"/>
    </row>
    <row r="17" spans="1:13" ht="15.75" customHeight="1" x14ac:dyDescent="0.25">
      <c r="A17" s="90">
        <v>562.29</v>
      </c>
      <c r="B17" s="171" t="s">
        <v>45</v>
      </c>
      <c r="C17" s="144"/>
      <c r="D17" s="95"/>
      <c r="E17" s="147"/>
      <c r="F17" s="95"/>
      <c r="G17" s="146"/>
      <c r="H17" s="95"/>
      <c r="I17" s="147"/>
      <c r="J17" s="95"/>
      <c r="K17" s="96"/>
      <c r="L17" s="97">
        <f t="shared" si="1"/>
        <v>0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/>
      <c r="D18" s="95">
        <f>1492+2000</f>
        <v>3492</v>
      </c>
      <c r="E18" s="147"/>
      <c r="F18" s="95"/>
      <c r="G18" s="146">
        <v>12000</v>
      </c>
      <c r="H18" s="95"/>
      <c r="I18" s="147">
        <f>5778+2363</f>
        <v>8141</v>
      </c>
      <c r="J18" s="95"/>
      <c r="K18" s="96"/>
      <c r="L18" s="97">
        <f t="shared" si="1"/>
        <v>23633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/>
      <c r="D19" s="95">
        <v>1921</v>
      </c>
      <c r="E19" s="147"/>
      <c r="F19" s="95"/>
      <c r="G19" s="146">
        <v>42000</v>
      </c>
      <c r="H19" s="95"/>
      <c r="I19" s="147"/>
      <c r="J19" s="95"/>
      <c r="K19" s="96"/>
      <c r="L19" s="97">
        <f t="shared" si="1"/>
        <v>43921</v>
      </c>
      <c r="M19" s="11"/>
    </row>
    <row r="20" spans="1:13" ht="15.75" customHeight="1" x14ac:dyDescent="0.25">
      <c r="A20" s="90">
        <v>562.34</v>
      </c>
      <c r="B20" s="171" t="s">
        <v>12</v>
      </c>
      <c r="C20" s="144"/>
      <c r="D20" s="95">
        <f>2179+1000</f>
        <v>3179</v>
      </c>
      <c r="E20" s="147"/>
      <c r="F20" s="95"/>
      <c r="G20" s="146">
        <v>8000</v>
      </c>
      <c r="H20" s="95"/>
      <c r="I20" s="147"/>
      <c r="J20" s="95"/>
      <c r="K20" s="96"/>
      <c r="L20" s="97">
        <f t="shared" si="1"/>
        <v>11179</v>
      </c>
      <c r="M20" s="11"/>
    </row>
    <row r="21" spans="1:13" ht="15.75" customHeight="1" x14ac:dyDescent="0.25">
      <c r="A21" s="90">
        <v>562.35</v>
      </c>
      <c r="B21" s="171" t="s">
        <v>13</v>
      </c>
      <c r="C21" s="144"/>
      <c r="D21" s="95"/>
      <c r="E21" s="147"/>
      <c r="F21" s="95"/>
      <c r="G21" s="146">
        <v>1200</v>
      </c>
      <c r="H21" s="95"/>
      <c r="I21" s="147"/>
      <c r="J21" s="95"/>
      <c r="K21" s="96"/>
      <c r="L21" s="97">
        <f t="shared" si="1"/>
        <v>1200</v>
      </c>
      <c r="M21" s="11"/>
    </row>
    <row r="22" spans="1:13" ht="15.75" customHeight="1" x14ac:dyDescent="0.25">
      <c r="A22" s="90">
        <v>562.39</v>
      </c>
      <c r="B22" s="171" t="s">
        <v>14</v>
      </c>
      <c r="C22" s="144"/>
      <c r="D22" s="95">
        <v>557</v>
      </c>
      <c r="E22" s="147"/>
      <c r="F22" s="95"/>
      <c r="G22" s="146">
        <v>7000</v>
      </c>
      <c r="H22" s="95"/>
      <c r="I22" s="147"/>
      <c r="J22" s="95"/>
      <c r="K22" s="96"/>
      <c r="L22" s="97">
        <f t="shared" si="1"/>
        <v>7557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>
        <v>6300</v>
      </c>
      <c r="H24" s="95">
        <v>658</v>
      </c>
      <c r="I24" s="147">
        <v>44206</v>
      </c>
      <c r="J24" s="95"/>
      <c r="K24" s="96"/>
      <c r="L24" s="97">
        <f t="shared" si="1"/>
        <v>51164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/>
      <c r="D26" s="95"/>
      <c r="E26" s="147">
        <v>37852</v>
      </c>
      <c r="F26" s="95"/>
      <c r="G26" s="146"/>
      <c r="H26" s="95">
        <v>35813</v>
      </c>
      <c r="I26" s="147"/>
      <c r="J26" s="95"/>
      <c r="K26" s="96"/>
      <c r="L26" s="97">
        <f t="shared" si="1"/>
        <v>73665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>
        <f>10655+3171</f>
        <v>13826</v>
      </c>
      <c r="E27" s="147"/>
      <c r="F27" s="95"/>
      <c r="G27" s="146">
        <v>10000</v>
      </c>
      <c r="H27" s="95"/>
      <c r="I27" s="147"/>
      <c r="J27" s="95">
        <v>31813</v>
      </c>
      <c r="K27" s="96">
        <v>15000</v>
      </c>
      <c r="L27" s="97">
        <f t="shared" si="1"/>
        <v>70639</v>
      </c>
      <c r="M27" s="11"/>
    </row>
    <row r="28" spans="1:13" ht="15.75" customHeight="1" x14ac:dyDescent="0.25">
      <c r="A28" s="90">
        <v>562.49</v>
      </c>
      <c r="B28" s="171" t="s">
        <v>46</v>
      </c>
      <c r="C28" s="144"/>
      <c r="D28" s="95"/>
      <c r="E28" s="147"/>
      <c r="F28" s="95"/>
      <c r="G28" s="146"/>
      <c r="H28" s="95"/>
      <c r="I28" s="147"/>
      <c r="J28" s="95"/>
      <c r="K28" s="96"/>
      <c r="L28" s="97">
        <f t="shared" si="1"/>
        <v>0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>
        <v>23200</v>
      </c>
      <c r="E29" s="147"/>
      <c r="F29" s="95"/>
      <c r="G29" s="146"/>
      <c r="H29" s="95"/>
      <c r="I29" s="147"/>
      <c r="J29" s="95"/>
      <c r="K29" s="96"/>
      <c r="L29" s="97">
        <f t="shared" si="1"/>
        <v>23200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4100</v>
      </c>
      <c r="D30" s="95">
        <v>1750</v>
      </c>
      <c r="E30" s="147"/>
      <c r="F30" s="95"/>
      <c r="G30" s="146"/>
      <c r="H30" s="95"/>
      <c r="I30" s="147"/>
      <c r="J30" s="95"/>
      <c r="K30" s="96"/>
      <c r="L30" s="97">
        <f t="shared" si="1"/>
        <v>5850</v>
      </c>
      <c r="M30" s="11"/>
    </row>
    <row r="31" spans="1:13" ht="15.75" customHeight="1" x14ac:dyDescent="0.25">
      <c r="A31" s="90">
        <v>562.54</v>
      </c>
      <c r="B31" s="171" t="s">
        <v>59</v>
      </c>
      <c r="C31" s="144">
        <v>10000</v>
      </c>
      <c r="D31" s="95">
        <f>62275+3300</f>
        <v>65575</v>
      </c>
      <c r="E31" s="147"/>
      <c r="F31" s="95"/>
      <c r="G31" s="146"/>
      <c r="H31" s="95"/>
      <c r="I31" s="147"/>
      <c r="J31" s="95"/>
      <c r="K31" s="96"/>
      <c r="L31" s="97">
        <f t="shared" si="1"/>
        <v>75575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>
        <v>5000</v>
      </c>
      <c r="H32" s="95"/>
      <c r="I32" s="147"/>
      <c r="J32" s="95"/>
      <c r="K32" s="96"/>
      <c r="L32" s="97">
        <f t="shared" si="1"/>
        <v>5000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>
        <v>3900</v>
      </c>
      <c r="D33" s="95">
        <v>216376</v>
      </c>
      <c r="E33" s="147"/>
      <c r="F33" s="95"/>
      <c r="G33" s="146"/>
      <c r="H33" s="95"/>
      <c r="I33" s="147"/>
      <c r="J33" s="95"/>
      <c r="K33" s="96"/>
      <c r="L33" s="97">
        <f t="shared" si="1"/>
        <v>220276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>
        <v>20000</v>
      </c>
      <c r="D35" s="95">
        <v>5785</v>
      </c>
      <c r="E35" s="147"/>
      <c r="F35" s="95"/>
      <c r="G35" s="146">
        <v>5000</v>
      </c>
      <c r="H35" s="95"/>
      <c r="I35" s="147"/>
      <c r="J35" s="95"/>
      <c r="K35" s="96"/>
      <c r="L35" s="97">
        <f t="shared" si="1"/>
        <v>30785</v>
      </c>
      <c r="M35" s="11"/>
    </row>
    <row r="36" spans="1:13" ht="15.75" customHeight="1" x14ac:dyDescent="0.25">
      <c r="A36" s="90">
        <v>562.59</v>
      </c>
      <c r="B36" s="171" t="s">
        <v>48</v>
      </c>
      <c r="C36" s="144"/>
      <c r="D36" s="95">
        <f>5280+8512</f>
        <v>13792</v>
      </c>
      <c r="E36" s="147"/>
      <c r="F36" s="95"/>
      <c r="G36" s="146"/>
      <c r="H36" s="95"/>
      <c r="I36" s="147"/>
      <c r="J36" s="95"/>
      <c r="K36" s="96"/>
      <c r="L36" s="97">
        <f t="shared" si="1"/>
        <v>13792</v>
      </c>
      <c r="M36" s="11"/>
    </row>
    <row r="37" spans="1:13" ht="15.75" customHeight="1" x14ac:dyDescent="0.25">
      <c r="A37" s="90">
        <v>562.6</v>
      </c>
      <c r="B37" s="171" t="s">
        <v>20</v>
      </c>
      <c r="C37" s="144"/>
      <c r="D37" s="95"/>
      <c r="E37" s="147"/>
      <c r="F37" s="95"/>
      <c r="G37" s="146"/>
      <c r="H37" s="95"/>
      <c r="I37" s="147"/>
      <c r="J37" s="95"/>
      <c r="K37" s="96"/>
      <c r="L37" s="97">
        <f t="shared" si="1"/>
        <v>0</v>
      </c>
      <c r="M37" s="11"/>
    </row>
    <row r="38" spans="1:13" ht="15.75" customHeight="1" x14ac:dyDescent="0.25">
      <c r="A38" s="90">
        <v>562.71</v>
      </c>
      <c r="B38" s="171" t="s">
        <v>21</v>
      </c>
      <c r="C38" s="144">
        <v>25000</v>
      </c>
      <c r="D38" s="95">
        <v>32518</v>
      </c>
      <c r="E38" s="147"/>
      <c r="F38" s="95"/>
      <c r="G38" s="146"/>
      <c r="H38" s="95"/>
      <c r="I38" s="147"/>
      <c r="J38" s="95"/>
      <c r="K38" s="96"/>
      <c r="L38" s="97">
        <f t="shared" si="1"/>
        <v>57518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/>
      <c r="E39" s="147"/>
      <c r="F39" s="95"/>
      <c r="G39" s="146"/>
      <c r="H39" s="95"/>
      <c r="I39" s="147"/>
      <c r="J39" s="95"/>
      <c r="K39" s="96"/>
      <c r="L39" s="97">
        <f t="shared" si="1"/>
        <v>0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>
        <v>4500</v>
      </c>
      <c r="E40" s="147"/>
      <c r="F40" s="95"/>
      <c r="G40" s="146">
        <v>3000</v>
      </c>
      <c r="H40" s="95"/>
      <c r="I40" s="147"/>
      <c r="J40" s="95"/>
      <c r="K40" s="96"/>
      <c r="L40" s="97">
        <f t="shared" si="1"/>
        <v>7500</v>
      </c>
      <c r="M40" s="11"/>
    </row>
    <row r="41" spans="1:13" ht="15.7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/>
      <c r="H43" s="95"/>
      <c r="I43" s="147"/>
      <c r="J43" s="95"/>
      <c r="K43" s="96"/>
      <c r="L43" s="97">
        <f t="shared" si="1"/>
        <v>0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/>
      <c r="D44" s="95"/>
      <c r="E44" s="147"/>
      <c r="F44" s="95"/>
      <c r="G44" s="146">
        <v>46473</v>
      </c>
      <c r="H44" s="95"/>
      <c r="I44" s="147"/>
      <c r="J44" s="95"/>
      <c r="K44" s="96"/>
      <c r="L44" s="97">
        <f t="shared" si="1"/>
        <v>46473</v>
      </c>
      <c r="M44" s="11"/>
    </row>
    <row r="45" spans="1:13" ht="15.75" customHeight="1" x14ac:dyDescent="0.25">
      <c r="A45" s="90">
        <v>562.88</v>
      </c>
      <c r="B45" s="171" t="s">
        <v>50</v>
      </c>
      <c r="C45" s="144">
        <v>5000</v>
      </c>
      <c r="D45" s="95"/>
      <c r="E45" s="147"/>
      <c r="F45" s="95"/>
      <c r="G45" s="146">
        <v>7000</v>
      </c>
      <c r="H45" s="95"/>
      <c r="I45" s="147">
        <v>57224</v>
      </c>
      <c r="J45" s="95"/>
      <c r="K45" s="96"/>
      <c r="L45" s="97">
        <f t="shared" si="1"/>
        <v>69224</v>
      </c>
      <c r="M45" s="11"/>
    </row>
    <row r="46" spans="1:13" ht="15.75" customHeight="1" x14ac:dyDescent="0.25">
      <c r="A46" s="90">
        <v>562.9</v>
      </c>
      <c r="B46" s="171" t="s">
        <v>27</v>
      </c>
      <c r="C46" s="144"/>
      <c r="D46" s="95"/>
      <c r="E46" s="147"/>
      <c r="F46" s="95"/>
      <c r="G46" s="146"/>
      <c r="H46" s="95"/>
      <c r="I46" s="147"/>
      <c r="J46" s="95"/>
      <c r="K46" s="96"/>
      <c r="L46" s="97">
        <f t="shared" si="1"/>
        <v>0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>SUM(C5:C47)</f>
        <v>325658</v>
      </c>
      <c r="D48" s="112">
        <f>SUM(D5:D47)</f>
        <v>425011</v>
      </c>
      <c r="E48" s="158">
        <f>SUM(E5:E47)</f>
        <v>37852</v>
      </c>
      <c r="F48" s="112">
        <f>SUM(F5:F46)</f>
        <v>42000</v>
      </c>
      <c r="G48" s="157">
        <f>SUM(G5:G47)</f>
        <v>302173</v>
      </c>
      <c r="H48" s="112">
        <f>SUM(H5:H47)</f>
        <v>52760</v>
      </c>
      <c r="I48" s="158">
        <f>SUM(I5:I47)</f>
        <v>375606</v>
      </c>
      <c r="J48" s="112">
        <f>SUM(J5:J47)</f>
        <v>44513</v>
      </c>
      <c r="K48" s="113">
        <f>SUM(K5:K47)</f>
        <v>34913</v>
      </c>
      <c r="L48" s="160">
        <f>SUM(C48:K48)</f>
        <v>1640486</v>
      </c>
      <c r="M48" s="11"/>
    </row>
    <row r="49" spans="1:13" ht="15.75" customHeight="1" x14ac:dyDescent="0.25">
      <c r="A49" s="90">
        <v>523</v>
      </c>
      <c r="B49" s="488" t="s">
        <v>30</v>
      </c>
      <c r="C49" s="489">
        <v>0</v>
      </c>
      <c r="D49" s="95">
        <v>0</v>
      </c>
      <c r="E49" s="147"/>
      <c r="F49" s="95"/>
      <c r="G49" s="146"/>
      <c r="H49" s="94"/>
      <c r="I49" s="145"/>
      <c r="J49" s="95"/>
      <c r="K49" s="96"/>
      <c r="L49" s="97">
        <f t="shared" ref="L49:L59" si="2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2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>
        <v>0</v>
      </c>
      <c r="D51" s="95">
        <v>0</v>
      </c>
      <c r="E51" s="147"/>
      <c r="F51" s="95"/>
      <c r="G51" s="146"/>
      <c r="H51" s="94"/>
      <c r="I51" s="145"/>
      <c r="J51" s="95"/>
      <c r="K51" s="96"/>
      <c r="L51" s="97">
        <f t="shared" si="2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>
        <v>0</v>
      </c>
      <c r="D52" s="95">
        <v>0</v>
      </c>
      <c r="E52" s="147"/>
      <c r="F52" s="95"/>
      <c r="G52" s="146"/>
      <c r="H52" s="94"/>
      <c r="I52" s="145"/>
      <c r="J52" s="95"/>
      <c r="K52" s="96"/>
      <c r="L52" s="97">
        <f t="shared" si="2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>
        <v>0</v>
      </c>
      <c r="D53" s="95">
        <v>0</v>
      </c>
      <c r="E53" s="147"/>
      <c r="F53" s="95"/>
      <c r="G53" s="146"/>
      <c r="H53" s="94"/>
      <c r="I53" s="145"/>
      <c r="J53" s="95"/>
      <c r="K53" s="96"/>
      <c r="L53" s="97">
        <f t="shared" si="2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>
        <v>0</v>
      </c>
      <c r="D54" s="95">
        <v>0</v>
      </c>
      <c r="E54" s="147"/>
      <c r="F54" s="95"/>
      <c r="G54" s="146"/>
      <c r="H54" s="94"/>
      <c r="I54" s="145"/>
      <c r="J54" s="95"/>
      <c r="K54" s="96"/>
      <c r="L54" s="97">
        <f t="shared" si="2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>
        <v>0</v>
      </c>
      <c r="D55" s="95">
        <v>0</v>
      </c>
      <c r="E55" s="147"/>
      <c r="F55" s="95"/>
      <c r="G55" s="146"/>
      <c r="H55" s="94"/>
      <c r="I55" s="145"/>
      <c r="J55" s="95"/>
      <c r="K55" s="96"/>
      <c r="L55" s="97">
        <f t="shared" si="2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>
        <v>0</v>
      </c>
      <c r="D56" s="95">
        <v>0</v>
      </c>
      <c r="E56" s="147"/>
      <c r="F56" s="95"/>
      <c r="G56" s="146"/>
      <c r="H56" s="94"/>
      <c r="I56" s="145"/>
      <c r="J56" s="95"/>
      <c r="K56" s="96"/>
      <c r="L56" s="97">
        <f t="shared" si="2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>
        <v>0</v>
      </c>
      <c r="D57" s="95">
        <v>0</v>
      </c>
      <c r="E57" s="147"/>
      <c r="F57" s="95"/>
      <c r="G57" s="146"/>
      <c r="H57" s="94"/>
      <c r="I57" s="145"/>
      <c r="J57" s="95"/>
      <c r="K57" s="96"/>
      <c r="L57" s="97">
        <f t="shared" si="2"/>
        <v>0</v>
      </c>
      <c r="M57" s="11"/>
    </row>
    <row r="58" spans="1:13" ht="15.75" customHeight="1" x14ac:dyDescent="0.25">
      <c r="A58" s="90">
        <v>568</v>
      </c>
      <c r="B58" s="488" t="s">
        <v>38</v>
      </c>
      <c r="C58" s="489">
        <v>0</v>
      </c>
      <c r="D58" s="95">
        <v>0</v>
      </c>
      <c r="E58" s="147"/>
      <c r="F58" s="95"/>
      <c r="G58" s="146"/>
      <c r="H58" s="94"/>
      <c r="I58" s="145"/>
      <c r="J58" s="95"/>
      <c r="K58" s="96"/>
      <c r="L58" s="97">
        <f t="shared" si="2"/>
        <v>0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>
        <v>0</v>
      </c>
      <c r="D59" s="95">
        <v>0</v>
      </c>
      <c r="E59" s="147"/>
      <c r="F59" s="95"/>
      <c r="G59" s="146"/>
      <c r="H59" s="94"/>
      <c r="I59" s="145"/>
      <c r="J59" s="95"/>
      <c r="K59" s="96"/>
      <c r="L59" s="97">
        <f t="shared" si="2"/>
        <v>0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325658</v>
      </c>
      <c r="D60" s="112">
        <f>SUM(D48:D59)</f>
        <v>425011</v>
      </c>
      <c r="E60" s="158">
        <f t="shared" ref="E60:K60" si="3">SUM(E48:E59)</f>
        <v>37852</v>
      </c>
      <c r="F60" s="112">
        <f>SUM(F48:F59)</f>
        <v>42000</v>
      </c>
      <c r="G60" s="157">
        <f t="shared" si="3"/>
        <v>302173</v>
      </c>
      <c r="H60" s="111">
        <f t="shared" si="3"/>
        <v>52760</v>
      </c>
      <c r="I60" s="156">
        <f t="shared" si="3"/>
        <v>375606</v>
      </c>
      <c r="J60" s="112">
        <f t="shared" si="3"/>
        <v>44513</v>
      </c>
      <c r="K60" s="113">
        <f t="shared" si="3"/>
        <v>34913</v>
      </c>
      <c r="L60" s="492">
        <f>SUM(C60:K60)</f>
        <v>1640486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325658</v>
      </c>
      <c r="D66" s="188">
        <f>C60/L60</f>
        <v>0.19851312354997239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425011</v>
      </c>
      <c r="D67" s="191">
        <f>D60/L60</f>
        <v>0.25907627373839215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750669</v>
      </c>
      <c r="D68" s="194">
        <f>SUM(D66:D67)</f>
        <v>0.45758939728836456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37852</v>
      </c>
      <c r="D70" s="200">
        <f>E60/$L60</f>
        <v>2.3073650125633501E-2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42000</v>
      </c>
      <c r="D71" s="200">
        <f>F60/L60</f>
        <v>2.560216911329935E-2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302173</v>
      </c>
      <c r="D72" s="200">
        <f>G60/$L60</f>
        <v>0.18419724398745249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52760</v>
      </c>
      <c r="D73" s="203">
        <f>H60/$L60</f>
        <v>3.2161201009944615E-2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434785</v>
      </c>
      <c r="D74" s="194">
        <f>SUM(D70:D73)</f>
        <v>0.26503426423632997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375606</v>
      </c>
      <c r="D76" s="188">
        <f>I60/L60</f>
        <v>0.2289601983802361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44513</v>
      </c>
      <c r="D77" s="191">
        <f>J60/L60</f>
        <v>2.7134032231911763E-2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420119</v>
      </c>
      <c r="D78" s="194">
        <f>SUM(D76:D77)</f>
        <v>0.25609423061214787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34913</v>
      </c>
      <c r="D80" s="194">
        <f>K60/L60</f>
        <v>2.1282107863157627E-2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1640486</v>
      </c>
      <c r="D81" s="212">
        <f>D74+D78+D68+D80</f>
        <v>1</v>
      </c>
      <c r="E81" s="176"/>
      <c r="F81" s="176"/>
      <c r="G81" s="176"/>
      <c r="I81" s="129"/>
      <c r="J81" s="129"/>
      <c r="K81" s="176"/>
      <c r="M81" s="11"/>
    </row>
    <row r="82" spans="2:13" x14ac:dyDescent="0.25">
      <c r="C82" s="129"/>
      <c r="D82" s="129"/>
      <c r="E82" s="176"/>
      <c r="F82" s="176"/>
      <c r="G82" s="176"/>
      <c r="I82" s="129"/>
      <c r="J82" s="129"/>
      <c r="K82" s="176"/>
      <c r="M82" s="11"/>
    </row>
    <row r="83" spans="2:13" x14ac:dyDescent="0.25">
      <c r="C83" s="129"/>
      <c r="D83" s="129"/>
      <c r="E83" s="176"/>
      <c r="F83" s="176"/>
      <c r="G83" s="176"/>
      <c r="I83" s="129"/>
      <c r="J83" s="129"/>
      <c r="K83" s="176"/>
      <c r="M83" s="11"/>
    </row>
    <row r="84" spans="2:13" x14ac:dyDescent="0.25">
      <c r="C84" s="129"/>
      <c r="D84" s="129"/>
      <c r="E84" s="176"/>
      <c r="F84" s="176"/>
      <c r="G84" s="176"/>
      <c r="I84" s="129"/>
      <c r="J84" s="129"/>
      <c r="K84" s="176"/>
      <c r="M84" s="11"/>
    </row>
    <row r="85" spans="2:13" x14ac:dyDescent="0.25">
      <c r="C85" s="129"/>
      <c r="D85" s="129"/>
      <c r="E85" s="176"/>
      <c r="F85" s="176"/>
      <c r="G85" s="176"/>
      <c r="I85" s="129"/>
      <c r="J85" s="129"/>
      <c r="K85" s="176"/>
      <c r="M85" s="11"/>
    </row>
    <row r="86" spans="2:13" x14ac:dyDescent="0.25">
      <c r="C86" s="129"/>
      <c r="D86" s="129"/>
      <c r="E86" s="176"/>
      <c r="F86" s="176"/>
      <c r="G86" s="176"/>
      <c r="I86" s="129"/>
      <c r="J86" s="129"/>
      <c r="K86" s="176"/>
      <c r="M86" s="11"/>
    </row>
    <row r="87" spans="2:13" x14ac:dyDescent="0.25">
      <c r="C87" s="129"/>
      <c r="D87" s="129"/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3" priority="5">
      <formula>ROW()=EVEN(ROW())</formula>
    </cfRule>
  </conditionalFormatting>
  <conditionalFormatting sqref="L49:L59">
    <cfRule type="expression" dxfId="12" priority="3">
      <formula>ROW()=EVEN(ROW())</formula>
    </cfRule>
  </conditionalFormatting>
  <conditionalFormatting sqref="L5:L10">
    <cfRule type="expression" dxfId="11" priority="4">
      <formula>ROW()=EVEN(ROW())</formula>
    </cfRule>
  </conditionalFormatting>
  <conditionalFormatting sqref="A6:K10">
    <cfRule type="expression" dxfId="10" priority="2">
      <formula>ROW()=EVEN(ROW())</formula>
    </cfRule>
  </conditionalFormatting>
  <printOptions horizontalCentered="1"/>
  <pageMargins left="0" right="0" top="0.98" bottom="0.6" header="0.3" footer="0.3"/>
  <pageSetup scale="65" firstPageNumber="70" fitToHeight="2" orientation="landscape" useFirstPageNumber="1" r:id="rId1"/>
  <headerFooter>
    <oddHeader>&amp;C&amp;"Arial,Bold"&amp;16Expenditures by Expenditure Code and Revenue Source
2017
WALLA WALLA</oddHeader>
  </headerFooter>
  <rowBreaks count="1" manualBreakCount="1">
    <brk id="48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70" zoomScaleNormal="100" workbookViewId="0">
      <selection activeCell="E85" sqref="E85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216300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81.400000000000006</v>
      </c>
      <c r="D2" s="134"/>
      <c r="G2" s="130"/>
      <c r="H2" s="128"/>
      <c r="I2" s="128"/>
      <c r="J2" s="526" t="s">
        <v>143</v>
      </c>
      <c r="K2" s="526"/>
      <c r="L2" s="514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v>983747</v>
      </c>
      <c r="D5" s="95">
        <v>162096</v>
      </c>
      <c r="E5" s="147"/>
      <c r="F5" s="95"/>
      <c r="G5" s="146">
        <v>984301</v>
      </c>
      <c r="H5" s="95"/>
      <c r="I5" s="147">
        <v>19141</v>
      </c>
      <c r="J5" s="95">
        <v>77083</v>
      </c>
      <c r="K5" s="96">
        <v>10431</v>
      </c>
      <c r="L5" s="97">
        <f>SUM(C5:K5)</f>
        <v>2236799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/>
      <c r="G6" s="484"/>
      <c r="H6" s="482"/>
      <c r="I6" s="483"/>
      <c r="J6" s="482"/>
      <c r="K6" s="485"/>
      <c r="L6" s="97">
        <f t="shared" ref="L6:L10" si="0">SUM(C6:K6)</f>
        <v>0</v>
      </c>
      <c r="M6" s="11"/>
    </row>
    <row r="7" spans="1:13" ht="15.75" customHeight="1" x14ac:dyDescent="0.25">
      <c r="A7" s="90">
        <v>562.12</v>
      </c>
      <c r="B7" s="171" t="s">
        <v>146</v>
      </c>
      <c r="C7" s="481"/>
      <c r="D7" s="482"/>
      <c r="E7" s="483"/>
      <c r="F7" s="482"/>
      <c r="G7" s="484"/>
      <c r="H7" s="482"/>
      <c r="I7" s="483"/>
      <c r="J7" s="482"/>
      <c r="K7" s="485"/>
      <c r="L7" s="97">
        <f t="shared" si="0"/>
        <v>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>
        <v>265734</v>
      </c>
      <c r="D11" s="95"/>
      <c r="E11" s="147"/>
      <c r="F11" s="95"/>
      <c r="G11" s="146"/>
      <c r="H11" s="95">
        <v>327087</v>
      </c>
      <c r="I11" s="147">
        <v>128396</v>
      </c>
      <c r="J11" s="95">
        <v>77083</v>
      </c>
      <c r="K11" s="96">
        <v>37025</v>
      </c>
      <c r="L11" s="97">
        <f t="shared" ref="L11:L47" si="1">SUM(C11:K11)</f>
        <v>835325</v>
      </c>
      <c r="M11" s="11"/>
    </row>
    <row r="12" spans="1:13" ht="15.7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/>
      <c r="I12" s="486"/>
      <c r="J12" s="95"/>
      <c r="K12" s="96"/>
      <c r="L12" s="97">
        <f t="shared" si="1"/>
        <v>0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/>
      <c r="F13" s="95"/>
      <c r="G13" s="146"/>
      <c r="H13" s="95"/>
      <c r="I13" s="147"/>
      <c r="J13" s="95"/>
      <c r="K13" s="96"/>
      <c r="L13" s="97">
        <f t="shared" si="1"/>
        <v>0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95"/>
      <c r="K15" s="96"/>
      <c r="L15" s="97">
        <f t="shared" si="1"/>
        <v>0</v>
      </c>
      <c r="M15" s="11"/>
    </row>
    <row r="16" spans="1:13" ht="15.75" customHeight="1" x14ac:dyDescent="0.25">
      <c r="A16" s="90">
        <v>562.28</v>
      </c>
      <c r="B16" s="171" t="s">
        <v>53</v>
      </c>
      <c r="C16" s="144">
        <v>30929</v>
      </c>
      <c r="D16" s="95"/>
      <c r="E16" s="147"/>
      <c r="F16" s="95"/>
      <c r="G16" s="146"/>
      <c r="H16" s="95"/>
      <c r="I16" s="147">
        <v>345410</v>
      </c>
      <c r="J16" s="95"/>
      <c r="K16" s="96"/>
      <c r="L16" s="97">
        <f t="shared" si="1"/>
        <v>376339</v>
      </c>
      <c r="M16" s="11"/>
    </row>
    <row r="17" spans="1:13" ht="15.75" customHeight="1" x14ac:dyDescent="0.25">
      <c r="A17" s="90">
        <v>562.29</v>
      </c>
      <c r="B17" s="171" t="s">
        <v>45</v>
      </c>
      <c r="C17" s="144"/>
      <c r="D17" s="95"/>
      <c r="E17" s="147"/>
      <c r="F17" s="95"/>
      <c r="G17" s="146"/>
      <c r="H17" s="95"/>
      <c r="I17" s="147"/>
      <c r="J17" s="95"/>
      <c r="K17" s="96"/>
      <c r="L17" s="97">
        <f t="shared" si="1"/>
        <v>0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>
        <v>156846</v>
      </c>
      <c r="D18" s="95"/>
      <c r="E18" s="147"/>
      <c r="F18" s="95"/>
      <c r="G18" s="146"/>
      <c r="H18" s="95"/>
      <c r="I18" s="147">
        <v>59699</v>
      </c>
      <c r="J18" s="95">
        <v>77083</v>
      </c>
      <c r="K18" s="96">
        <v>15950</v>
      </c>
      <c r="L18" s="97">
        <f t="shared" si="1"/>
        <v>309578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/>
      <c r="D19" s="95"/>
      <c r="E19" s="147"/>
      <c r="F19" s="95"/>
      <c r="G19" s="146"/>
      <c r="H19" s="95"/>
      <c r="I19" s="147"/>
      <c r="J19" s="95"/>
      <c r="K19" s="96"/>
      <c r="L19" s="97">
        <f t="shared" si="1"/>
        <v>0</v>
      </c>
      <c r="M19" s="11"/>
    </row>
    <row r="20" spans="1:13" ht="15.75" customHeight="1" x14ac:dyDescent="0.25">
      <c r="A20" s="90">
        <v>562.34</v>
      </c>
      <c r="B20" s="171" t="s">
        <v>12</v>
      </c>
      <c r="C20" s="144">
        <v>356351</v>
      </c>
      <c r="D20" s="95"/>
      <c r="E20" s="147"/>
      <c r="F20" s="95"/>
      <c r="G20" s="146"/>
      <c r="H20" s="95"/>
      <c r="I20" s="147"/>
      <c r="J20" s="95"/>
      <c r="K20" s="96"/>
      <c r="L20" s="97">
        <f t="shared" si="1"/>
        <v>356351</v>
      </c>
      <c r="M20" s="11"/>
    </row>
    <row r="21" spans="1:13" ht="15.75" customHeight="1" x14ac:dyDescent="0.25">
      <c r="A21" s="90">
        <v>562.35</v>
      </c>
      <c r="B21" s="171" t="s">
        <v>13</v>
      </c>
      <c r="C21" s="144">
        <v>89191</v>
      </c>
      <c r="D21" s="95"/>
      <c r="E21" s="147">
        <v>27500</v>
      </c>
      <c r="F21" s="95"/>
      <c r="G21" s="146"/>
      <c r="H21" s="95"/>
      <c r="I21" s="147">
        <v>5901</v>
      </c>
      <c r="J21" s="95"/>
      <c r="K21" s="96"/>
      <c r="L21" s="97">
        <f t="shared" si="1"/>
        <v>122592</v>
      </c>
      <c r="M21" s="11"/>
    </row>
    <row r="22" spans="1:13" ht="15.75" customHeight="1" x14ac:dyDescent="0.25">
      <c r="A22" s="90">
        <v>562.39</v>
      </c>
      <c r="B22" s="171" t="s">
        <v>14</v>
      </c>
      <c r="C22" s="144">
        <v>395690</v>
      </c>
      <c r="D22" s="95"/>
      <c r="E22" s="147"/>
      <c r="F22" s="95">
        <v>120699</v>
      </c>
      <c r="G22" s="146">
        <v>50000</v>
      </c>
      <c r="H22" s="95"/>
      <c r="I22" s="147"/>
      <c r="J22" s="95"/>
      <c r="K22" s="96"/>
      <c r="L22" s="97">
        <f t="shared" si="1"/>
        <v>566389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/>
      <c r="H24" s="95"/>
      <c r="I24" s="147"/>
      <c r="J24" s="95"/>
      <c r="K24" s="96"/>
      <c r="L24" s="97">
        <f t="shared" si="1"/>
        <v>0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/>
      <c r="D26" s="95"/>
      <c r="E26" s="147"/>
      <c r="F26" s="95"/>
      <c r="G26" s="146"/>
      <c r="H26" s="95"/>
      <c r="I26" s="147"/>
      <c r="J26" s="95"/>
      <c r="K26" s="96"/>
      <c r="L26" s="97">
        <f t="shared" si="1"/>
        <v>0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.75" customHeight="1" x14ac:dyDescent="0.25">
      <c r="A28" s="90">
        <v>562.49</v>
      </c>
      <c r="B28" s="171" t="s">
        <v>46</v>
      </c>
      <c r="C28" s="144"/>
      <c r="D28" s="95"/>
      <c r="E28" s="147"/>
      <c r="F28" s="95"/>
      <c r="G28" s="146"/>
      <c r="H28" s="95"/>
      <c r="I28" s="147"/>
      <c r="J28" s="95"/>
      <c r="K28" s="96"/>
      <c r="L28" s="97">
        <f t="shared" si="1"/>
        <v>0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>
        <v>93887</v>
      </c>
      <c r="E29" s="147">
        <v>10000</v>
      </c>
      <c r="F29" s="95"/>
      <c r="G29" s="146"/>
      <c r="H29" s="95">
        <v>12000</v>
      </c>
      <c r="I29" s="147"/>
      <c r="J29" s="95"/>
      <c r="K29" s="96"/>
      <c r="L29" s="97">
        <f t="shared" si="1"/>
        <v>115887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0</v>
      </c>
      <c r="D30" s="95">
        <v>936714</v>
      </c>
      <c r="E30" s="147"/>
      <c r="F30" s="95"/>
      <c r="G30" s="146"/>
      <c r="H30" s="95">
        <v>151356</v>
      </c>
      <c r="I30" s="147"/>
      <c r="J30" s="95"/>
      <c r="K30" s="96">
        <v>66842</v>
      </c>
      <c r="L30" s="97">
        <f t="shared" si="1"/>
        <v>1154912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893273</v>
      </c>
      <c r="E31" s="147"/>
      <c r="F31" s="95"/>
      <c r="G31" s="146"/>
      <c r="H31" s="95"/>
      <c r="I31" s="147"/>
      <c r="J31" s="95"/>
      <c r="K31" s="96">
        <v>24000</v>
      </c>
      <c r="L31" s="97">
        <f t="shared" si="1"/>
        <v>917273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/>
      <c r="H32" s="95"/>
      <c r="I32" s="147"/>
      <c r="J32" s="95"/>
      <c r="K32" s="96"/>
      <c r="L32" s="97">
        <f t="shared" si="1"/>
        <v>0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>
        <v>9266</v>
      </c>
      <c r="D33" s="95">
        <v>739403</v>
      </c>
      <c r="E33" s="147">
        <v>12224</v>
      </c>
      <c r="F33" s="95"/>
      <c r="G33" s="146"/>
      <c r="H33" s="95"/>
      <c r="I33" s="147">
        <v>3837</v>
      </c>
      <c r="J33" s="95"/>
      <c r="K33" s="96"/>
      <c r="L33" s="97">
        <f t="shared" si="1"/>
        <v>764730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>
        <v>44947</v>
      </c>
      <c r="F34" s="95"/>
      <c r="G34" s="146"/>
      <c r="H34" s="95"/>
      <c r="I34" s="147"/>
      <c r="J34" s="95"/>
      <c r="K34" s="96"/>
      <c r="L34" s="97">
        <f t="shared" si="1"/>
        <v>44947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>
        <v>60981</v>
      </c>
      <c r="E35" s="147"/>
      <c r="F35" s="95"/>
      <c r="G35" s="146"/>
      <c r="H35" s="95"/>
      <c r="I35" s="147">
        <f>3400+6536</f>
        <v>9936</v>
      </c>
      <c r="J35" s="95"/>
      <c r="K35" s="96"/>
      <c r="L35" s="97">
        <f t="shared" si="1"/>
        <v>70917</v>
      </c>
      <c r="M35" s="11"/>
    </row>
    <row r="36" spans="1:13" ht="15.75" customHeight="1" x14ac:dyDescent="0.25">
      <c r="A36" s="90">
        <v>562.59</v>
      </c>
      <c r="B36" s="171" t="s">
        <v>48</v>
      </c>
      <c r="C36" s="144">
        <v>38499</v>
      </c>
      <c r="D36" s="95"/>
      <c r="E36" s="147"/>
      <c r="F36" s="95"/>
      <c r="G36" s="146"/>
      <c r="H36" s="95"/>
      <c r="I36" s="147"/>
      <c r="J36" s="95"/>
      <c r="K36" s="96"/>
      <c r="L36" s="97">
        <f t="shared" si="1"/>
        <v>38499</v>
      </c>
      <c r="M36" s="11"/>
    </row>
    <row r="37" spans="1:13" ht="15.75" customHeight="1" x14ac:dyDescent="0.25">
      <c r="A37" s="90">
        <v>562.6</v>
      </c>
      <c r="B37" s="171" t="s">
        <v>20</v>
      </c>
      <c r="C37" s="144"/>
      <c r="D37" s="95"/>
      <c r="E37" s="147"/>
      <c r="F37" s="95"/>
      <c r="G37" s="146"/>
      <c r="H37" s="95"/>
      <c r="I37" s="147"/>
      <c r="J37" s="95"/>
      <c r="K37" s="96"/>
      <c r="L37" s="97">
        <f t="shared" si="1"/>
        <v>0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99019</v>
      </c>
      <c r="E38" s="147"/>
      <c r="F38" s="95"/>
      <c r="G38" s="146"/>
      <c r="H38" s="95"/>
      <c r="I38" s="147"/>
      <c r="J38" s="95"/>
      <c r="K38" s="96"/>
      <c r="L38" s="97">
        <f t="shared" si="1"/>
        <v>99019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/>
      <c r="E39" s="147"/>
      <c r="F39" s="95"/>
      <c r="G39" s="146"/>
      <c r="H39" s="95"/>
      <c r="I39" s="147"/>
      <c r="J39" s="95"/>
      <c r="K39" s="96"/>
      <c r="L39" s="97">
        <f t="shared" si="1"/>
        <v>0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>
        <v>17669</v>
      </c>
      <c r="H40" s="95"/>
      <c r="I40" s="147"/>
      <c r="J40" s="95"/>
      <c r="K40" s="96"/>
      <c r="L40" s="97">
        <f t="shared" si="1"/>
        <v>17669</v>
      </c>
      <c r="M40" s="11"/>
    </row>
    <row r="41" spans="1:13" ht="15.7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/>
      <c r="H43" s="95"/>
      <c r="I43" s="147"/>
      <c r="J43" s="95"/>
      <c r="K43" s="96"/>
      <c r="L43" s="97">
        <f t="shared" si="1"/>
        <v>0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>
        <v>18007</v>
      </c>
      <c r="D44" s="95"/>
      <c r="E44" s="147"/>
      <c r="F44" s="95"/>
      <c r="G44" s="146">
        <v>162331</v>
      </c>
      <c r="H44" s="95"/>
      <c r="I44" s="147"/>
      <c r="J44" s="95"/>
      <c r="K44" s="96"/>
      <c r="L44" s="97">
        <f t="shared" si="1"/>
        <v>180338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/>
      <c r="H45" s="95"/>
      <c r="I45" s="147">
        <v>117122</v>
      </c>
      <c r="J45" s="95"/>
      <c r="K45" s="96"/>
      <c r="L45" s="97">
        <f t="shared" si="1"/>
        <v>117122</v>
      </c>
      <c r="M45" s="11"/>
    </row>
    <row r="46" spans="1:13" ht="15.75" customHeight="1" x14ac:dyDescent="0.25">
      <c r="A46" s="90">
        <v>562.9</v>
      </c>
      <c r="B46" s="171" t="s">
        <v>27</v>
      </c>
      <c r="C46" s="144"/>
      <c r="D46" s="95"/>
      <c r="E46" s="147"/>
      <c r="F46" s="95"/>
      <c r="G46" s="146"/>
      <c r="H46" s="95"/>
      <c r="I46" s="147"/>
      <c r="J46" s="95"/>
      <c r="K46" s="96"/>
      <c r="L46" s="97">
        <f t="shared" si="1"/>
        <v>0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2344260</v>
      </c>
      <c r="D48" s="112">
        <f t="shared" si="2"/>
        <v>2985373</v>
      </c>
      <c r="E48" s="158">
        <f t="shared" si="2"/>
        <v>94671</v>
      </c>
      <c r="F48" s="112">
        <f t="shared" si="2"/>
        <v>120699</v>
      </c>
      <c r="G48" s="157">
        <f t="shared" si="2"/>
        <v>1214301</v>
      </c>
      <c r="H48" s="112">
        <f t="shared" si="2"/>
        <v>490443</v>
      </c>
      <c r="I48" s="158">
        <f t="shared" si="2"/>
        <v>689442</v>
      </c>
      <c r="J48" s="112">
        <f t="shared" si="2"/>
        <v>231249</v>
      </c>
      <c r="K48" s="113">
        <f t="shared" si="2"/>
        <v>154248</v>
      </c>
      <c r="L48" s="160">
        <f>SUM(C48:K48)</f>
        <v>8324686</v>
      </c>
      <c r="M48" s="11"/>
    </row>
    <row r="49" spans="1:13" ht="15.75" customHeight="1" x14ac:dyDescent="0.25">
      <c r="A49" s="90">
        <v>523</v>
      </c>
      <c r="B49" s="488" t="s">
        <v>30</v>
      </c>
      <c r="C49" s="489"/>
      <c r="D49" s="95"/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/>
      <c r="D51" s="95"/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/>
      <c r="D52" s="95"/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/>
      <c r="D53" s="95"/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/>
      <c r="D54" s="95"/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/>
      <c r="D55" s="95"/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/>
      <c r="D56" s="95">
        <v>3646077</v>
      </c>
      <c r="E56" s="147"/>
      <c r="F56" s="95"/>
      <c r="G56" s="146"/>
      <c r="H56" s="94">
        <v>71375</v>
      </c>
      <c r="I56" s="145"/>
      <c r="J56" s="95"/>
      <c r="K56" s="96">
        <f>5833+434</f>
        <v>6267</v>
      </c>
      <c r="L56" s="97">
        <f t="shared" si="3"/>
        <v>3723719</v>
      </c>
      <c r="M56" s="11"/>
    </row>
    <row r="57" spans="1:13" ht="15.75" customHeight="1" x14ac:dyDescent="0.25">
      <c r="A57" s="90">
        <v>566</v>
      </c>
      <c r="B57" s="488" t="s">
        <v>37</v>
      </c>
      <c r="C57" s="489"/>
      <c r="D57" s="95">
        <v>100371</v>
      </c>
      <c r="E57" s="147"/>
      <c r="F57" s="95"/>
      <c r="G57" s="146"/>
      <c r="H57" s="94">
        <v>206463</v>
      </c>
      <c r="I57" s="145"/>
      <c r="J57" s="95">
        <v>224573</v>
      </c>
      <c r="K57" s="96">
        <v>-8852</v>
      </c>
      <c r="L57" s="97">
        <f t="shared" si="3"/>
        <v>522555</v>
      </c>
      <c r="M57" s="11"/>
    </row>
    <row r="58" spans="1:13" ht="15.75" customHeight="1" x14ac:dyDescent="0.25">
      <c r="A58" s="90">
        <v>568</v>
      </c>
      <c r="B58" s="488" t="s">
        <v>38</v>
      </c>
      <c r="C58" s="489"/>
      <c r="D58" s="95">
        <v>336925</v>
      </c>
      <c r="E58" s="147"/>
      <c r="F58" s="95"/>
      <c r="G58" s="146"/>
      <c r="H58" s="94">
        <v>3080011</v>
      </c>
      <c r="I58" s="145"/>
      <c r="J58" s="95"/>
      <c r="K58" s="96">
        <v>-343921</v>
      </c>
      <c r="L58" s="97">
        <f t="shared" si="3"/>
        <v>3073015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/>
      <c r="D59" s="95">
        <v>1632096</v>
      </c>
      <c r="E59" s="147"/>
      <c r="F59" s="95"/>
      <c r="G59" s="146"/>
      <c r="H59" s="94">
        <v>1283916</v>
      </c>
      <c r="I59" s="145"/>
      <c r="J59" s="95">
        <v>458631</v>
      </c>
      <c r="K59" s="96">
        <v>130262</v>
      </c>
      <c r="L59" s="97">
        <f t="shared" si="3"/>
        <v>3504905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2344260</v>
      </c>
      <c r="D60" s="112">
        <f>SUM(D48:D59)</f>
        <v>8700842</v>
      </c>
      <c r="E60" s="158">
        <f t="shared" ref="E60:K60" si="4">SUM(E48:E59)</f>
        <v>94671</v>
      </c>
      <c r="F60" s="112">
        <f>SUM(F48:F59)</f>
        <v>120699</v>
      </c>
      <c r="G60" s="157">
        <f t="shared" si="4"/>
        <v>1214301</v>
      </c>
      <c r="H60" s="111">
        <f t="shared" si="4"/>
        <v>5132208</v>
      </c>
      <c r="I60" s="156">
        <f t="shared" si="4"/>
        <v>689442</v>
      </c>
      <c r="J60" s="112">
        <f t="shared" si="4"/>
        <v>914453</v>
      </c>
      <c r="K60" s="113">
        <f t="shared" si="4"/>
        <v>-61996</v>
      </c>
      <c r="L60" s="492">
        <f>SUM(C60:K60)</f>
        <v>19148880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2344260</v>
      </c>
      <c r="D66" s="188">
        <f>C60/L60</f>
        <v>0.12242282577362226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8700842</v>
      </c>
      <c r="D67" s="191">
        <f>D60/L60</f>
        <v>0.45437863728844718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11045102</v>
      </c>
      <c r="D68" s="194">
        <f>SUM(D66:D67)</f>
        <v>0.57680146306206947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94671</v>
      </c>
      <c r="D70" s="200">
        <f>E60/$L60</f>
        <v>4.9439445022372063E-3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120699</v>
      </c>
      <c r="D71" s="200">
        <f>F60/L60</f>
        <v>6.3031884893529023E-3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1214301</v>
      </c>
      <c r="D72" s="200">
        <f>G60/$L60</f>
        <v>6.3413682680135863E-2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5132208</v>
      </c>
      <c r="D73" s="203">
        <f>H60/$L60</f>
        <v>0.26801609284720568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6561879</v>
      </c>
      <c r="D74" s="194">
        <f>SUM(D70:D73)</f>
        <v>0.34267690851893162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689442</v>
      </c>
      <c r="D76" s="188">
        <f>I60/L60</f>
        <v>3.6004298945943577E-2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914453</v>
      </c>
      <c r="D77" s="191">
        <f>J60/L60</f>
        <v>4.7754907858840831E-2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1603895</v>
      </c>
      <c r="D78" s="194">
        <f>SUM(D76:D77)</f>
        <v>8.3759206804784408E-2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>
        <v>0</v>
      </c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-61996</v>
      </c>
      <c r="D80" s="194">
        <f>K60/L60</f>
        <v>-3.2375783857854874E-3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19148880</v>
      </c>
      <c r="D81" s="212">
        <f>D74+D78+D68+D80</f>
        <v>0.99999999999999989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L59 A11:B59">
    <cfRule type="expression" dxfId="9" priority="5">
      <formula>ROW()=EVEN(ROW())</formula>
    </cfRule>
  </conditionalFormatting>
  <conditionalFormatting sqref="L5:L10">
    <cfRule type="expression" dxfId="8" priority="4">
      <formula>ROW()=EVEN(ROW())</formula>
    </cfRule>
  </conditionalFormatting>
  <conditionalFormatting sqref="A6:K10">
    <cfRule type="expression" dxfId="7" priority="2">
      <formula>ROW()=EVEN(ROW())</formula>
    </cfRule>
  </conditionalFormatting>
  <printOptions horizontalCentered="1"/>
  <pageMargins left="0" right="0" top="0.98" bottom="0.6" header="0.3" footer="0.3"/>
  <pageSetup scale="65" firstPageNumber="72" fitToHeight="2" orientation="landscape" useFirstPageNumber="1" r:id="rId1"/>
  <headerFooter>
    <oddHeader>&amp;C&amp;"Arial,Bold"&amp;16Expenditures by Expenditure Code and Revenue Source
2017
WHATCOM</oddHeader>
  </headerFooter>
  <rowBreaks count="1" manualBreakCount="1">
    <brk id="48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zoomScaleNormal="100" workbookViewId="0">
      <selection activeCell="E6" sqref="E6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48640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10.8</v>
      </c>
      <c r="D2" s="134"/>
      <c r="G2" s="130"/>
      <c r="H2" s="128"/>
      <c r="I2" s="128"/>
      <c r="J2" s="526" t="s">
        <v>143</v>
      </c>
      <c r="K2" s="526"/>
      <c r="L2" s="515" t="s">
        <v>137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>
        <v>53399</v>
      </c>
      <c r="D5" s="95">
        <v>66122</v>
      </c>
      <c r="E5" s="147"/>
      <c r="F5" s="95">
        <v>42000</v>
      </c>
      <c r="G5" s="146">
        <v>126062</v>
      </c>
      <c r="H5" s="95"/>
      <c r="I5" s="147">
        <v>29246</v>
      </c>
      <c r="J5" s="95">
        <v>25223</v>
      </c>
      <c r="K5" s="96">
        <v>888</v>
      </c>
      <c r="L5" s="97">
        <f>SUM(C5:K5)</f>
        <v>342940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/>
      <c r="G6" s="484"/>
      <c r="H6" s="482"/>
      <c r="I6" s="483"/>
      <c r="J6" s="482"/>
      <c r="K6" s="485"/>
      <c r="L6" s="97">
        <f t="shared" ref="L6:L10" si="0">SUM(C6:K6)</f>
        <v>0</v>
      </c>
      <c r="M6" s="11"/>
    </row>
    <row r="7" spans="1:13" ht="15.75" customHeight="1" x14ac:dyDescent="0.25">
      <c r="A7" s="90">
        <v>562.12</v>
      </c>
      <c r="B7" s="171" t="s">
        <v>146</v>
      </c>
      <c r="C7" s="481"/>
      <c r="D7" s="482"/>
      <c r="E7" s="483"/>
      <c r="F7" s="482"/>
      <c r="G7" s="484"/>
      <c r="H7" s="482"/>
      <c r="I7" s="483"/>
      <c r="J7" s="482"/>
      <c r="K7" s="485"/>
      <c r="L7" s="97">
        <f t="shared" si="0"/>
        <v>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/>
      <c r="D11" s="95">
        <v>1129</v>
      </c>
      <c r="E11" s="147"/>
      <c r="F11" s="95"/>
      <c r="G11" s="146"/>
      <c r="H11" s="95"/>
      <c r="I11" s="147">
        <v>20077</v>
      </c>
      <c r="J11" s="95">
        <v>2287</v>
      </c>
      <c r="K11" s="96">
        <v>2500</v>
      </c>
      <c r="L11" s="97">
        <f t="shared" ref="L11:L47" si="1">SUM(C11:K11)</f>
        <v>25993</v>
      </c>
      <c r="M11" s="11"/>
    </row>
    <row r="12" spans="1:13" ht="15.7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/>
      <c r="I12" s="486"/>
      <c r="J12" s="95"/>
      <c r="K12" s="96"/>
      <c r="L12" s="97">
        <f t="shared" si="1"/>
        <v>0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/>
      <c r="F13" s="95"/>
      <c r="G13" s="146"/>
      <c r="H13" s="95"/>
      <c r="I13" s="147">
        <v>6099</v>
      </c>
      <c r="J13" s="95"/>
      <c r="K13" s="96"/>
      <c r="L13" s="97">
        <f t="shared" si="1"/>
        <v>6099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95"/>
      <c r="K15" s="96"/>
      <c r="L15" s="97">
        <f t="shared" si="1"/>
        <v>0</v>
      </c>
      <c r="M15" s="11"/>
    </row>
    <row r="16" spans="1:13" ht="15.75" customHeight="1" x14ac:dyDescent="0.25">
      <c r="A16" s="90">
        <v>562.28</v>
      </c>
      <c r="B16" s="171" t="s">
        <v>53</v>
      </c>
      <c r="C16" s="144"/>
      <c r="D16" s="95"/>
      <c r="E16" s="147"/>
      <c r="F16" s="95"/>
      <c r="G16" s="146"/>
      <c r="H16" s="95"/>
      <c r="I16" s="147">
        <v>133000</v>
      </c>
      <c r="J16" s="95"/>
      <c r="K16" s="96"/>
      <c r="L16" s="97">
        <f t="shared" si="1"/>
        <v>133000</v>
      </c>
      <c r="M16" s="11"/>
    </row>
    <row r="17" spans="1:13" ht="15.75" customHeight="1" x14ac:dyDescent="0.25">
      <c r="A17" s="90">
        <v>562.29</v>
      </c>
      <c r="B17" s="171" t="s">
        <v>45</v>
      </c>
      <c r="C17" s="144"/>
      <c r="D17" s="95">
        <v>12137</v>
      </c>
      <c r="E17" s="147"/>
      <c r="F17" s="95"/>
      <c r="G17" s="146">
        <v>11026</v>
      </c>
      <c r="H17" s="95"/>
      <c r="I17" s="147"/>
      <c r="J17" s="95"/>
      <c r="K17" s="96"/>
      <c r="L17" s="97">
        <f t="shared" si="1"/>
        <v>23163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/>
      <c r="D18" s="95">
        <v>3199</v>
      </c>
      <c r="E18" s="147"/>
      <c r="F18" s="95"/>
      <c r="G18" s="146">
        <v>11588</v>
      </c>
      <c r="H18" s="95"/>
      <c r="I18" s="147">
        <f>171+480</f>
        <v>651</v>
      </c>
      <c r="J18" s="95"/>
      <c r="K18" s="96"/>
      <c r="L18" s="97">
        <f t="shared" si="1"/>
        <v>15438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/>
      <c r="D19" s="95"/>
      <c r="E19" s="147"/>
      <c r="F19" s="95"/>
      <c r="G19" s="146">
        <v>8781</v>
      </c>
      <c r="H19" s="95"/>
      <c r="I19" s="147"/>
      <c r="J19" s="95"/>
      <c r="K19" s="96"/>
      <c r="L19" s="97">
        <f t="shared" si="1"/>
        <v>8781</v>
      </c>
      <c r="M19" s="11"/>
    </row>
    <row r="20" spans="1:13" ht="15.75" customHeight="1" x14ac:dyDescent="0.25">
      <c r="A20" s="90">
        <v>562.34</v>
      </c>
      <c r="B20" s="171" t="s">
        <v>12</v>
      </c>
      <c r="C20" s="144"/>
      <c r="D20" s="95">
        <v>3112</v>
      </c>
      <c r="E20" s="147"/>
      <c r="F20" s="95"/>
      <c r="G20" s="146">
        <v>1062</v>
      </c>
      <c r="H20" s="95"/>
      <c r="I20" s="147"/>
      <c r="J20" s="95"/>
      <c r="K20" s="96"/>
      <c r="L20" s="97">
        <f t="shared" si="1"/>
        <v>4174</v>
      </c>
      <c r="M20" s="11"/>
    </row>
    <row r="21" spans="1:13" ht="15.75" customHeight="1" x14ac:dyDescent="0.25">
      <c r="A21" s="90">
        <v>562.35</v>
      </c>
      <c r="B21" s="171" t="s">
        <v>13</v>
      </c>
      <c r="C21" s="144"/>
      <c r="D21" s="95">
        <f>175+683</f>
        <v>858</v>
      </c>
      <c r="E21" s="147"/>
      <c r="F21" s="95"/>
      <c r="G21" s="146"/>
      <c r="H21" s="95"/>
      <c r="I21" s="147"/>
      <c r="J21" s="95"/>
      <c r="K21" s="96"/>
      <c r="L21" s="97">
        <f t="shared" si="1"/>
        <v>858</v>
      </c>
      <c r="M21" s="11"/>
    </row>
    <row r="22" spans="1:13" ht="15.75" customHeight="1" x14ac:dyDescent="0.25">
      <c r="A22" s="90">
        <v>562.39</v>
      </c>
      <c r="B22" s="171" t="s">
        <v>14</v>
      </c>
      <c r="C22" s="144"/>
      <c r="D22" s="95"/>
      <c r="E22" s="147"/>
      <c r="F22" s="95"/>
      <c r="G22" s="146">
        <v>2257</v>
      </c>
      <c r="H22" s="95"/>
      <c r="I22" s="147"/>
      <c r="J22" s="95"/>
      <c r="K22" s="96"/>
      <c r="L22" s="97">
        <f t="shared" si="1"/>
        <v>2257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/>
      <c r="H24" s="95"/>
      <c r="I24" s="147"/>
      <c r="J24" s="95"/>
      <c r="K24" s="96"/>
      <c r="L24" s="97">
        <f t="shared" si="1"/>
        <v>0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/>
      <c r="F25" s="95"/>
      <c r="G25" s="146"/>
      <c r="H25" s="95"/>
      <c r="I25" s="147"/>
      <c r="J25" s="95"/>
      <c r="K25" s="96"/>
      <c r="L25" s="97">
        <f t="shared" si="1"/>
        <v>0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/>
      <c r="D26" s="95"/>
      <c r="E26" s="147"/>
      <c r="F26" s="95"/>
      <c r="G26" s="146">
        <v>629</v>
      </c>
      <c r="H26" s="95"/>
      <c r="I26" s="147"/>
      <c r="J26" s="95"/>
      <c r="K26" s="96"/>
      <c r="L26" s="97">
        <f t="shared" si="1"/>
        <v>629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.75" customHeight="1" x14ac:dyDescent="0.25">
      <c r="A28" s="90">
        <v>562.49</v>
      </c>
      <c r="B28" s="171" t="s">
        <v>46</v>
      </c>
      <c r="C28" s="144"/>
      <c r="D28" s="95"/>
      <c r="E28" s="147"/>
      <c r="F28" s="95"/>
      <c r="G28" s="146"/>
      <c r="H28" s="95"/>
      <c r="I28" s="147"/>
      <c r="J28" s="95"/>
      <c r="K28" s="96"/>
      <c r="L28" s="97">
        <f t="shared" si="1"/>
        <v>0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>
        <v>1200</v>
      </c>
      <c r="E29" s="147"/>
      <c r="F29" s="95"/>
      <c r="G29" s="146">
        <v>6567</v>
      </c>
      <c r="H29" s="95"/>
      <c r="I29" s="147"/>
      <c r="J29" s="95"/>
      <c r="K29" s="96"/>
      <c r="L29" s="97">
        <f t="shared" si="1"/>
        <v>7767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0</v>
      </c>
      <c r="D30" s="95">
        <v>3541</v>
      </c>
      <c r="E30" s="147"/>
      <c r="F30" s="95"/>
      <c r="G30" s="146"/>
      <c r="H30" s="95">
        <v>6597</v>
      </c>
      <c r="I30" s="147"/>
      <c r="J30" s="95"/>
      <c r="K30" s="96"/>
      <c r="L30" s="97">
        <f t="shared" si="1"/>
        <v>10138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38041</v>
      </c>
      <c r="E31" s="147"/>
      <c r="F31" s="95"/>
      <c r="G31" s="146">
        <v>6105</v>
      </c>
      <c r="H31" s="95"/>
      <c r="I31" s="147"/>
      <c r="J31" s="95"/>
      <c r="K31" s="96"/>
      <c r="L31" s="97">
        <f t="shared" si="1"/>
        <v>44146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/>
      <c r="H32" s="95"/>
      <c r="I32" s="147"/>
      <c r="J32" s="95"/>
      <c r="K32" s="96"/>
      <c r="L32" s="97">
        <f t="shared" si="1"/>
        <v>0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/>
      <c r="D33" s="95">
        <v>59382</v>
      </c>
      <c r="E33" s="147"/>
      <c r="F33" s="95"/>
      <c r="G33" s="146"/>
      <c r="H33" s="95"/>
      <c r="I33" s="147"/>
      <c r="J33" s="95">
        <v>2500</v>
      </c>
      <c r="K33" s="96">
        <v>40</v>
      </c>
      <c r="L33" s="97">
        <f t="shared" si="1"/>
        <v>61922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>
        <f>2053+5500</f>
        <v>7553</v>
      </c>
      <c r="E35" s="147"/>
      <c r="F35" s="95"/>
      <c r="G35" s="146"/>
      <c r="H35" s="95"/>
      <c r="I35" s="147"/>
      <c r="J35" s="95"/>
      <c r="K35" s="96"/>
      <c r="L35" s="97">
        <f t="shared" si="1"/>
        <v>7553</v>
      </c>
      <c r="M35" s="11"/>
    </row>
    <row r="36" spans="1:13" ht="15.75" customHeight="1" x14ac:dyDescent="0.25">
      <c r="A36" s="90">
        <v>562.59</v>
      </c>
      <c r="B36" s="171" t="s">
        <v>48</v>
      </c>
      <c r="C36" s="144"/>
      <c r="D36" s="95"/>
      <c r="E36" s="147"/>
      <c r="F36" s="95"/>
      <c r="G36" s="146"/>
      <c r="H36" s="95"/>
      <c r="I36" s="147"/>
      <c r="J36" s="95"/>
      <c r="K36" s="96"/>
      <c r="L36" s="97">
        <f t="shared" si="1"/>
        <v>0</v>
      </c>
      <c r="M36" s="11"/>
    </row>
    <row r="37" spans="1:13" ht="15.75" customHeight="1" x14ac:dyDescent="0.25">
      <c r="A37" s="90">
        <v>562.6</v>
      </c>
      <c r="B37" s="171" t="s">
        <v>20</v>
      </c>
      <c r="C37" s="144"/>
      <c r="D37" s="95"/>
      <c r="E37" s="147"/>
      <c r="F37" s="95"/>
      <c r="G37" s="146"/>
      <c r="H37" s="95"/>
      <c r="I37" s="147"/>
      <c r="J37" s="95"/>
      <c r="K37" s="96"/>
      <c r="L37" s="97">
        <f t="shared" si="1"/>
        <v>0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17786</v>
      </c>
      <c r="E38" s="147"/>
      <c r="F38" s="95"/>
      <c r="G38" s="146">
        <v>15278</v>
      </c>
      <c r="H38" s="95"/>
      <c r="I38" s="147"/>
      <c r="J38" s="95"/>
      <c r="K38" s="96"/>
      <c r="L38" s="97">
        <f t="shared" si="1"/>
        <v>33064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/>
      <c r="E39" s="147"/>
      <c r="F39" s="95"/>
      <c r="G39" s="146"/>
      <c r="H39" s="95"/>
      <c r="I39" s="147"/>
      <c r="J39" s="95"/>
      <c r="K39" s="96"/>
      <c r="L39" s="97">
        <f t="shared" si="1"/>
        <v>0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/>
      <c r="H40" s="95"/>
      <c r="I40" s="147"/>
      <c r="J40" s="95"/>
      <c r="K40" s="96"/>
      <c r="L40" s="97">
        <f t="shared" si="1"/>
        <v>0</v>
      </c>
      <c r="M40" s="11"/>
    </row>
    <row r="41" spans="1:13" ht="15.7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/>
      <c r="H43" s="95"/>
      <c r="I43" s="147"/>
      <c r="J43" s="95"/>
      <c r="K43" s="96"/>
      <c r="L43" s="97">
        <f t="shared" si="1"/>
        <v>0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/>
      <c r="D44" s="95"/>
      <c r="E44" s="147"/>
      <c r="F44" s="95"/>
      <c r="G44" s="146"/>
      <c r="H44" s="95"/>
      <c r="I44" s="147"/>
      <c r="J44" s="95"/>
      <c r="K44" s="96"/>
      <c r="L44" s="97">
        <f t="shared" si="1"/>
        <v>0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/>
      <c r="H45" s="95"/>
      <c r="I45" s="147">
        <v>5931</v>
      </c>
      <c r="J45" s="95"/>
      <c r="K45" s="96"/>
      <c r="L45" s="97">
        <f t="shared" si="1"/>
        <v>5931</v>
      </c>
      <c r="M45" s="11"/>
    </row>
    <row r="46" spans="1:13" ht="15.75" customHeight="1" x14ac:dyDescent="0.25">
      <c r="A46" s="90">
        <v>562.9</v>
      </c>
      <c r="B46" s="171" t="s">
        <v>27</v>
      </c>
      <c r="C46" s="144"/>
      <c r="D46" s="95"/>
      <c r="E46" s="147"/>
      <c r="F46" s="95"/>
      <c r="G46" s="146"/>
      <c r="H46" s="95"/>
      <c r="I46" s="147"/>
      <c r="J46" s="95"/>
      <c r="K46" s="96"/>
      <c r="L46" s="97">
        <f t="shared" si="1"/>
        <v>0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53399</v>
      </c>
      <c r="D48" s="112">
        <f t="shared" si="2"/>
        <v>214060</v>
      </c>
      <c r="E48" s="513" t="s">
        <v>154</v>
      </c>
      <c r="F48" s="112">
        <f t="shared" si="2"/>
        <v>42000</v>
      </c>
      <c r="G48" s="157">
        <f t="shared" si="2"/>
        <v>189355</v>
      </c>
      <c r="H48" s="112">
        <f t="shared" si="2"/>
        <v>6597</v>
      </c>
      <c r="I48" s="158">
        <f t="shared" si="2"/>
        <v>195004</v>
      </c>
      <c r="J48" s="112">
        <f t="shared" si="2"/>
        <v>30010</v>
      </c>
      <c r="K48" s="113">
        <f t="shared" si="2"/>
        <v>3428</v>
      </c>
      <c r="L48" s="160">
        <f>SUM(C48:K48)</f>
        <v>733853</v>
      </c>
      <c r="M48" s="11"/>
    </row>
    <row r="49" spans="1:13" ht="15.75" customHeight="1" x14ac:dyDescent="0.25">
      <c r="A49" s="90">
        <v>523</v>
      </c>
      <c r="B49" s="488" t="s">
        <v>30</v>
      </c>
      <c r="C49" s="489">
        <v>0</v>
      </c>
      <c r="D49" s="95">
        <v>0</v>
      </c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>
        <v>0</v>
      </c>
      <c r="D51" s="95">
        <v>0</v>
      </c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>
        <v>0</v>
      </c>
      <c r="D52" s="95">
        <v>0</v>
      </c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>
        <v>0</v>
      </c>
      <c r="D53" s="95">
        <v>0</v>
      </c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>
        <v>0</v>
      </c>
      <c r="D54" s="95">
        <v>0</v>
      </c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>
        <v>0</v>
      </c>
      <c r="D55" s="95">
        <v>0</v>
      </c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>
        <v>0</v>
      </c>
      <c r="D56" s="95">
        <v>0</v>
      </c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>
        <v>0</v>
      </c>
      <c r="D57" s="95">
        <v>0</v>
      </c>
      <c r="E57" s="147"/>
      <c r="F57" s="95"/>
      <c r="G57" s="146"/>
      <c r="H57" s="94"/>
      <c r="I57" s="145"/>
      <c r="J57" s="95"/>
      <c r="K57" s="96"/>
      <c r="L57" s="97">
        <f t="shared" si="3"/>
        <v>0</v>
      </c>
      <c r="M57" s="11"/>
    </row>
    <row r="58" spans="1:13" ht="15.75" customHeight="1" x14ac:dyDescent="0.25">
      <c r="A58" s="90">
        <v>568</v>
      </c>
      <c r="B58" s="488" t="s">
        <v>38</v>
      </c>
      <c r="C58" s="489">
        <v>0</v>
      </c>
      <c r="D58" s="95">
        <v>0</v>
      </c>
      <c r="E58" s="147"/>
      <c r="F58" s="95"/>
      <c r="G58" s="146"/>
      <c r="H58" s="94"/>
      <c r="I58" s="145"/>
      <c r="J58" s="95"/>
      <c r="K58" s="96"/>
      <c r="L58" s="97">
        <f t="shared" si="3"/>
        <v>0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>
        <v>0</v>
      </c>
      <c r="D59" s="95">
        <v>0</v>
      </c>
      <c r="E59" s="147"/>
      <c r="F59" s="95"/>
      <c r="G59" s="146"/>
      <c r="H59" s="94"/>
      <c r="I59" s="145"/>
      <c r="J59" s="95"/>
      <c r="K59" s="96"/>
      <c r="L59" s="97">
        <f t="shared" si="3"/>
        <v>0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53399</v>
      </c>
      <c r="D60" s="112">
        <f>SUM(D48:D59)</f>
        <v>214060</v>
      </c>
      <c r="E60" s="513" t="s">
        <v>154</v>
      </c>
      <c r="F60" s="112">
        <f>SUM(F48:F59)</f>
        <v>42000</v>
      </c>
      <c r="G60" s="157">
        <f t="shared" ref="G60:K60" si="4">SUM(G48:G59)</f>
        <v>189355</v>
      </c>
      <c r="H60" s="111">
        <f t="shared" si="4"/>
        <v>6597</v>
      </c>
      <c r="I60" s="156">
        <f t="shared" si="4"/>
        <v>195004</v>
      </c>
      <c r="J60" s="112">
        <f t="shared" si="4"/>
        <v>30010</v>
      </c>
      <c r="K60" s="113">
        <f t="shared" si="4"/>
        <v>3428</v>
      </c>
      <c r="L60" s="492">
        <f>SUM(C60:K60)</f>
        <v>733853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53399</v>
      </c>
      <c r="D66" s="188">
        <f>C60/L60</f>
        <v>7.2765254076770147E-2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214060</v>
      </c>
      <c r="D67" s="191">
        <f>D60/L60</f>
        <v>0.29169329552376294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267459</v>
      </c>
      <c r="D68" s="194">
        <f>SUM(D66:D67)</f>
        <v>0.36445854960053309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502" t="str">
        <f>E60</f>
        <v>0</v>
      </c>
      <c r="D70" s="503" t="s">
        <v>155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42000</v>
      </c>
      <c r="D71" s="200">
        <f>F60/L60</f>
        <v>5.723217047555846E-2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189355</v>
      </c>
      <c r="D72" s="200">
        <f>G60/$L60</f>
        <v>0.25802851524760406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6597</v>
      </c>
      <c r="D73" s="203">
        <f>H60/$L60</f>
        <v>8.9895387768395025E-3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237952</v>
      </c>
      <c r="D74" s="194">
        <f>SUM(D70:D73)</f>
        <v>0.32425022450000202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195004</v>
      </c>
      <c r="D76" s="188">
        <f>I60/L60</f>
        <v>0.26572624217656671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30010</v>
      </c>
      <c r="D77" s="191">
        <f>J60/L60</f>
        <v>4.0893748475512123E-2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225014</v>
      </c>
      <c r="D78" s="194">
        <f>SUM(D76:D77)</f>
        <v>0.30661999065207884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3428</v>
      </c>
      <c r="D80" s="194">
        <f>K60/L60</f>
        <v>4.6712352473860571E-3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733853</v>
      </c>
      <c r="D81" s="212">
        <f>D74+D78+D68+D80</f>
        <v>1</v>
      </c>
      <c r="E81" s="176"/>
      <c r="F81" s="176"/>
      <c r="G81" s="176"/>
      <c r="I81" s="129"/>
      <c r="J81" s="129"/>
      <c r="K81" s="176"/>
      <c r="M81" s="11"/>
    </row>
    <row r="82" spans="2:13" x14ac:dyDescent="0.25">
      <c r="C82" s="129"/>
      <c r="D82" s="129"/>
      <c r="E82" s="176"/>
      <c r="F82" s="176"/>
      <c r="G82" s="176"/>
      <c r="I82" s="129"/>
      <c r="J82" s="129"/>
      <c r="K82" s="176"/>
      <c r="M82" s="11"/>
    </row>
    <row r="83" spans="2:13" x14ac:dyDescent="0.25">
      <c r="C83" s="129"/>
      <c r="D83" s="129"/>
      <c r="E83" s="176"/>
      <c r="F83" s="176"/>
      <c r="G83" s="176"/>
      <c r="I83" s="129"/>
      <c r="J83" s="129"/>
      <c r="K83" s="176"/>
      <c r="M83" s="11"/>
    </row>
    <row r="84" spans="2:13" x14ac:dyDescent="0.25">
      <c r="C84" s="129"/>
      <c r="D84" s="129"/>
      <c r="E84" s="176"/>
      <c r="F84" s="176"/>
      <c r="G84" s="176"/>
      <c r="I84" s="129"/>
      <c r="J84" s="129"/>
      <c r="K84" s="176"/>
      <c r="M84" s="11"/>
    </row>
    <row r="85" spans="2:13" x14ac:dyDescent="0.25">
      <c r="C85" s="129"/>
      <c r="D85" s="129"/>
      <c r="E85" s="176"/>
      <c r="F85" s="176"/>
      <c r="G85" s="176"/>
      <c r="I85" s="129"/>
      <c r="J85" s="129"/>
      <c r="K85" s="176"/>
      <c r="M85" s="11"/>
    </row>
    <row r="86" spans="2:13" x14ac:dyDescent="0.25">
      <c r="C86" s="129"/>
      <c r="D86" s="129"/>
      <c r="E86" s="176"/>
      <c r="F86" s="176"/>
      <c r="G86" s="176"/>
      <c r="I86" s="129"/>
      <c r="J86" s="129"/>
      <c r="K86" s="176"/>
      <c r="M86" s="11"/>
    </row>
    <row r="87" spans="2:13" x14ac:dyDescent="0.25">
      <c r="C87" s="129"/>
      <c r="D87" s="129"/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6" priority="5">
      <formula>ROW()=EVEN(ROW())</formula>
    </cfRule>
  </conditionalFormatting>
  <conditionalFormatting sqref="L49:L59">
    <cfRule type="expression" dxfId="5" priority="3">
      <formula>ROW()=EVEN(ROW())</formula>
    </cfRule>
  </conditionalFormatting>
  <conditionalFormatting sqref="L5:L10">
    <cfRule type="expression" dxfId="4" priority="4">
      <formula>ROW()=EVEN(ROW())</formula>
    </cfRule>
  </conditionalFormatting>
  <conditionalFormatting sqref="A6:K10">
    <cfRule type="expression" dxfId="3" priority="2">
      <formula>ROW()=EVEN(ROW())</formula>
    </cfRule>
  </conditionalFormatting>
  <printOptions horizontalCentered="1"/>
  <pageMargins left="0" right="0" top="0.98" bottom="0.6" header="0.3" footer="0.3"/>
  <pageSetup scale="65" firstPageNumber="74" fitToHeight="2" orientation="landscape" useFirstPageNumber="1" r:id="rId1"/>
  <headerFooter>
    <oddHeader>&amp;C&amp;"Arial,Bold"&amp;16Expenditures by Expenditure Code and Revenue Source
2017
WHITMAN</oddHeader>
  </headerFooter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1"/>
  <sheetViews>
    <sheetView view="pageLayout" zoomScaleNormal="100" workbookViewId="0">
      <selection activeCell="H56" sqref="H56"/>
    </sheetView>
  </sheetViews>
  <sheetFormatPr defaultColWidth="9.140625" defaultRowHeight="12.75" x14ac:dyDescent="0.2"/>
  <cols>
    <col min="1" max="1" width="9" style="8" customWidth="1"/>
    <col min="2" max="2" width="30.42578125" style="8" bestFit="1" customWidth="1"/>
    <col min="3" max="3" width="15.28515625" style="8" customWidth="1"/>
    <col min="4" max="4" width="18.7109375" style="8" customWidth="1"/>
    <col min="5" max="5" width="9.140625" style="8" customWidth="1"/>
    <col min="6" max="6" width="10.42578125" style="8" customWidth="1"/>
    <col min="7" max="7" width="11.7109375" style="8" customWidth="1"/>
    <col min="8" max="8" width="12.5703125" style="8" customWidth="1"/>
    <col min="9" max="9" width="11.7109375" style="8" bestFit="1" customWidth="1"/>
    <col min="10" max="10" width="13.5703125" style="8" customWidth="1"/>
    <col min="11" max="12" width="9.140625" style="8" customWidth="1"/>
    <col min="13" max="13" width="12.140625" style="8" customWidth="1"/>
    <col min="14" max="14" width="8.7109375" style="8" customWidth="1"/>
    <col min="15" max="15" width="9.140625" style="8" customWidth="1"/>
    <col min="16" max="16" width="8.140625" style="8" customWidth="1"/>
    <col min="17" max="17" width="9.140625" style="8" customWidth="1"/>
    <col min="18" max="16384" width="9.140625" style="8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18" ht="12.75" customHeight="1" x14ac:dyDescent="0.2"/>
    <row r="34" spans="2:18" ht="12.75" customHeight="1" x14ac:dyDescent="0.2"/>
    <row r="35" spans="2:18" ht="12.75" customHeight="1" x14ac:dyDescent="0.2"/>
    <row r="36" spans="2:18" ht="12.75" customHeight="1" x14ac:dyDescent="0.2"/>
    <row r="37" spans="2:18" ht="12.75" customHeight="1" x14ac:dyDescent="0.2"/>
    <row r="38" spans="2:18" ht="12.75" customHeight="1" x14ac:dyDescent="0.2"/>
    <row r="39" spans="2:18" ht="12.75" customHeight="1" x14ac:dyDescent="0.2"/>
    <row r="40" spans="2:18" ht="12.75" customHeight="1" x14ac:dyDescent="0.2"/>
    <row r="41" spans="2:18" ht="12.75" customHeight="1" thickBot="1" x14ac:dyDescent="0.25"/>
    <row r="42" spans="2:18" ht="12.75" customHeight="1" thickBot="1" x14ac:dyDescent="0.25">
      <c r="B42" s="47" t="s">
        <v>71</v>
      </c>
      <c r="C42" s="48"/>
      <c r="D42" s="49"/>
    </row>
    <row r="43" spans="2:18" ht="12.75" customHeight="1" x14ac:dyDescent="0.2">
      <c r="B43" s="51"/>
      <c r="C43" s="50" t="s">
        <v>42</v>
      </c>
      <c r="D43" s="52" t="s">
        <v>39</v>
      </c>
      <c r="R43" s="17"/>
    </row>
    <row r="44" spans="2:18" ht="12.75" customHeight="1" x14ac:dyDescent="0.2">
      <c r="B44" s="53" t="s">
        <v>69</v>
      </c>
      <c r="C44" s="44"/>
      <c r="D44" s="54"/>
      <c r="R44" s="17"/>
    </row>
    <row r="45" spans="2:18" ht="12.75" customHeight="1" x14ac:dyDescent="0.2">
      <c r="B45" s="55" t="s">
        <v>62</v>
      </c>
      <c r="C45" s="45">
        <f>'LHJ Summary Pg 3-Do Not Input'!E40</f>
        <v>118271982</v>
      </c>
      <c r="D45" s="56">
        <f>C45/C60</f>
        <v>0.28347918656724158</v>
      </c>
      <c r="F45" s="9"/>
      <c r="R45" s="17"/>
    </row>
    <row r="46" spans="2:18" ht="12.75" customHeight="1" x14ac:dyDescent="0.2">
      <c r="B46" s="55" t="s">
        <v>6</v>
      </c>
      <c r="C46" s="45">
        <f>'LHJ Summary Pg 3-Do Not Input'!F40</f>
        <v>142386553</v>
      </c>
      <c r="D46" s="56">
        <f>C46/C60</f>
        <v>0.34127798942739823</v>
      </c>
      <c r="F46" s="9"/>
      <c r="R46" s="17"/>
    </row>
    <row r="47" spans="2:18" ht="12.75" customHeight="1" thickBot="1" x14ac:dyDescent="0.25">
      <c r="B47" s="62" t="s">
        <v>158</v>
      </c>
      <c r="C47" s="60">
        <f>SUM(C45:C46)</f>
        <v>260658535</v>
      </c>
      <c r="D47" s="61">
        <f>SUM(D45:D46)</f>
        <v>0.62475717599463976</v>
      </c>
      <c r="F47" s="10"/>
      <c r="R47" s="17"/>
    </row>
    <row r="48" spans="2:18" ht="12.75" customHeight="1" x14ac:dyDescent="0.2">
      <c r="B48" s="63" t="s">
        <v>109</v>
      </c>
      <c r="C48" s="64"/>
      <c r="D48" s="65"/>
      <c r="R48" s="17"/>
    </row>
    <row r="49" spans="2:18" ht="12.75" customHeight="1" x14ac:dyDescent="0.2">
      <c r="B49" s="57" t="s">
        <v>1</v>
      </c>
      <c r="C49" s="46">
        <f>'LHJ Summary Pg 3-Do Not Input'!G40</f>
        <v>10180855</v>
      </c>
      <c r="D49" s="58">
        <f>C49/C60</f>
        <v>2.4401895065553517E-2</v>
      </c>
      <c r="R49" s="17"/>
    </row>
    <row r="50" spans="2:18" ht="12.75" customHeight="1" x14ac:dyDescent="0.2">
      <c r="B50" s="57" t="s">
        <v>157</v>
      </c>
      <c r="C50" s="46">
        <f>'LHJ Summary Pg 3-Do Not Input'!H40</f>
        <v>3487275</v>
      </c>
      <c r="D50" s="58">
        <f>C50/C60</f>
        <v>8.3584452007938563E-3</v>
      </c>
      <c r="R50" s="17"/>
    </row>
    <row r="51" spans="2:18" ht="12.75" customHeight="1" x14ac:dyDescent="0.2">
      <c r="B51" s="57" t="s">
        <v>2</v>
      </c>
      <c r="C51" s="46">
        <f>'LHJ Summary Pg 3-Do Not Input'!I40</f>
        <v>36006965</v>
      </c>
      <c r="D51" s="58">
        <f>C51/C60</f>
        <v>8.6302985511438696E-2</v>
      </c>
      <c r="R51" s="17"/>
    </row>
    <row r="52" spans="2:18" ht="12.75" customHeight="1" x14ac:dyDescent="0.2">
      <c r="B52" s="57" t="s">
        <v>40</v>
      </c>
      <c r="C52" s="46">
        <f>'LHJ Summary Pg 3-Do Not Input'!J40</f>
        <v>19569022</v>
      </c>
      <c r="D52" s="58">
        <f>C52/C60</f>
        <v>4.6903842690963406E-2</v>
      </c>
      <c r="R52" s="17"/>
    </row>
    <row r="53" spans="2:18" ht="12.75" customHeight="1" thickBot="1" x14ac:dyDescent="0.25">
      <c r="B53" s="66" t="s">
        <v>159</v>
      </c>
      <c r="C53" s="67">
        <f>SUM(C49:C52)</f>
        <v>69244117</v>
      </c>
      <c r="D53" s="68">
        <f>SUM(D49:D52)</f>
        <v>0.16596716846874948</v>
      </c>
    </row>
    <row r="54" spans="2:18" ht="12.75" customHeight="1" x14ac:dyDescent="0.2">
      <c r="B54" s="76" t="s">
        <v>110</v>
      </c>
      <c r="C54" s="77"/>
      <c r="D54" s="78"/>
    </row>
    <row r="55" spans="2:18" ht="12.75" customHeight="1" x14ac:dyDescent="0.2">
      <c r="B55" s="55" t="s">
        <v>4</v>
      </c>
      <c r="C55" s="45">
        <f>'LHJ Summary Pg 3-Do Not Input'!K40</f>
        <v>41747834</v>
      </c>
      <c r="D55" s="56">
        <f>C55/C60</f>
        <v>0.1000629381797646</v>
      </c>
    </row>
    <row r="56" spans="2:18" ht="12.75" customHeight="1" x14ac:dyDescent="0.2">
      <c r="B56" s="55" t="s">
        <v>5</v>
      </c>
      <c r="C56" s="45">
        <f>'LHJ Summary Pg 3-Do Not Input'!L40</f>
        <v>32552055</v>
      </c>
      <c r="D56" s="56">
        <f>C56/C60</f>
        <v>7.8022114083554542E-2</v>
      </c>
    </row>
    <row r="57" spans="2:18" ht="12.75" customHeight="1" thickBot="1" x14ac:dyDescent="0.25">
      <c r="B57" s="66" t="s">
        <v>160</v>
      </c>
      <c r="C57" s="67">
        <f>SUM(C55:C56)</f>
        <v>74299889</v>
      </c>
      <c r="D57" s="68">
        <f>SUM(D55:D56)</f>
        <v>0.17808505226331914</v>
      </c>
    </row>
    <row r="58" spans="2:18" ht="12.75" customHeight="1" x14ac:dyDescent="0.2">
      <c r="B58" s="69" t="s">
        <v>108</v>
      </c>
      <c r="C58" s="70"/>
      <c r="D58" s="71"/>
    </row>
    <row r="59" spans="2:18" ht="12.75" customHeight="1" thickBot="1" x14ac:dyDescent="0.25">
      <c r="B59" s="72" t="s">
        <v>161</v>
      </c>
      <c r="C59" s="67">
        <f>'LHJ Summary Pg 3-Do Not Input'!M40</f>
        <v>13013211</v>
      </c>
      <c r="D59" s="68">
        <f>C59/C60</f>
        <v>3.119060327329156E-2</v>
      </c>
    </row>
    <row r="60" spans="2:18" ht="15.75" customHeight="1" thickBot="1" x14ac:dyDescent="0.25">
      <c r="B60" s="73" t="s">
        <v>41</v>
      </c>
      <c r="C60" s="74">
        <f>C53+C57+C47+C59</f>
        <v>417215752</v>
      </c>
      <c r="D60" s="75">
        <f>D53+D57+D47+D59</f>
        <v>1</v>
      </c>
    </row>
    <row r="61" spans="2:18" ht="12.75" customHeight="1" x14ac:dyDescent="0.2"/>
  </sheetData>
  <printOptions horizontalCentered="1"/>
  <pageMargins left="0" right="6.875E-3" top="0.98" bottom="0.65" header="0.3" footer="0.3"/>
  <pageSetup scale="67" firstPageNumber="6" orientation="landscape" useFirstPageNumber="1" r:id="rId1"/>
  <headerFooter>
    <oddHeader>&amp;C&amp;"Times New Roman,Bold"&amp;20 Expenditures by Funding Sources - Summary
2017
All Local Health Jurisdictions</oddHeader>
    <oddFooter>&amp;C&amp;"Times New Roman,Regular"&amp;12Page &amp;P</oddFooter>
    <firstHeader>&amp;C&amp;"Arial,Bold"&amp;15PUBLIC HEALTH SERVICES - Funding of All Local Health Jurisdictions by Revenue Source Type
2012</firstHeader>
    <firstFooter>&amp;C&amp;11Page 6&amp;R&amp;8 2012 LHJ Funding Summary
Compiled by DOH
Source: BARS A Report</first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zoomScaleNormal="100" workbookViewId="0">
      <selection activeCell="M4" sqref="M4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253000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27.72</v>
      </c>
      <c r="D2" s="134"/>
      <c r="G2" s="130"/>
      <c r="H2" s="128"/>
      <c r="I2" s="128"/>
      <c r="J2" s="526" t="s">
        <v>143</v>
      </c>
      <c r="K2" s="526"/>
      <c r="L2" s="516" t="s">
        <v>138</v>
      </c>
    </row>
    <row r="3" spans="1:13" ht="15.75" thickBot="1" x14ac:dyDescent="0.3">
      <c r="A3" s="339"/>
      <c r="B3" s="85"/>
      <c r="C3" s="523" t="s">
        <v>69</v>
      </c>
      <c r="D3" s="523"/>
      <c r="E3" s="522" t="s">
        <v>67</v>
      </c>
      <c r="F3" s="523"/>
      <c r="G3" s="523"/>
      <c r="H3" s="523"/>
      <c r="I3" s="522" t="s">
        <v>68</v>
      </c>
      <c r="J3" s="523"/>
      <c r="K3" s="137" t="s">
        <v>70</v>
      </c>
      <c r="L3" s="86"/>
      <c r="M3" s="11"/>
    </row>
    <row r="4" spans="1:13" ht="44.25" customHeight="1" thickBot="1" x14ac:dyDescent="0.3">
      <c r="A4" s="342" t="s">
        <v>65</v>
      </c>
      <c r="B4" s="138" t="s">
        <v>64</v>
      </c>
      <c r="C4" s="139" t="s">
        <v>62</v>
      </c>
      <c r="D4" s="122" t="s">
        <v>6</v>
      </c>
      <c r="E4" s="277" t="s">
        <v>1</v>
      </c>
      <c r="F4" s="141" t="s">
        <v>157</v>
      </c>
      <c r="G4" s="142" t="s">
        <v>2</v>
      </c>
      <c r="H4" s="122" t="s">
        <v>3</v>
      </c>
      <c r="I4" s="140" t="s">
        <v>4</v>
      </c>
      <c r="J4" s="122" t="s">
        <v>5</v>
      </c>
      <c r="K4" s="89" t="s">
        <v>8</v>
      </c>
      <c r="L4" s="143" t="s">
        <v>0</v>
      </c>
      <c r="M4" s="11"/>
    </row>
    <row r="5" spans="1:13" ht="15.75" customHeight="1" x14ac:dyDescent="0.25">
      <c r="A5" s="90">
        <v>562.1</v>
      </c>
      <c r="B5" s="171" t="s">
        <v>9</v>
      </c>
      <c r="C5" s="144"/>
      <c r="D5" s="95"/>
      <c r="E5" s="147"/>
      <c r="F5" s="95"/>
      <c r="G5" s="146">
        <v>263213</v>
      </c>
      <c r="H5" s="95"/>
      <c r="I5" s="147"/>
      <c r="J5" s="482">
        <v>21599</v>
      </c>
      <c r="K5" s="96">
        <v>3971</v>
      </c>
      <c r="L5" s="97">
        <f>SUM(C5:K5)</f>
        <v>288783</v>
      </c>
      <c r="M5" s="11"/>
    </row>
    <row r="6" spans="1:13" ht="15.75" customHeight="1" x14ac:dyDescent="0.25">
      <c r="A6" s="90">
        <v>562.11</v>
      </c>
      <c r="B6" s="171" t="s">
        <v>145</v>
      </c>
      <c r="C6" s="481"/>
      <c r="D6" s="482"/>
      <c r="E6" s="483"/>
      <c r="F6" s="482"/>
      <c r="G6" s="484"/>
      <c r="H6" s="482"/>
      <c r="I6" s="483"/>
      <c r="J6" s="482"/>
      <c r="K6" s="485"/>
      <c r="L6" s="97">
        <f t="shared" ref="L6:L10" si="0">SUM(C6:K6)</f>
        <v>0</v>
      </c>
      <c r="M6" s="11"/>
    </row>
    <row r="7" spans="1:13" ht="15.75" customHeight="1" x14ac:dyDescent="0.25">
      <c r="A7" s="90">
        <v>562.12</v>
      </c>
      <c r="B7" s="171" t="s">
        <v>146</v>
      </c>
      <c r="C7" s="481"/>
      <c r="D7" s="482"/>
      <c r="E7" s="483"/>
      <c r="F7" s="482"/>
      <c r="G7" s="484"/>
      <c r="H7" s="482"/>
      <c r="I7" s="483"/>
      <c r="J7" s="517"/>
      <c r="K7" s="485"/>
      <c r="L7" s="97">
        <f t="shared" si="0"/>
        <v>0</v>
      </c>
      <c r="M7" s="11"/>
    </row>
    <row r="8" spans="1:13" ht="15.75" customHeight="1" x14ac:dyDescent="0.25">
      <c r="A8" s="90">
        <v>562.13</v>
      </c>
      <c r="B8" s="171" t="s">
        <v>147</v>
      </c>
      <c r="C8" s="481"/>
      <c r="D8" s="482"/>
      <c r="E8" s="483"/>
      <c r="F8" s="482"/>
      <c r="G8" s="484"/>
      <c r="H8" s="482"/>
      <c r="I8" s="483"/>
      <c r="J8" s="482"/>
      <c r="K8" s="485"/>
      <c r="L8" s="97">
        <f t="shared" si="0"/>
        <v>0</v>
      </c>
      <c r="M8" s="11"/>
    </row>
    <row r="9" spans="1:13" ht="15.75" customHeight="1" x14ac:dyDescent="0.25">
      <c r="A9" s="90">
        <v>562.14</v>
      </c>
      <c r="B9" s="171" t="s">
        <v>148</v>
      </c>
      <c r="C9" s="481"/>
      <c r="D9" s="482"/>
      <c r="E9" s="483"/>
      <c r="F9" s="482"/>
      <c r="G9" s="484"/>
      <c r="H9" s="482"/>
      <c r="I9" s="483"/>
      <c r="J9" s="482"/>
      <c r="K9" s="485"/>
      <c r="L9" s="97">
        <f t="shared" si="0"/>
        <v>0</v>
      </c>
      <c r="M9" s="11"/>
    </row>
    <row r="10" spans="1:13" ht="15.75" customHeight="1" x14ac:dyDescent="0.25">
      <c r="A10" s="90">
        <v>562.15</v>
      </c>
      <c r="B10" s="171" t="s">
        <v>149</v>
      </c>
      <c r="C10" s="481"/>
      <c r="D10" s="482"/>
      <c r="E10" s="483"/>
      <c r="F10" s="482"/>
      <c r="G10" s="484"/>
      <c r="H10" s="482"/>
      <c r="I10" s="483"/>
      <c r="J10" s="482"/>
      <c r="K10" s="485"/>
      <c r="L10" s="97">
        <f t="shared" si="0"/>
        <v>0</v>
      </c>
      <c r="M10" s="11"/>
    </row>
    <row r="11" spans="1:13" ht="15.75" customHeight="1" x14ac:dyDescent="0.25">
      <c r="A11" s="90">
        <v>562.22</v>
      </c>
      <c r="B11" s="171" t="s">
        <v>51</v>
      </c>
      <c r="C11" s="144"/>
      <c r="D11" s="95"/>
      <c r="E11" s="147"/>
      <c r="F11" s="95"/>
      <c r="G11" s="146">
        <v>5159</v>
      </c>
      <c r="H11" s="95"/>
      <c r="I11" s="147">
        <v>21971</v>
      </c>
      <c r="J11" s="95"/>
      <c r="K11" s="96"/>
      <c r="L11" s="97">
        <f t="shared" ref="L11:L47" si="1">SUM(C11:K11)</f>
        <v>27130</v>
      </c>
      <c r="M11" s="11"/>
    </row>
    <row r="12" spans="1:13" ht="15.75" customHeight="1" x14ac:dyDescent="0.25">
      <c r="A12" s="90">
        <v>562.24</v>
      </c>
      <c r="B12" s="171" t="s">
        <v>10</v>
      </c>
      <c r="C12" s="144"/>
      <c r="D12" s="95"/>
      <c r="E12" s="147"/>
      <c r="F12" s="95"/>
      <c r="G12" s="146"/>
      <c r="H12" s="95"/>
      <c r="I12" s="486"/>
      <c r="J12" s="95"/>
      <c r="K12" s="96"/>
      <c r="L12" s="97">
        <f t="shared" si="1"/>
        <v>0</v>
      </c>
      <c r="M12" s="11"/>
    </row>
    <row r="13" spans="1:13" ht="15.75" customHeight="1" x14ac:dyDescent="0.25">
      <c r="A13" s="90">
        <v>562.25</v>
      </c>
      <c r="B13" s="171" t="s">
        <v>52</v>
      </c>
      <c r="C13" s="144"/>
      <c r="D13" s="95"/>
      <c r="E13" s="147"/>
      <c r="F13" s="95"/>
      <c r="G13" s="146"/>
      <c r="H13" s="95"/>
      <c r="I13" s="147"/>
      <c r="J13" s="95"/>
      <c r="K13" s="96"/>
      <c r="L13" s="97">
        <f t="shared" si="1"/>
        <v>0</v>
      </c>
      <c r="M13" s="11"/>
    </row>
    <row r="14" spans="1:13" ht="15.75" customHeight="1" x14ac:dyDescent="0.25">
      <c r="A14" s="90">
        <v>562.26</v>
      </c>
      <c r="B14" s="171" t="s">
        <v>43</v>
      </c>
      <c r="C14" s="144"/>
      <c r="D14" s="95"/>
      <c r="E14" s="147"/>
      <c r="F14" s="95"/>
      <c r="G14" s="146"/>
      <c r="H14" s="95"/>
      <c r="I14" s="147"/>
      <c r="J14" s="95"/>
      <c r="K14" s="96"/>
      <c r="L14" s="97">
        <f t="shared" si="1"/>
        <v>0</v>
      </c>
      <c r="M14" s="11"/>
    </row>
    <row r="15" spans="1:13" ht="15.75" customHeight="1" x14ac:dyDescent="0.25">
      <c r="A15" s="90">
        <v>562.27</v>
      </c>
      <c r="B15" s="171" t="s">
        <v>44</v>
      </c>
      <c r="C15" s="144"/>
      <c r="D15" s="95"/>
      <c r="E15" s="147"/>
      <c r="F15" s="95"/>
      <c r="G15" s="146"/>
      <c r="H15" s="95"/>
      <c r="I15" s="147"/>
      <c r="J15" s="95"/>
      <c r="K15" s="96"/>
      <c r="L15" s="97">
        <f t="shared" si="1"/>
        <v>0</v>
      </c>
      <c r="M15" s="11"/>
    </row>
    <row r="16" spans="1:13" ht="15.75" customHeight="1" x14ac:dyDescent="0.25">
      <c r="A16" s="90">
        <v>562.28</v>
      </c>
      <c r="B16" s="171" t="s">
        <v>53</v>
      </c>
      <c r="C16" s="144"/>
      <c r="D16" s="95"/>
      <c r="E16" s="147"/>
      <c r="F16" s="95"/>
      <c r="G16" s="146"/>
      <c r="H16" s="95"/>
      <c r="I16" s="147"/>
      <c r="J16" s="95"/>
      <c r="K16" s="96"/>
      <c r="L16" s="97">
        <f t="shared" si="1"/>
        <v>0</v>
      </c>
      <c r="M16" s="11"/>
    </row>
    <row r="17" spans="1:13" ht="15.75" customHeight="1" x14ac:dyDescent="0.25">
      <c r="A17" s="90">
        <v>562.29</v>
      </c>
      <c r="B17" s="171" t="s">
        <v>45</v>
      </c>
      <c r="C17" s="144"/>
      <c r="D17" s="95"/>
      <c r="E17" s="147"/>
      <c r="F17" s="95"/>
      <c r="G17" s="146"/>
      <c r="H17" s="95"/>
      <c r="I17" s="147"/>
      <c r="J17" s="95"/>
      <c r="K17" s="96"/>
      <c r="L17" s="97">
        <f t="shared" si="1"/>
        <v>0</v>
      </c>
      <c r="M17" s="11"/>
    </row>
    <row r="18" spans="1:13" ht="15.75" customHeight="1" x14ac:dyDescent="0.25">
      <c r="A18" s="90">
        <v>562.32000000000005</v>
      </c>
      <c r="B18" s="171" t="s">
        <v>11</v>
      </c>
      <c r="C18" s="144"/>
      <c r="D18" s="95"/>
      <c r="E18" s="147"/>
      <c r="F18" s="95"/>
      <c r="G18" s="146">
        <v>16527</v>
      </c>
      <c r="H18" s="95"/>
      <c r="I18" s="147">
        <v>62814</v>
      </c>
      <c r="J18" s="95"/>
      <c r="K18" s="96">
        <v>332</v>
      </c>
      <c r="L18" s="97">
        <f t="shared" si="1"/>
        <v>79673</v>
      </c>
      <c r="M18" s="11"/>
    </row>
    <row r="19" spans="1:13" ht="15.75" customHeight="1" x14ac:dyDescent="0.25">
      <c r="A19" s="90">
        <v>562.33000000000004</v>
      </c>
      <c r="B19" s="171" t="s">
        <v>54</v>
      </c>
      <c r="C19" s="144"/>
      <c r="D19" s="95"/>
      <c r="E19" s="147"/>
      <c r="F19" s="95"/>
      <c r="G19" s="146">
        <v>156649</v>
      </c>
      <c r="H19" s="95"/>
      <c r="I19" s="147">
        <v>9272</v>
      </c>
      <c r="J19" s="95"/>
      <c r="K19" s="96"/>
      <c r="L19" s="97">
        <f t="shared" si="1"/>
        <v>165921</v>
      </c>
      <c r="M19" s="11"/>
    </row>
    <row r="20" spans="1:13" ht="15.75" customHeight="1" x14ac:dyDescent="0.25">
      <c r="A20" s="90">
        <v>562.34</v>
      </c>
      <c r="B20" s="171" t="s">
        <v>12</v>
      </c>
      <c r="C20" s="144">
        <v>150000</v>
      </c>
      <c r="D20" s="95"/>
      <c r="E20" s="147"/>
      <c r="F20" s="95"/>
      <c r="G20" s="146">
        <v>57086</v>
      </c>
      <c r="H20" s="95"/>
      <c r="I20" s="147">
        <v>23626</v>
      </c>
      <c r="J20" s="95"/>
      <c r="K20" s="96"/>
      <c r="L20" s="97">
        <f t="shared" si="1"/>
        <v>230712</v>
      </c>
      <c r="M20" s="11"/>
    </row>
    <row r="21" spans="1:13" ht="15.75" customHeight="1" x14ac:dyDescent="0.25">
      <c r="A21" s="90">
        <v>562.35</v>
      </c>
      <c r="B21" s="171" t="s">
        <v>13</v>
      </c>
      <c r="C21" s="144"/>
      <c r="D21" s="95"/>
      <c r="E21" s="147">
        <v>16250</v>
      </c>
      <c r="F21" s="95"/>
      <c r="G21" s="146">
        <v>31899</v>
      </c>
      <c r="H21" s="95"/>
      <c r="I21" s="147"/>
      <c r="J21" s="95"/>
      <c r="K21" s="96"/>
      <c r="L21" s="97">
        <f t="shared" si="1"/>
        <v>48149</v>
      </c>
      <c r="M21" s="11"/>
    </row>
    <row r="22" spans="1:13" ht="15.75" customHeight="1" x14ac:dyDescent="0.25">
      <c r="A22" s="90">
        <v>562.39</v>
      </c>
      <c r="B22" s="171" t="s">
        <v>14</v>
      </c>
      <c r="C22" s="144"/>
      <c r="D22" s="95"/>
      <c r="E22" s="147"/>
      <c r="F22" s="95"/>
      <c r="G22" s="146">
        <v>375160</v>
      </c>
      <c r="H22" s="95"/>
      <c r="I22" s="147"/>
      <c r="J22" s="95"/>
      <c r="K22" s="96"/>
      <c r="L22" s="97">
        <f t="shared" si="1"/>
        <v>375160</v>
      </c>
      <c r="M22" s="11"/>
    </row>
    <row r="23" spans="1:13" ht="15.75" customHeight="1" x14ac:dyDescent="0.25">
      <c r="A23" s="90">
        <v>562.41</v>
      </c>
      <c r="B23" s="171" t="s">
        <v>15</v>
      </c>
      <c r="C23" s="144"/>
      <c r="D23" s="95"/>
      <c r="E23" s="147"/>
      <c r="F23" s="95"/>
      <c r="G23" s="146"/>
      <c r="H23" s="95"/>
      <c r="I23" s="147"/>
      <c r="J23" s="95"/>
      <c r="K23" s="96"/>
      <c r="L23" s="97">
        <f t="shared" si="1"/>
        <v>0</v>
      </c>
      <c r="M23" s="11"/>
    </row>
    <row r="24" spans="1:13" ht="15.75" customHeight="1" x14ac:dyDescent="0.25">
      <c r="A24" s="90">
        <v>562.41999999999996</v>
      </c>
      <c r="B24" s="171" t="s">
        <v>16</v>
      </c>
      <c r="C24" s="144"/>
      <c r="D24" s="95"/>
      <c r="E24" s="147"/>
      <c r="F24" s="95"/>
      <c r="G24" s="146"/>
      <c r="H24" s="95"/>
      <c r="I24" s="147"/>
      <c r="J24" s="95"/>
      <c r="K24" s="96"/>
      <c r="L24" s="97">
        <f t="shared" si="1"/>
        <v>0</v>
      </c>
      <c r="M24" s="11"/>
    </row>
    <row r="25" spans="1:13" ht="15.75" customHeight="1" x14ac:dyDescent="0.25">
      <c r="A25" s="90">
        <v>562.42999999999995</v>
      </c>
      <c r="B25" s="171" t="s">
        <v>55</v>
      </c>
      <c r="C25" s="144"/>
      <c r="D25" s="95"/>
      <c r="E25" s="147">
        <v>102411</v>
      </c>
      <c r="F25" s="95"/>
      <c r="G25" s="146">
        <v>36426</v>
      </c>
      <c r="H25" s="95"/>
      <c r="I25" s="147">
        <v>367911</v>
      </c>
      <c r="J25" s="95"/>
      <c r="K25" s="96">
        <v>2561</v>
      </c>
      <c r="L25" s="97">
        <f t="shared" si="1"/>
        <v>509309</v>
      </c>
      <c r="M25" s="11"/>
    </row>
    <row r="26" spans="1:13" ht="15.75" customHeight="1" x14ac:dyDescent="0.25">
      <c r="A26" s="90">
        <v>562.44000000000005</v>
      </c>
      <c r="B26" s="171" t="s">
        <v>56</v>
      </c>
      <c r="C26" s="144"/>
      <c r="D26" s="95"/>
      <c r="E26" s="147"/>
      <c r="F26" s="95"/>
      <c r="G26" s="146"/>
      <c r="H26" s="95"/>
      <c r="I26" s="147"/>
      <c r="J26" s="95"/>
      <c r="K26" s="96"/>
      <c r="L26" s="97">
        <f t="shared" si="1"/>
        <v>0</v>
      </c>
      <c r="M26" s="11"/>
    </row>
    <row r="27" spans="1:13" ht="15.75" customHeight="1" x14ac:dyDescent="0.25">
      <c r="A27" s="90">
        <v>562.45000000000005</v>
      </c>
      <c r="B27" s="171" t="s">
        <v>57</v>
      </c>
      <c r="C27" s="144"/>
      <c r="D27" s="95"/>
      <c r="E27" s="147"/>
      <c r="F27" s="95"/>
      <c r="G27" s="146"/>
      <c r="H27" s="95"/>
      <c r="I27" s="147"/>
      <c r="J27" s="95"/>
      <c r="K27" s="96"/>
      <c r="L27" s="97">
        <f t="shared" si="1"/>
        <v>0</v>
      </c>
      <c r="M27" s="11"/>
    </row>
    <row r="28" spans="1:13" ht="15.75" customHeight="1" x14ac:dyDescent="0.25">
      <c r="A28" s="90">
        <v>562.49</v>
      </c>
      <c r="B28" s="171" t="s">
        <v>46</v>
      </c>
      <c r="C28" s="144"/>
      <c r="D28" s="95"/>
      <c r="E28" s="147"/>
      <c r="F28" s="95"/>
      <c r="G28" s="146"/>
      <c r="H28" s="95"/>
      <c r="I28" s="147"/>
      <c r="J28" s="95"/>
      <c r="K28" s="96"/>
      <c r="L28" s="97">
        <f t="shared" si="1"/>
        <v>0</v>
      </c>
      <c r="M28" s="11"/>
    </row>
    <row r="29" spans="1:13" ht="15.75" customHeight="1" x14ac:dyDescent="0.25">
      <c r="A29" s="90">
        <v>562.52</v>
      </c>
      <c r="B29" s="171" t="s">
        <v>17</v>
      </c>
      <c r="C29" s="144"/>
      <c r="D29" s="95">
        <v>62596</v>
      </c>
      <c r="E29" s="147">
        <v>10000</v>
      </c>
      <c r="F29" s="95"/>
      <c r="G29" s="146">
        <v>458</v>
      </c>
      <c r="H29" s="95"/>
      <c r="I29" s="147"/>
      <c r="J29" s="95"/>
      <c r="K29" s="96"/>
      <c r="L29" s="97">
        <f t="shared" si="1"/>
        <v>73054</v>
      </c>
      <c r="M29" s="11"/>
    </row>
    <row r="30" spans="1:13" ht="15.75" customHeight="1" x14ac:dyDescent="0.25">
      <c r="A30" s="90">
        <v>562.53</v>
      </c>
      <c r="B30" s="171" t="s">
        <v>58</v>
      </c>
      <c r="C30" s="144">
        <v>0</v>
      </c>
      <c r="D30" s="95">
        <f>7688+32390</f>
        <v>40078</v>
      </c>
      <c r="E30" s="147"/>
      <c r="F30" s="95"/>
      <c r="G30" s="146">
        <v>11744</v>
      </c>
      <c r="H30" s="95">
        <v>31325</v>
      </c>
      <c r="I30" s="147"/>
      <c r="J30" s="95"/>
      <c r="K30" s="96"/>
      <c r="L30" s="97">
        <f t="shared" si="1"/>
        <v>83147</v>
      </c>
      <c r="M30" s="11"/>
    </row>
    <row r="31" spans="1:13" ht="15.75" customHeight="1" x14ac:dyDescent="0.25">
      <c r="A31" s="90">
        <v>562.54</v>
      </c>
      <c r="B31" s="171" t="s">
        <v>59</v>
      </c>
      <c r="C31" s="144"/>
      <c r="D31" s="95">
        <v>339316</v>
      </c>
      <c r="E31" s="147"/>
      <c r="F31" s="95"/>
      <c r="G31" s="146"/>
      <c r="H31" s="95"/>
      <c r="I31" s="147"/>
      <c r="J31" s="95"/>
      <c r="K31" s="96"/>
      <c r="L31" s="97">
        <f t="shared" si="1"/>
        <v>339316</v>
      </c>
      <c r="M31" s="11"/>
    </row>
    <row r="32" spans="1:13" ht="15.75" customHeight="1" x14ac:dyDescent="0.25">
      <c r="A32" s="90">
        <v>562.54999999999995</v>
      </c>
      <c r="B32" s="171" t="s">
        <v>18</v>
      </c>
      <c r="C32" s="144"/>
      <c r="D32" s="95"/>
      <c r="E32" s="147"/>
      <c r="F32" s="95"/>
      <c r="G32" s="146">
        <v>9154</v>
      </c>
      <c r="H32" s="95"/>
      <c r="I32" s="147"/>
      <c r="J32" s="95"/>
      <c r="K32" s="96"/>
      <c r="L32" s="97">
        <f t="shared" si="1"/>
        <v>9154</v>
      </c>
      <c r="M32" s="11"/>
    </row>
    <row r="33" spans="1:13" ht="15.75" customHeight="1" x14ac:dyDescent="0.25">
      <c r="A33" s="90">
        <v>562.55999999999995</v>
      </c>
      <c r="B33" s="171" t="s">
        <v>19</v>
      </c>
      <c r="C33" s="144"/>
      <c r="D33" s="95">
        <f>438045+1110</f>
        <v>439155</v>
      </c>
      <c r="E33" s="147"/>
      <c r="F33" s="95"/>
      <c r="G33" s="146"/>
      <c r="H33" s="95"/>
      <c r="I33" s="147"/>
      <c r="J33" s="95"/>
      <c r="K33" s="96"/>
      <c r="L33" s="97">
        <f t="shared" si="1"/>
        <v>439155</v>
      </c>
      <c r="M33" s="11"/>
    </row>
    <row r="34" spans="1:13" ht="15.75" customHeight="1" x14ac:dyDescent="0.25">
      <c r="A34" s="90">
        <v>562.57000000000005</v>
      </c>
      <c r="B34" s="171" t="s">
        <v>60</v>
      </c>
      <c r="C34" s="144"/>
      <c r="D34" s="95"/>
      <c r="E34" s="147"/>
      <c r="F34" s="95"/>
      <c r="G34" s="146"/>
      <c r="H34" s="95"/>
      <c r="I34" s="147"/>
      <c r="J34" s="95"/>
      <c r="K34" s="96"/>
      <c r="L34" s="97">
        <f t="shared" si="1"/>
        <v>0</v>
      </c>
      <c r="M34" s="11"/>
    </row>
    <row r="35" spans="1:13" ht="15.75" customHeight="1" x14ac:dyDescent="0.25">
      <c r="A35" s="90">
        <v>562.58000000000004</v>
      </c>
      <c r="B35" s="171" t="s">
        <v>47</v>
      </c>
      <c r="C35" s="144"/>
      <c r="D35" s="95">
        <v>39495</v>
      </c>
      <c r="E35" s="147"/>
      <c r="F35" s="95"/>
      <c r="G35" s="146">
        <v>14929</v>
      </c>
      <c r="H35" s="95"/>
      <c r="I35" s="147"/>
      <c r="J35" s="95"/>
      <c r="K35" s="96"/>
      <c r="L35" s="97">
        <f t="shared" si="1"/>
        <v>54424</v>
      </c>
      <c r="M35" s="11"/>
    </row>
    <row r="36" spans="1:13" ht="15.75" customHeight="1" x14ac:dyDescent="0.25">
      <c r="A36" s="90">
        <v>562.59</v>
      </c>
      <c r="B36" s="171" t="s">
        <v>48</v>
      </c>
      <c r="C36" s="144"/>
      <c r="D36" s="95"/>
      <c r="E36" s="147"/>
      <c r="F36" s="95"/>
      <c r="G36" s="146"/>
      <c r="H36" s="95"/>
      <c r="I36" s="147"/>
      <c r="J36" s="95"/>
      <c r="K36" s="96"/>
      <c r="L36" s="97">
        <f t="shared" si="1"/>
        <v>0</v>
      </c>
      <c r="M36" s="11"/>
    </row>
    <row r="37" spans="1:13" ht="15.75" customHeight="1" x14ac:dyDescent="0.25">
      <c r="A37" s="90">
        <v>562.6</v>
      </c>
      <c r="B37" s="171" t="s">
        <v>20</v>
      </c>
      <c r="C37" s="144"/>
      <c r="D37" s="95"/>
      <c r="E37" s="147"/>
      <c r="F37" s="95"/>
      <c r="G37" s="146"/>
      <c r="H37" s="95"/>
      <c r="I37" s="147"/>
      <c r="J37" s="95"/>
      <c r="K37" s="96"/>
      <c r="L37" s="97">
        <f t="shared" si="1"/>
        <v>0</v>
      </c>
      <c r="M37" s="11"/>
    </row>
    <row r="38" spans="1:13" ht="15.75" customHeight="1" x14ac:dyDescent="0.25">
      <c r="A38" s="90">
        <v>562.71</v>
      </c>
      <c r="B38" s="171" t="s">
        <v>21</v>
      </c>
      <c r="C38" s="144"/>
      <c r="D38" s="95">
        <v>183736</v>
      </c>
      <c r="E38" s="147"/>
      <c r="F38" s="95"/>
      <c r="G38" s="146"/>
      <c r="H38" s="95"/>
      <c r="I38" s="147"/>
      <c r="J38" s="95"/>
      <c r="K38" s="96"/>
      <c r="L38" s="97">
        <f t="shared" si="1"/>
        <v>183736</v>
      </c>
      <c r="M38" s="11"/>
    </row>
    <row r="39" spans="1:13" ht="15.75" customHeight="1" x14ac:dyDescent="0.25">
      <c r="A39" s="90">
        <v>562.72</v>
      </c>
      <c r="B39" s="171" t="s">
        <v>22</v>
      </c>
      <c r="C39" s="144"/>
      <c r="D39" s="95"/>
      <c r="E39" s="147"/>
      <c r="F39" s="95"/>
      <c r="G39" s="146"/>
      <c r="H39" s="95"/>
      <c r="I39" s="147"/>
      <c r="J39" s="95"/>
      <c r="K39" s="96"/>
      <c r="L39" s="97">
        <f t="shared" si="1"/>
        <v>0</v>
      </c>
      <c r="M39" s="11"/>
    </row>
    <row r="40" spans="1:13" ht="15.75" customHeight="1" x14ac:dyDescent="0.25">
      <c r="A40" s="90">
        <v>562.73</v>
      </c>
      <c r="B40" s="171" t="s">
        <v>23</v>
      </c>
      <c r="C40" s="144"/>
      <c r="D40" s="95"/>
      <c r="E40" s="147"/>
      <c r="F40" s="95"/>
      <c r="G40" s="146"/>
      <c r="H40" s="95"/>
      <c r="I40" s="147"/>
      <c r="J40" s="95"/>
      <c r="K40" s="96"/>
      <c r="L40" s="97">
        <f t="shared" si="1"/>
        <v>0</v>
      </c>
      <c r="M40" s="11"/>
    </row>
    <row r="41" spans="1:13" ht="15.75" customHeight="1" x14ac:dyDescent="0.25">
      <c r="A41" s="90">
        <v>562.74</v>
      </c>
      <c r="B41" s="171" t="s">
        <v>49</v>
      </c>
      <c r="C41" s="144"/>
      <c r="D41" s="95"/>
      <c r="E41" s="147"/>
      <c r="F41" s="95"/>
      <c r="G41" s="146"/>
      <c r="H41" s="95"/>
      <c r="I41" s="147"/>
      <c r="J41" s="95"/>
      <c r="K41" s="96"/>
      <c r="L41" s="97">
        <f t="shared" si="1"/>
        <v>0</v>
      </c>
      <c r="M41" s="11"/>
    </row>
    <row r="42" spans="1:13" ht="15.75" customHeight="1" x14ac:dyDescent="0.25">
      <c r="A42" s="90">
        <v>562.78</v>
      </c>
      <c r="B42" s="171" t="s">
        <v>24</v>
      </c>
      <c r="C42" s="144"/>
      <c r="D42" s="95"/>
      <c r="E42" s="147"/>
      <c r="F42" s="95"/>
      <c r="G42" s="146"/>
      <c r="H42" s="95"/>
      <c r="I42" s="147"/>
      <c r="J42" s="95"/>
      <c r="K42" s="96"/>
      <c r="L42" s="97">
        <f t="shared" si="1"/>
        <v>0</v>
      </c>
      <c r="M42" s="11"/>
    </row>
    <row r="43" spans="1:13" ht="15.75" customHeight="1" x14ac:dyDescent="0.25">
      <c r="A43" s="90">
        <v>562.79</v>
      </c>
      <c r="B43" s="171" t="s">
        <v>25</v>
      </c>
      <c r="C43" s="144"/>
      <c r="D43" s="95"/>
      <c r="E43" s="147"/>
      <c r="F43" s="95"/>
      <c r="G43" s="146">
        <v>73357</v>
      </c>
      <c r="H43" s="95"/>
      <c r="I43" s="147"/>
      <c r="J43" s="95"/>
      <c r="K43" s="96"/>
      <c r="L43" s="97">
        <f t="shared" si="1"/>
        <v>73357</v>
      </c>
      <c r="M43" s="11"/>
    </row>
    <row r="44" spans="1:13" ht="15.75" customHeight="1" x14ac:dyDescent="0.25">
      <c r="A44" s="90">
        <v>562.79999999999995</v>
      </c>
      <c r="B44" s="171" t="s">
        <v>26</v>
      </c>
      <c r="C44" s="144"/>
      <c r="D44" s="95"/>
      <c r="E44" s="147"/>
      <c r="F44" s="95"/>
      <c r="G44" s="146">
        <v>723</v>
      </c>
      <c r="H44" s="95"/>
      <c r="I44" s="147"/>
      <c r="J44" s="95"/>
      <c r="K44" s="96"/>
      <c r="L44" s="97">
        <f t="shared" si="1"/>
        <v>723</v>
      </c>
      <c r="M44" s="11"/>
    </row>
    <row r="45" spans="1:13" ht="15.75" customHeight="1" x14ac:dyDescent="0.25">
      <c r="A45" s="90">
        <v>562.88</v>
      </c>
      <c r="B45" s="171" t="s">
        <v>50</v>
      </c>
      <c r="C45" s="144"/>
      <c r="D45" s="95"/>
      <c r="E45" s="147"/>
      <c r="F45" s="95"/>
      <c r="G45" s="146"/>
      <c r="H45" s="95"/>
      <c r="I45" s="147">
        <v>47218</v>
      </c>
      <c r="J45" s="95"/>
      <c r="K45" s="96"/>
      <c r="L45" s="97">
        <f t="shared" si="1"/>
        <v>47218</v>
      </c>
      <c r="M45" s="11"/>
    </row>
    <row r="46" spans="1:13" ht="15.75" customHeight="1" x14ac:dyDescent="0.25">
      <c r="A46" s="90">
        <v>562.9</v>
      </c>
      <c r="B46" s="171" t="s">
        <v>27</v>
      </c>
      <c r="C46" s="144"/>
      <c r="D46" s="95"/>
      <c r="E46" s="147"/>
      <c r="F46" s="95"/>
      <c r="G46" s="146"/>
      <c r="H46" s="95"/>
      <c r="I46" s="147"/>
      <c r="J46" s="95"/>
      <c r="K46" s="96"/>
      <c r="L46" s="97">
        <f t="shared" si="1"/>
        <v>0</v>
      </c>
      <c r="M46" s="11"/>
    </row>
    <row r="47" spans="1:13" ht="15.75" customHeight="1" thickBot="1" x14ac:dyDescent="0.3">
      <c r="A47" s="90">
        <v>562.99</v>
      </c>
      <c r="B47" s="171" t="s">
        <v>28</v>
      </c>
      <c r="C47" s="144"/>
      <c r="D47" s="95"/>
      <c r="E47" s="147"/>
      <c r="F47" s="95"/>
      <c r="G47" s="146"/>
      <c r="H47" s="95"/>
      <c r="I47" s="147"/>
      <c r="J47" s="95"/>
      <c r="K47" s="96"/>
      <c r="L47" s="97">
        <f t="shared" si="1"/>
        <v>0</v>
      </c>
      <c r="M47" s="11"/>
    </row>
    <row r="48" spans="1:13" ht="15.75" customHeight="1" thickBot="1" x14ac:dyDescent="0.3">
      <c r="A48" s="153" t="s">
        <v>63</v>
      </c>
      <c r="B48" s="487" t="s">
        <v>29</v>
      </c>
      <c r="C48" s="155">
        <f t="shared" ref="C48:K48" si="2">SUM(C5:C47)</f>
        <v>150000</v>
      </c>
      <c r="D48" s="112">
        <f t="shared" si="2"/>
        <v>1104376</v>
      </c>
      <c r="E48" s="158">
        <f t="shared" si="2"/>
        <v>128661</v>
      </c>
      <c r="F48" s="501" t="s">
        <v>154</v>
      </c>
      <c r="G48" s="157">
        <f t="shared" si="2"/>
        <v>1052484</v>
      </c>
      <c r="H48" s="112">
        <f t="shared" si="2"/>
        <v>31325</v>
      </c>
      <c r="I48" s="158">
        <f t="shared" si="2"/>
        <v>532812</v>
      </c>
      <c r="J48" s="112">
        <f>SUM(J5:J47)</f>
        <v>21599</v>
      </c>
      <c r="K48" s="113">
        <f t="shared" si="2"/>
        <v>6864</v>
      </c>
      <c r="L48" s="160">
        <f>SUM(C48:K48)</f>
        <v>3028121</v>
      </c>
      <c r="M48" s="11"/>
    </row>
    <row r="49" spans="1:13" ht="15.75" customHeight="1" x14ac:dyDescent="0.25">
      <c r="A49" s="90">
        <v>523</v>
      </c>
      <c r="B49" s="488" t="s">
        <v>30</v>
      </c>
      <c r="C49" s="489"/>
      <c r="D49" s="95"/>
      <c r="E49" s="147"/>
      <c r="F49" s="95"/>
      <c r="G49" s="146"/>
      <c r="H49" s="94"/>
      <c r="I49" s="145"/>
      <c r="J49" s="95"/>
      <c r="K49" s="96"/>
      <c r="L49" s="97">
        <f t="shared" ref="L49:L59" si="3">SUM(C49:K49)</f>
        <v>0</v>
      </c>
      <c r="M49" s="11"/>
    </row>
    <row r="50" spans="1:13" ht="15.75" customHeight="1" x14ac:dyDescent="0.25">
      <c r="A50" s="90">
        <v>526</v>
      </c>
      <c r="B50" s="488" t="s">
        <v>31</v>
      </c>
      <c r="C50" s="489"/>
      <c r="D50" s="95"/>
      <c r="E50" s="147"/>
      <c r="F50" s="95"/>
      <c r="G50" s="146"/>
      <c r="H50" s="94"/>
      <c r="I50" s="145"/>
      <c r="J50" s="95"/>
      <c r="K50" s="96"/>
      <c r="L50" s="97">
        <f t="shared" si="3"/>
        <v>0</v>
      </c>
      <c r="M50" s="11"/>
    </row>
    <row r="51" spans="1:13" ht="15.75" customHeight="1" x14ac:dyDescent="0.25">
      <c r="A51" s="90">
        <v>527.70000000000005</v>
      </c>
      <c r="B51" s="488" t="s">
        <v>32</v>
      </c>
      <c r="C51" s="489"/>
      <c r="D51" s="95"/>
      <c r="E51" s="147"/>
      <c r="F51" s="95"/>
      <c r="G51" s="146"/>
      <c r="H51" s="94"/>
      <c r="I51" s="145"/>
      <c r="J51" s="95"/>
      <c r="K51" s="96"/>
      <c r="L51" s="97">
        <f t="shared" si="3"/>
        <v>0</v>
      </c>
      <c r="M51" s="11"/>
    </row>
    <row r="52" spans="1:13" ht="15.75" customHeight="1" x14ac:dyDescent="0.25">
      <c r="A52" s="90">
        <v>551.20000000000005</v>
      </c>
      <c r="B52" s="488" t="s">
        <v>33</v>
      </c>
      <c r="C52" s="489"/>
      <c r="D52" s="95"/>
      <c r="E52" s="147"/>
      <c r="F52" s="95"/>
      <c r="G52" s="146"/>
      <c r="H52" s="94"/>
      <c r="I52" s="145"/>
      <c r="J52" s="95"/>
      <c r="K52" s="96"/>
      <c r="L52" s="97">
        <f t="shared" si="3"/>
        <v>0</v>
      </c>
      <c r="M52" s="11"/>
    </row>
    <row r="53" spans="1:13" ht="15.75" customHeight="1" x14ac:dyDescent="0.25">
      <c r="A53" s="90">
        <v>554</v>
      </c>
      <c r="B53" s="488" t="s">
        <v>61</v>
      </c>
      <c r="C53" s="489"/>
      <c r="D53" s="95"/>
      <c r="E53" s="147"/>
      <c r="F53" s="95"/>
      <c r="G53" s="146"/>
      <c r="H53" s="94"/>
      <c r="I53" s="145"/>
      <c r="J53" s="95"/>
      <c r="K53" s="96"/>
      <c r="L53" s="97">
        <f t="shared" si="3"/>
        <v>0</v>
      </c>
      <c r="M53" s="11"/>
    </row>
    <row r="54" spans="1:13" ht="15.75" customHeight="1" x14ac:dyDescent="0.25">
      <c r="A54" s="90">
        <v>555</v>
      </c>
      <c r="B54" s="488" t="s">
        <v>34</v>
      </c>
      <c r="C54" s="489"/>
      <c r="D54" s="95"/>
      <c r="E54" s="147"/>
      <c r="F54" s="95"/>
      <c r="G54" s="146"/>
      <c r="H54" s="94"/>
      <c r="I54" s="145"/>
      <c r="J54" s="95"/>
      <c r="K54" s="96"/>
      <c r="L54" s="97">
        <f t="shared" si="3"/>
        <v>0</v>
      </c>
      <c r="M54" s="11"/>
    </row>
    <row r="55" spans="1:13" ht="15.75" customHeight="1" x14ac:dyDescent="0.25">
      <c r="A55" s="90">
        <v>563</v>
      </c>
      <c r="B55" s="488" t="s">
        <v>35</v>
      </c>
      <c r="C55" s="489"/>
      <c r="D55" s="95"/>
      <c r="E55" s="147"/>
      <c r="F55" s="95"/>
      <c r="G55" s="146"/>
      <c r="H55" s="94"/>
      <c r="I55" s="145"/>
      <c r="J55" s="95"/>
      <c r="K55" s="96"/>
      <c r="L55" s="97">
        <f t="shared" si="3"/>
        <v>0</v>
      </c>
      <c r="M55" s="11"/>
    </row>
    <row r="56" spans="1:13" ht="15.75" customHeight="1" x14ac:dyDescent="0.25">
      <c r="A56" s="90">
        <v>564</v>
      </c>
      <c r="B56" s="488" t="s">
        <v>36</v>
      </c>
      <c r="C56" s="489"/>
      <c r="D56" s="95"/>
      <c r="E56" s="147"/>
      <c r="F56" s="95"/>
      <c r="G56" s="146"/>
      <c r="H56" s="94"/>
      <c r="I56" s="145"/>
      <c r="J56" s="95"/>
      <c r="K56" s="96"/>
      <c r="L56" s="97">
        <f t="shared" si="3"/>
        <v>0</v>
      </c>
      <c r="M56" s="11"/>
    </row>
    <row r="57" spans="1:13" ht="15.75" customHeight="1" x14ac:dyDescent="0.25">
      <c r="A57" s="90">
        <v>566</v>
      </c>
      <c r="B57" s="488" t="s">
        <v>37</v>
      </c>
      <c r="C57" s="489"/>
      <c r="D57" s="95"/>
      <c r="E57" s="147"/>
      <c r="F57" s="95"/>
      <c r="G57" s="146"/>
      <c r="H57" s="94"/>
      <c r="I57" s="145"/>
      <c r="J57" s="95"/>
      <c r="K57" s="96"/>
      <c r="L57" s="97">
        <f t="shared" si="3"/>
        <v>0</v>
      </c>
      <c r="M57" s="11"/>
    </row>
    <row r="58" spans="1:13" ht="15.75" customHeight="1" x14ac:dyDescent="0.25">
      <c r="A58" s="90">
        <v>568</v>
      </c>
      <c r="B58" s="488" t="s">
        <v>38</v>
      </c>
      <c r="C58" s="489">
        <v>7536</v>
      </c>
      <c r="D58" s="95">
        <v>2194269</v>
      </c>
      <c r="E58" s="147"/>
      <c r="F58" s="95"/>
      <c r="G58" s="146"/>
      <c r="H58" s="94"/>
      <c r="I58" s="145"/>
      <c r="J58" s="95"/>
      <c r="K58" s="96"/>
      <c r="L58" s="97">
        <f t="shared" si="3"/>
        <v>2201805</v>
      </c>
      <c r="M58" s="11"/>
    </row>
    <row r="59" spans="1:13" ht="15.75" customHeight="1" thickBot="1" x14ac:dyDescent="0.3">
      <c r="A59" s="90">
        <v>500</v>
      </c>
      <c r="B59" s="488" t="s">
        <v>66</v>
      </c>
      <c r="C59" s="489"/>
      <c r="D59" s="95"/>
      <c r="E59" s="147"/>
      <c r="F59" s="95"/>
      <c r="G59" s="146"/>
      <c r="H59" s="94"/>
      <c r="I59" s="145"/>
      <c r="J59" s="95"/>
      <c r="K59" s="96"/>
      <c r="L59" s="97">
        <f t="shared" si="3"/>
        <v>0</v>
      </c>
      <c r="M59" s="11"/>
    </row>
    <row r="60" spans="1:13" ht="15.75" customHeight="1" thickBot="1" x14ac:dyDescent="0.3">
      <c r="A60" s="173"/>
      <c r="B60" s="490" t="s">
        <v>41</v>
      </c>
      <c r="C60" s="491">
        <f>SUM(C48:C59)</f>
        <v>157536</v>
      </c>
      <c r="D60" s="112">
        <f>SUM(D48:D59)</f>
        <v>3298645</v>
      </c>
      <c r="E60" s="158">
        <f t="shared" ref="E60:K60" si="4">SUM(E48:E59)</f>
        <v>128661</v>
      </c>
      <c r="F60" s="501" t="s">
        <v>154</v>
      </c>
      <c r="G60" s="157">
        <f t="shared" si="4"/>
        <v>1052484</v>
      </c>
      <c r="H60" s="111">
        <f t="shared" si="4"/>
        <v>31325</v>
      </c>
      <c r="I60" s="156">
        <f t="shared" si="4"/>
        <v>532812</v>
      </c>
      <c r="J60" s="112">
        <f t="shared" si="4"/>
        <v>21599</v>
      </c>
      <c r="K60" s="113">
        <f t="shared" si="4"/>
        <v>6864</v>
      </c>
      <c r="L60" s="492">
        <f>SUM(C60:K60)</f>
        <v>5229926</v>
      </c>
      <c r="M60" s="11"/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157536</v>
      </c>
      <c r="D66" s="188">
        <f>C60/L60</f>
        <v>3.0122032319386545E-2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3298645</v>
      </c>
      <c r="D67" s="191">
        <f>D60/L60</f>
        <v>0.63072498540132305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3456181</v>
      </c>
      <c r="D68" s="194">
        <f>SUM(D66:D67)</f>
        <v>0.66084701772070964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128661</v>
      </c>
      <c r="D70" s="200">
        <f>E60/$L60</f>
        <v>2.4600921695641584E-2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518" t="str">
        <f>F60</f>
        <v>0</v>
      </c>
      <c r="D71" s="503" t="s">
        <v>155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1052484</v>
      </c>
      <c r="D72" s="200">
        <f>G60/$L60</f>
        <v>0.2012426179643842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31325</v>
      </c>
      <c r="D73" s="203">
        <f>H60/$L60</f>
        <v>5.9895684948505961E-3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1212470</v>
      </c>
      <c r="D74" s="194">
        <f>SUM(D70:D73)</f>
        <v>0.2318331081548764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532812</v>
      </c>
      <c r="D76" s="188">
        <f>I60/L60</f>
        <v>0.10187754090593251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21599</v>
      </c>
      <c r="D77" s="191">
        <f>J60/L60</f>
        <v>4.1298863502083972E-3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554411</v>
      </c>
      <c r="D78" s="194">
        <f>SUM(D76:D77)</f>
        <v>0.10600742725614092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6864</v>
      </c>
      <c r="D80" s="194">
        <f>K60/L60</f>
        <v>1.3124468682730883E-3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5229926</v>
      </c>
      <c r="D81" s="212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C48:J59 K11:K59 A11:B59 L11:L48 A8:K10 A7:I7 K7 A5:K6">
    <cfRule type="expression" dxfId="2" priority="5">
      <formula>ROW()=EVEN(ROW())</formula>
    </cfRule>
  </conditionalFormatting>
  <conditionalFormatting sqref="L49:L59">
    <cfRule type="expression" dxfId="1" priority="3">
      <formula>ROW()=EVEN(ROW())</formula>
    </cfRule>
  </conditionalFormatting>
  <conditionalFormatting sqref="L5:L10">
    <cfRule type="expression" dxfId="0" priority="4">
      <formula>ROW()=EVEN(ROW())</formula>
    </cfRule>
  </conditionalFormatting>
  <printOptions horizontalCentered="1"/>
  <pageMargins left="0" right="0" top="0.98" bottom="0.6" header="0.3" footer="0.3"/>
  <pageSetup scale="65" firstPageNumber="76" fitToHeight="2" orientation="landscape" useFirstPageNumber="1" r:id="rId1"/>
  <headerFooter>
    <oddHeader>&amp;C&amp;"Arial,Bold"&amp;16Expenditures by Expenditure Code and Revenue Source
2017
YAKIMA</oddHeader>
  </headerFooter>
  <rowBreaks count="1" manualBreakCount="1">
    <brk id="48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view="pageLayout" zoomScaleNormal="100" workbookViewId="0">
      <selection sqref="A1:B1"/>
    </sheetView>
  </sheetViews>
  <sheetFormatPr defaultColWidth="8.85546875" defaultRowHeight="15" x14ac:dyDescent="0.25"/>
  <cols>
    <col min="1" max="9" width="12.85546875" style="11" customWidth="1"/>
    <col min="10" max="16384" width="8.85546875" style="11"/>
  </cols>
  <sheetData>
    <row r="1" spans="1:9" ht="43.35" customHeight="1" thickBot="1" x14ac:dyDescent="0.3">
      <c r="A1" s="536" t="s">
        <v>111</v>
      </c>
      <c r="B1" s="541"/>
      <c r="C1" s="536" t="s">
        <v>109</v>
      </c>
      <c r="D1" s="537"/>
      <c r="E1" s="538"/>
      <c r="F1" s="539"/>
      <c r="G1" s="536" t="s">
        <v>110</v>
      </c>
      <c r="H1" s="539"/>
      <c r="I1" s="43" t="s">
        <v>173</v>
      </c>
    </row>
    <row r="2" spans="1:9" ht="43.35" customHeight="1" x14ac:dyDescent="0.25">
      <c r="A2" s="21" t="s">
        <v>62</v>
      </c>
      <c r="B2" s="22" t="s">
        <v>6</v>
      </c>
      <c r="C2" s="36" t="s">
        <v>1</v>
      </c>
      <c r="D2" s="37" t="s">
        <v>150</v>
      </c>
      <c r="E2" s="37" t="s">
        <v>2</v>
      </c>
      <c r="F2" s="38" t="s">
        <v>3</v>
      </c>
      <c r="G2" s="36" t="s">
        <v>4</v>
      </c>
      <c r="H2" s="38" t="s">
        <v>5</v>
      </c>
      <c r="I2" s="39" t="s">
        <v>108</v>
      </c>
    </row>
    <row r="3" spans="1:9" ht="43.35" customHeight="1" x14ac:dyDescent="0.25">
      <c r="A3" s="31" t="s">
        <v>117</v>
      </c>
      <c r="B3" s="32" t="s">
        <v>118</v>
      </c>
      <c r="C3" s="31" t="s">
        <v>112</v>
      </c>
      <c r="D3" s="30" t="s">
        <v>153</v>
      </c>
      <c r="E3" s="30" t="s">
        <v>113</v>
      </c>
      <c r="F3" s="32" t="s">
        <v>114</v>
      </c>
      <c r="G3" s="31" t="s">
        <v>115</v>
      </c>
      <c r="H3" s="32" t="s">
        <v>116</v>
      </c>
      <c r="I3" s="40" t="s">
        <v>119</v>
      </c>
    </row>
    <row r="4" spans="1:9" ht="43.35" customHeight="1" x14ac:dyDescent="0.25">
      <c r="A4" s="31">
        <v>368</v>
      </c>
      <c r="B4" s="32" t="s">
        <v>169</v>
      </c>
      <c r="C4" s="31" t="s">
        <v>120</v>
      </c>
      <c r="D4" s="30"/>
      <c r="E4" s="30"/>
      <c r="F4" s="32" t="s">
        <v>121</v>
      </c>
      <c r="G4" s="31" t="s">
        <v>122</v>
      </c>
      <c r="H4" s="32" t="s">
        <v>123</v>
      </c>
      <c r="I4" s="41">
        <v>308</v>
      </c>
    </row>
    <row r="5" spans="1:9" ht="43.35" customHeight="1" x14ac:dyDescent="0.25">
      <c r="A5" s="31" t="s">
        <v>125</v>
      </c>
      <c r="B5" s="32" t="s">
        <v>126</v>
      </c>
      <c r="C5" s="31" t="s">
        <v>128</v>
      </c>
      <c r="D5" s="30"/>
      <c r="E5" s="30"/>
      <c r="F5" s="32" t="s">
        <v>170</v>
      </c>
      <c r="G5" s="31"/>
      <c r="H5" s="32" t="s">
        <v>124</v>
      </c>
      <c r="I5" s="40" t="s">
        <v>127</v>
      </c>
    </row>
    <row r="6" spans="1:9" ht="43.35" customHeight="1" x14ac:dyDescent="0.25">
      <c r="A6" s="31" t="s">
        <v>130</v>
      </c>
      <c r="B6" s="32"/>
      <c r="C6" s="31" t="s">
        <v>132</v>
      </c>
      <c r="D6" s="30"/>
      <c r="E6" s="30"/>
      <c r="F6" s="32"/>
      <c r="G6" s="31"/>
      <c r="H6" s="32" t="s">
        <v>129</v>
      </c>
      <c r="I6" s="40" t="s">
        <v>131</v>
      </c>
    </row>
    <row r="7" spans="1:9" ht="43.35" customHeight="1" thickBot="1" x14ac:dyDescent="0.3">
      <c r="A7" s="33">
        <v>337</v>
      </c>
      <c r="B7" s="35"/>
      <c r="C7" s="33" t="s">
        <v>133</v>
      </c>
      <c r="D7" s="34"/>
      <c r="E7" s="34"/>
      <c r="F7" s="35"/>
      <c r="G7" s="33"/>
      <c r="H7" s="35"/>
      <c r="I7" s="42">
        <v>508</v>
      </c>
    </row>
    <row r="8" spans="1:9" x14ac:dyDescent="0.25">
      <c r="A8" s="23"/>
      <c r="B8" s="23"/>
      <c r="C8" s="23"/>
      <c r="D8" s="23"/>
      <c r="E8" s="23"/>
      <c r="F8" s="23"/>
      <c r="G8" s="23"/>
      <c r="H8" s="23"/>
      <c r="I8" s="23"/>
    </row>
    <row r="9" spans="1:9" x14ac:dyDescent="0.25">
      <c r="A9" s="24"/>
      <c r="B9" s="25"/>
      <c r="C9" s="25"/>
      <c r="D9" s="25"/>
      <c r="E9" s="25"/>
      <c r="F9" s="25"/>
      <c r="G9" s="25"/>
      <c r="H9" s="25"/>
      <c r="I9" s="25"/>
    </row>
    <row r="10" spans="1:9" ht="14.65" customHeight="1" x14ac:dyDescent="0.25">
      <c r="A10" s="540"/>
      <c r="B10" s="540"/>
      <c r="C10" s="540"/>
      <c r="D10" s="540"/>
      <c r="E10" s="540"/>
      <c r="F10" s="540"/>
      <c r="G10" s="540"/>
      <c r="H10" s="540"/>
      <c r="I10" s="540"/>
    </row>
    <row r="11" spans="1:9" x14ac:dyDescent="0.25">
      <c r="A11" s="23"/>
      <c r="B11" s="535"/>
      <c r="C11" s="535"/>
      <c r="D11" s="535"/>
      <c r="E11" s="535"/>
      <c r="F11" s="535"/>
      <c r="G11" s="535"/>
      <c r="H11" s="535"/>
      <c r="I11" s="535"/>
    </row>
  </sheetData>
  <mergeCells count="5">
    <mergeCell ref="B11:I11"/>
    <mergeCell ref="C1:F1"/>
    <mergeCell ref="G1:H1"/>
    <mergeCell ref="A10:I10"/>
    <mergeCell ref="A1:B1"/>
  </mergeCells>
  <printOptions horizontalCentered="1"/>
  <pageMargins left="0.25" right="0.25" top="1.5" bottom="0.5" header="0.3" footer="0.3"/>
  <pageSetup firstPageNumber="78" orientation="landscape" useFirstPageNumber="1" r:id="rId1"/>
  <headerFooter scaleWithDoc="0">
    <oddHeader xml:space="preserve">&amp;C&amp;"Times New Roman,Bold"&amp;20Matrix of BARS Revenue Code Placement
2017
</oddHeader>
    <oddFooter>&amp;C&amp;"Times New Roman,Regular"&amp;8Page &amp;P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Layout" zoomScaleNormal="85" workbookViewId="0">
      <selection activeCell="D6" sqref="D6"/>
    </sheetView>
  </sheetViews>
  <sheetFormatPr defaultColWidth="8.28515625" defaultRowHeight="12.75" x14ac:dyDescent="0.2"/>
  <cols>
    <col min="1" max="1" width="16.85546875" style="542" customWidth="1"/>
    <col min="2" max="4" width="11.7109375" style="542" customWidth="1"/>
    <col min="5" max="5" width="12.7109375" style="542" bestFit="1" customWidth="1"/>
    <col min="6" max="13" width="11.7109375" style="542" customWidth="1"/>
    <col min="14" max="14" width="12.5703125" style="542" bestFit="1" customWidth="1"/>
    <col min="15" max="16" width="11.7109375" style="542" customWidth="1"/>
    <col min="17" max="16384" width="8.28515625" style="26"/>
  </cols>
  <sheetData>
    <row r="1" spans="1:16" ht="36.75" thickBot="1" x14ac:dyDescent="0.25">
      <c r="A1" s="549" t="s">
        <v>139</v>
      </c>
      <c r="B1" s="567" t="s">
        <v>140</v>
      </c>
      <c r="C1" s="556" t="s">
        <v>162</v>
      </c>
      <c r="D1" s="557" t="s">
        <v>167</v>
      </c>
      <c r="E1" s="567" t="s">
        <v>163</v>
      </c>
      <c r="F1" s="556" t="s">
        <v>140</v>
      </c>
      <c r="G1" s="557" t="s">
        <v>164</v>
      </c>
      <c r="H1" s="567" t="s">
        <v>157</v>
      </c>
      <c r="I1" s="556" t="s">
        <v>140</v>
      </c>
      <c r="J1" s="557" t="s">
        <v>165</v>
      </c>
      <c r="K1" s="567" t="s">
        <v>2</v>
      </c>
      <c r="L1" s="556" t="s">
        <v>140</v>
      </c>
      <c r="M1" s="557" t="s">
        <v>166</v>
      </c>
      <c r="N1" s="567" t="s">
        <v>0</v>
      </c>
      <c r="O1" s="556" t="s">
        <v>140</v>
      </c>
      <c r="P1" s="557" t="s">
        <v>171</v>
      </c>
    </row>
    <row r="2" spans="1:16" x14ac:dyDescent="0.2">
      <c r="A2" s="562" t="s">
        <v>72</v>
      </c>
      <c r="B2" s="568">
        <f>'LHJ Summary Pg 3-Do Not Input'!$C$5</f>
        <v>19870</v>
      </c>
      <c r="C2" s="559">
        <f>'LHJ Summary Pg 3-Do Not Input'!$D$5</f>
        <v>8.75</v>
      </c>
      <c r="D2" s="569">
        <f>B2/C2</f>
        <v>2270.8571428571427</v>
      </c>
      <c r="E2" s="577">
        <f>'LHJ Summary Pg 3-Do Not Input'!$E$5</f>
        <v>146235</v>
      </c>
      <c r="F2" s="558">
        <f>'LHJ Summary Pg 3-Do Not Input'!$C$5</f>
        <v>19870</v>
      </c>
      <c r="G2" s="578">
        <f>E2/F2</f>
        <v>7.3595873175641673</v>
      </c>
      <c r="H2" s="577">
        <f>'LHJ Summary Pg 3-Do Not Input'!$H5</f>
        <v>42000</v>
      </c>
      <c r="I2" s="558">
        <f>'LHJ Summary Pg 3-Do Not Input'!$C$5</f>
        <v>19870</v>
      </c>
      <c r="J2" s="578">
        <f>H2/I2</f>
        <v>2.1137393054856566</v>
      </c>
      <c r="K2" s="577">
        <f>'LHJ Summary Pg 3-Do Not Input'!$I$5</f>
        <v>121214</v>
      </c>
      <c r="L2" s="558">
        <f>'LHJ Summary Pg 3-Do Not Input'!$C$5</f>
        <v>19870</v>
      </c>
      <c r="M2" s="578">
        <f>K2/L2</f>
        <v>6.1003522898842473</v>
      </c>
      <c r="N2" s="586">
        <f>'LHJ Summary Pg 3-Do Not Input'!$N$5</f>
        <v>768361</v>
      </c>
      <c r="O2" s="558">
        <f>'LHJ Summary Pg 3-Do Not Input'!$C$5</f>
        <v>19870</v>
      </c>
      <c r="P2" s="578">
        <f>N2/O2</f>
        <v>38.669401107196776</v>
      </c>
    </row>
    <row r="3" spans="1:16" x14ac:dyDescent="0.2">
      <c r="A3" s="563" t="s">
        <v>77</v>
      </c>
      <c r="B3" s="570">
        <f>'LHJ Summary Pg 3-Do Not Input'!$C$6</f>
        <v>22290</v>
      </c>
      <c r="C3" s="555">
        <f>'LHJ Summary Pg 3-Do Not Input'!$D$6</f>
        <v>6.75</v>
      </c>
      <c r="D3" s="571">
        <f t="shared" ref="D3:D36" si="0">B3/C3</f>
        <v>3302.2222222222222</v>
      </c>
      <c r="E3" s="579">
        <f>'LHJ Summary Pg 3-Do Not Input'!$E$6</f>
        <v>48100</v>
      </c>
      <c r="F3" s="554">
        <f>'LHJ Summary Pg 3-Do Not Input'!$C$6</f>
        <v>22290</v>
      </c>
      <c r="G3" s="580">
        <f t="shared" ref="G3:G36" si="1">E3/F3</f>
        <v>2.1579183490354419</v>
      </c>
      <c r="H3" s="579">
        <f>'LHJ Summary Pg 3-Do Not Input'!$H6</f>
        <v>42000</v>
      </c>
      <c r="I3" s="554">
        <f>'LHJ Summary Pg 3-Do Not Input'!$C$6</f>
        <v>22290</v>
      </c>
      <c r="J3" s="580">
        <f t="shared" ref="J3:J36" si="2">H3/I3</f>
        <v>1.8842530282637955</v>
      </c>
      <c r="K3" s="579">
        <f>'LHJ Summary Pg 3-Do Not Input'!$I$6</f>
        <v>159891</v>
      </c>
      <c r="L3" s="554">
        <f>'LHJ Summary Pg 3-Do Not Input'!$C$6</f>
        <v>22290</v>
      </c>
      <c r="M3" s="580">
        <f t="shared" ref="M3:M36" si="3">K3/L3</f>
        <v>7.1732166890982505</v>
      </c>
      <c r="N3" s="587">
        <f>'LHJ Summary Pg 3-Do Not Input'!$N$6</f>
        <v>571226</v>
      </c>
      <c r="O3" s="554">
        <f>'LHJ Summary Pg 3-Do Not Input'!$C$6</f>
        <v>22290</v>
      </c>
      <c r="P3" s="580">
        <f t="shared" ref="P3:P36" si="4">N3/O3</f>
        <v>25.627007626738447</v>
      </c>
    </row>
    <row r="4" spans="1:16" x14ac:dyDescent="0.2">
      <c r="A4" s="564" t="s">
        <v>73</v>
      </c>
      <c r="B4" s="572">
        <f>'LHJ Summary Pg 3-Do Not Input'!$C$7</f>
        <v>283830</v>
      </c>
      <c r="C4" s="561">
        <f>'LHJ Summary Pg 3-Do Not Input'!$D$7</f>
        <v>85.19</v>
      </c>
      <c r="D4" s="573">
        <f t="shared" si="0"/>
        <v>3331.7290761826507</v>
      </c>
      <c r="E4" s="581">
        <f>'LHJ Summary Pg 3-Do Not Input'!$E$7</f>
        <v>903887</v>
      </c>
      <c r="F4" s="560">
        <f>'LHJ Summary Pg 3-Do Not Input'!$C$7</f>
        <v>283830</v>
      </c>
      <c r="G4" s="582">
        <f t="shared" si="1"/>
        <v>3.1846069830532362</v>
      </c>
      <c r="H4" s="581">
        <f>'LHJ Summary Pg 3-Do Not Input'!$H7</f>
        <v>157910</v>
      </c>
      <c r="I4" s="560">
        <f>'LHJ Summary Pg 3-Do Not Input'!$C$7</f>
        <v>283830</v>
      </c>
      <c r="J4" s="582">
        <f t="shared" si="2"/>
        <v>0.55635415565655499</v>
      </c>
      <c r="K4" s="581">
        <f>'LHJ Summary Pg 3-Do Not Input'!$I$7</f>
        <v>1614337</v>
      </c>
      <c r="L4" s="560">
        <f>'LHJ Summary Pg 3-Do Not Input'!$C$7</f>
        <v>283830</v>
      </c>
      <c r="M4" s="582">
        <f t="shared" si="3"/>
        <v>5.6876898143254762</v>
      </c>
      <c r="N4" s="588">
        <f>'LHJ Summary Pg 3-Do Not Input'!$N$7</f>
        <v>9251357</v>
      </c>
      <c r="O4" s="560">
        <f>'LHJ Summary Pg 3-Do Not Input'!$C$7</f>
        <v>283830</v>
      </c>
      <c r="P4" s="582">
        <f t="shared" si="4"/>
        <v>32.594711623154708</v>
      </c>
    </row>
    <row r="5" spans="1:16" x14ac:dyDescent="0.2">
      <c r="A5" s="563" t="s">
        <v>74</v>
      </c>
      <c r="B5" s="570">
        <f>'LHJ Summary Pg 3-Do Not Input'!$C$8</f>
        <v>118250</v>
      </c>
      <c r="C5" s="555">
        <f>'LHJ Summary Pg 3-Do Not Input'!$D$8</f>
        <v>40</v>
      </c>
      <c r="D5" s="571">
        <f t="shared" si="0"/>
        <v>2956.25</v>
      </c>
      <c r="E5" s="579">
        <f>'LHJ Summary Pg 3-Do Not Input'!$E$8</f>
        <v>457819</v>
      </c>
      <c r="F5" s="554">
        <f>'LHJ Summary Pg 3-Do Not Input'!$C$8</f>
        <v>118250</v>
      </c>
      <c r="G5" s="580">
        <f t="shared" si="1"/>
        <v>3.8716194503171248</v>
      </c>
      <c r="H5" s="579">
        <f>'LHJ Summary Pg 3-Do Not Input'!$H8</f>
        <v>65679</v>
      </c>
      <c r="I5" s="554">
        <f>'LHJ Summary Pg 3-Do Not Input'!$C$8</f>
        <v>118250</v>
      </c>
      <c r="J5" s="580">
        <f t="shared" si="2"/>
        <v>0.55542494714587742</v>
      </c>
      <c r="K5" s="579">
        <f>'LHJ Summary Pg 3-Do Not Input'!$I$8</f>
        <v>399633</v>
      </c>
      <c r="L5" s="554">
        <f>'LHJ Summary Pg 3-Do Not Input'!$C$8</f>
        <v>118250</v>
      </c>
      <c r="M5" s="580">
        <f t="shared" si="3"/>
        <v>3.3795602536997884</v>
      </c>
      <c r="N5" s="587">
        <f>'LHJ Summary Pg 3-Do Not Input'!$N$8</f>
        <v>2964628</v>
      </c>
      <c r="O5" s="554">
        <f>'LHJ Summary Pg 3-Do Not Input'!$C$8</f>
        <v>118250</v>
      </c>
      <c r="P5" s="580">
        <f t="shared" si="4"/>
        <v>25.070849894291754</v>
      </c>
    </row>
    <row r="6" spans="1:16" x14ac:dyDescent="0.2">
      <c r="A6" s="564" t="s">
        <v>78</v>
      </c>
      <c r="B6" s="572">
        <f>'LHJ Summary Pg 3-Do Not Input'!$C$9</f>
        <v>74240</v>
      </c>
      <c r="C6" s="561">
        <f>'LHJ Summary Pg 3-Do Not Input'!$D$9</f>
        <v>27.74</v>
      </c>
      <c r="D6" s="573">
        <f t="shared" si="0"/>
        <v>2676.279740447008</v>
      </c>
      <c r="E6" s="581">
        <f>'LHJ Summary Pg 3-Do Not Input'!$E$9</f>
        <v>1040278</v>
      </c>
      <c r="F6" s="560">
        <f>'LHJ Summary Pg 3-Do Not Input'!$C$9</f>
        <v>74240</v>
      </c>
      <c r="G6" s="582">
        <f t="shared" si="1"/>
        <v>14.012365301724138</v>
      </c>
      <c r="H6" s="581">
        <f>'LHJ Summary Pg 3-Do Not Input'!$H9</f>
        <v>42000</v>
      </c>
      <c r="I6" s="560">
        <f>'LHJ Summary Pg 3-Do Not Input'!$C$9</f>
        <v>74240</v>
      </c>
      <c r="J6" s="582">
        <f t="shared" si="2"/>
        <v>0.56573275862068961</v>
      </c>
      <c r="K6" s="581">
        <f>'LHJ Summary Pg 3-Do Not Input'!$I$9</f>
        <v>10000</v>
      </c>
      <c r="L6" s="560">
        <f>'LHJ Summary Pg 3-Do Not Input'!$C$9</f>
        <v>74240</v>
      </c>
      <c r="M6" s="582">
        <f t="shared" si="3"/>
        <v>0.13469827586206898</v>
      </c>
      <c r="N6" s="588">
        <f>'LHJ Summary Pg 3-Do Not Input'!$N$9</f>
        <v>2866011</v>
      </c>
      <c r="O6" s="560">
        <f>'LHJ Summary Pg 3-Do Not Input'!$C$9</f>
        <v>74240</v>
      </c>
      <c r="P6" s="582">
        <f t="shared" si="4"/>
        <v>38.604674030172411</v>
      </c>
    </row>
    <row r="7" spans="1:16" x14ac:dyDescent="0.2">
      <c r="A7" s="563" t="s">
        <v>79</v>
      </c>
      <c r="B7" s="570">
        <f>'LHJ Summary Pg 3-Do Not Input'!$C$10</f>
        <v>471000</v>
      </c>
      <c r="C7" s="555">
        <f>'LHJ Summary Pg 3-Do Not Input'!$D$10</f>
        <v>90.05</v>
      </c>
      <c r="D7" s="571">
        <f t="shared" si="0"/>
        <v>5230.427540255414</v>
      </c>
      <c r="E7" s="579">
        <f>'LHJ Summary Pg 3-Do Not Input'!$E$10</f>
        <v>2582596</v>
      </c>
      <c r="F7" s="554">
        <f>'LHJ Summary Pg 3-Do Not Input'!$C$10</f>
        <v>471000</v>
      </c>
      <c r="G7" s="580">
        <f t="shared" si="1"/>
        <v>5.4832186836518044</v>
      </c>
      <c r="H7" s="579">
        <f>'LHJ Summary Pg 3-Do Not Input'!$H10</f>
        <v>154135</v>
      </c>
      <c r="I7" s="554">
        <f>'LHJ Summary Pg 3-Do Not Input'!$C$10</f>
        <v>471000</v>
      </c>
      <c r="J7" s="580">
        <f t="shared" si="2"/>
        <v>0.32725053078556265</v>
      </c>
      <c r="K7" s="579">
        <f>'LHJ Summary Pg 3-Do Not Input'!$I$10</f>
        <v>1757342</v>
      </c>
      <c r="L7" s="554">
        <f>'LHJ Summary Pg 3-Do Not Input'!$C$10</f>
        <v>471000</v>
      </c>
      <c r="M7" s="580">
        <f t="shared" si="3"/>
        <v>3.7310870488322716</v>
      </c>
      <c r="N7" s="587">
        <f>'LHJ Summary Pg 3-Do Not Input'!$N$10</f>
        <v>11091878</v>
      </c>
      <c r="O7" s="554">
        <f>'LHJ Summary Pg 3-Do Not Input'!$C$10</f>
        <v>471000</v>
      </c>
      <c r="P7" s="580">
        <f t="shared" si="4"/>
        <v>23.549634819532908</v>
      </c>
    </row>
    <row r="8" spans="1:16" x14ac:dyDescent="0.2">
      <c r="A8" s="564" t="s">
        <v>80</v>
      </c>
      <c r="B8" s="572">
        <f>'LHJ Summary Pg 3-Do Not Input'!$C$11</f>
        <v>4100</v>
      </c>
      <c r="C8" s="561">
        <f>'LHJ Summary Pg 3-Do Not Input'!$D$11</f>
        <v>3.3</v>
      </c>
      <c r="D8" s="573">
        <f t="shared" si="0"/>
        <v>1242.4242424242425</v>
      </c>
      <c r="E8" s="581">
        <f>'LHJ Summary Pg 3-Do Not Input'!$E$11</f>
        <v>34322</v>
      </c>
      <c r="F8" s="560">
        <f>'LHJ Summary Pg 3-Do Not Input'!$C$11</f>
        <v>4100</v>
      </c>
      <c r="G8" s="582">
        <f t="shared" si="1"/>
        <v>8.3712195121951218</v>
      </c>
      <c r="H8" s="581">
        <f>'LHJ Summary Pg 3-Do Not Input'!$H11</f>
        <v>21000</v>
      </c>
      <c r="I8" s="560">
        <f>'LHJ Summary Pg 3-Do Not Input'!$C$11</f>
        <v>4100</v>
      </c>
      <c r="J8" s="582">
        <f t="shared" si="2"/>
        <v>5.1219512195121952</v>
      </c>
      <c r="K8" s="581">
        <f>'LHJ Summary Pg 3-Do Not Input'!$I$11</f>
        <v>119991</v>
      </c>
      <c r="L8" s="560">
        <f>'LHJ Summary Pg 3-Do Not Input'!$C$11</f>
        <v>4100</v>
      </c>
      <c r="M8" s="582">
        <f t="shared" si="3"/>
        <v>29.266097560975609</v>
      </c>
      <c r="N8" s="588">
        <f>'LHJ Summary Pg 3-Do Not Input'!$N$11</f>
        <v>350769</v>
      </c>
      <c r="O8" s="560">
        <f>'LHJ Summary Pg 3-Do Not Input'!$C$11</f>
        <v>4100</v>
      </c>
      <c r="P8" s="582">
        <f t="shared" si="4"/>
        <v>85.553414634146336</v>
      </c>
    </row>
    <row r="9" spans="1:16" x14ac:dyDescent="0.2">
      <c r="A9" s="563" t="s">
        <v>81</v>
      </c>
      <c r="B9" s="570">
        <f>'LHJ Summary Pg 3-Do Not Input'!$C$12</f>
        <v>105900</v>
      </c>
      <c r="C9" s="555">
        <f>'LHJ Summary Pg 3-Do Not Input'!$D$12</f>
        <v>23.25</v>
      </c>
      <c r="D9" s="571">
        <f t="shared" si="0"/>
        <v>4554.8387096774195</v>
      </c>
      <c r="E9" s="579">
        <f>'LHJ Summary Pg 3-Do Not Input'!$E$12</f>
        <v>318102</v>
      </c>
      <c r="F9" s="554">
        <f>'LHJ Summary Pg 3-Do Not Input'!$C$12</f>
        <v>105900</v>
      </c>
      <c r="G9" s="580">
        <f t="shared" si="1"/>
        <v>3.0037960339943344</v>
      </c>
      <c r="H9" s="579">
        <f>'LHJ Summary Pg 3-Do Not Input'!$H12</f>
        <v>1373</v>
      </c>
      <c r="I9" s="554">
        <f>'LHJ Summary Pg 3-Do Not Input'!$C$12</f>
        <v>105900</v>
      </c>
      <c r="J9" s="580">
        <f t="shared" si="2"/>
        <v>1.2965061378659113E-2</v>
      </c>
      <c r="K9" s="579">
        <f>'LHJ Summary Pg 3-Do Not Input'!$I$12</f>
        <v>477981</v>
      </c>
      <c r="L9" s="554">
        <f>'LHJ Summary Pg 3-Do Not Input'!$C$12</f>
        <v>105900</v>
      </c>
      <c r="M9" s="580">
        <f t="shared" si="3"/>
        <v>4.5135127478753541</v>
      </c>
      <c r="N9" s="587">
        <f>'LHJ Summary Pg 3-Do Not Input'!$N$12</f>
        <v>2820660</v>
      </c>
      <c r="O9" s="554">
        <f>'LHJ Summary Pg 3-Do Not Input'!$C$12</f>
        <v>105900</v>
      </c>
      <c r="P9" s="580">
        <f t="shared" si="4"/>
        <v>26.635127478753542</v>
      </c>
    </row>
    <row r="10" spans="1:16" x14ac:dyDescent="0.2">
      <c r="A10" s="564" t="s">
        <v>82</v>
      </c>
      <c r="B10" s="572">
        <f>'LHJ Summary Pg 3-Do Not Input'!$C$13</f>
        <v>2200</v>
      </c>
      <c r="C10" s="561">
        <f>'LHJ Summary Pg 3-Do Not Input'!$D$13</f>
        <v>3.33</v>
      </c>
      <c r="D10" s="573">
        <f t="shared" si="0"/>
        <v>660.6606606606606</v>
      </c>
      <c r="E10" s="581">
        <f>'LHJ Summary Pg 3-Do Not Input'!$E$13</f>
        <v>32500</v>
      </c>
      <c r="F10" s="560">
        <f>'LHJ Summary Pg 3-Do Not Input'!$C$13</f>
        <v>2200</v>
      </c>
      <c r="G10" s="582">
        <f t="shared" si="1"/>
        <v>14.772727272727273</v>
      </c>
      <c r="H10" s="581">
        <f>'LHJ Summary Pg 3-Do Not Input'!$H13</f>
        <v>42000</v>
      </c>
      <c r="I10" s="560">
        <f>'LHJ Summary Pg 3-Do Not Input'!$C$13</f>
        <v>2200</v>
      </c>
      <c r="J10" s="582">
        <f t="shared" si="2"/>
        <v>19.09090909090909</v>
      </c>
      <c r="K10" s="581">
        <f>'LHJ Summary Pg 3-Do Not Input'!$I$13</f>
        <v>93154</v>
      </c>
      <c r="L10" s="560">
        <f>'LHJ Summary Pg 3-Do Not Input'!$C$13</f>
        <v>2200</v>
      </c>
      <c r="M10" s="582">
        <f t="shared" si="3"/>
        <v>42.342727272727274</v>
      </c>
      <c r="N10" s="588">
        <f>'LHJ Summary Pg 3-Do Not Input'!$N$13</f>
        <v>237016</v>
      </c>
      <c r="O10" s="560">
        <f>'LHJ Summary Pg 3-Do Not Input'!$C$13</f>
        <v>2200</v>
      </c>
      <c r="P10" s="582">
        <f t="shared" si="4"/>
        <v>107.73454545454545</v>
      </c>
    </row>
    <row r="11" spans="1:16" x14ac:dyDescent="0.2">
      <c r="A11" s="563" t="s">
        <v>83</v>
      </c>
      <c r="B11" s="570">
        <f>'LHJ Summary Pg 3-Do Not Input'!$C$14</f>
        <v>95630</v>
      </c>
      <c r="C11" s="555">
        <f>'LHJ Summary Pg 3-Do Not Input'!$D$14</f>
        <v>24</v>
      </c>
      <c r="D11" s="571">
        <f t="shared" si="0"/>
        <v>3984.5833333333335</v>
      </c>
      <c r="E11" s="579">
        <f>'LHJ Summary Pg 3-Do Not Input'!$E$14</f>
        <v>271010</v>
      </c>
      <c r="F11" s="554">
        <f>'LHJ Summary Pg 3-Do Not Input'!$C$14</f>
        <v>95630</v>
      </c>
      <c r="G11" s="580">
        <f t="shared" si="1"/>
        <v>2.8339433232249296</v>
      </c>
      <c r="H11" s="579">
        <f>'LHJ Summary Pg 3-Do Not Input'!$H14</f>
        <v>52293</v>
      </c>
      <c r="I11" s="554">
        <f>'LHJ Summary Pg 3-Do Not Input'!$C$14</f>
        <v>95630</v>
      </c>
      <c r="J11" s="580">
        <f t="shared" si="2"/>
        <v>0.54682630973543866</v>
      </c>
      <c r="K11" s="579">
        <f>'LHJ Summary Pg 3-Do Not Input'!$I$14</f>
        <v>297761</v>
      </c>
      <c r="L11" s="554">
        <f>'LHJ Summary Pg 3-Do Not Input'!$C$14</f>
        <v>95630</v>
      </c>
      <c r="M11" s="580">
        <f t="shared" si="3"/>
        <v>3.1136777161978459</v>
      </c>
      <c r="N11" s="587">
        <f>'LHJ Summary Pg 3-Do Not Input'!$N$14</f>
        <v>2401567</v>
      </c>
      <c r="O11" s="554">
        <f>'LHJ Summary Pg 3-Do Not Input'!$C$14</f>
        <v>95630</v>
      </c>
      <c r="P11" s="580">
        <f t="shared" si="4"/>
        <v>25.113113039841053</v>
      </c>
    </row>
    <row r="12" spans="1:16" x14ac:dyDescent="0.2">
      <c r="A12" s="564" t="s">
        <v>84</v>
      </c>
      <c r="B12" s="572">
        <f>'LHJ Summary Pg 3-Do Not Input'!$C$15</f>
        <v>72970</v>
      </c>
      <c r="C12" s="561">
        <f>'LHJ Summary Pg 3-Do Not Input'!$D$15</f>
        <v>30.53</v>
      </c>
      <c r="D12" s="573">
        <f t="shared" si="0"/>
        <v>2390.1080904028822</v>
      </c>
      <c r="E12" s="581">
        <f>'LHJ Summary Pg 3-Do Not Input'!$E$15</f>
        <v>102012</v>
      </c>
      <c r="F12" s="560">
        <f>'LHJ Summary Pg 3-Do Not Input'!$C$15</f>
        <v>72970</v>
      </c>
      <c r="G12" s="582">
        <f t="shared" si="1"/>
        <v>1.3979991777442784</v>
      </c>
      <c r="H12" s="581">
        <f>'LHJ Summary Pg 3-Do Not Input'!$H15</f>
        <v>42000</v>
      </c>
      <c r="I12" s="560">
        <f>'LHJ Summary Pg 3-Do Not Input'!$C$15</f>
        <v>72970</v>
      </c>
      <c r="J12" s="582">
        <f t="shared" si="2"/>
        <v>0.57557900507057691</v>
      </c>
      <c r="K12" s="581">
        <f>'LHJ Summary Pg 3-Do Not Input'!$I$15</f>
        <v>258598</v>
      </c>
      <c r="L12" s="560">
        <f>'LHJ Summary Pg 3-Do Not Input'!$C$15</f>
        <v>72970</v>
      </c>
      <c r="M12" s="582">
        <f t="shared" si="3"/>
        <v>3.5438947512676444</v>
      </c>
      <c r="N12" s="588">
        <f>'LHJ Summary Pg 3-Do Not Input'!$N$15</f>
        <v>2817598</v>
      </c>
      <c r="O12" s="560">
        <f>'LHJ Summary Pg 3-Do Not Input'!$C$15</f>
        <v>72970</v>
      </c>
      <c r="P12" s="582">
        <f t="shared" si="4"/>
        <v>38.613101274496366</v>
      </c>
    </row>
    <row r="13" spans="1:16" x14ac:dyDescent="0.2">
      <c r="A13" s="563" t="s">
        <v>85</v>
      </c>
      <c r="B13" s="570">
        <f>'LHJ Summary Pg 3-Do Not Input'!$C$16</f>
        <v>82790</v>
      </c>
      <c r="C13" s="555">
        <f>'LHJ Summary Pg 3-Do Not Input'!$D$16</f>
        <v>38.5</v>
      </c>
      <c r="D13" s="571">
        <f t="shared" si="0"/>
        <v>2150.3896103896104</v>
      </c>
      <c r="E13" s="579">
        <f>'LHJ Summary Pg 3-Do Not Input'!$E$16</f>
        <v>636972</v>
      </c>
      <c r="F13" s="554">
        <f>'LHJ Summary Pg 3-Do Not Input'!$C$16</f>
        <v>82790</v>
      </c>
      <c r="G13" s="580">
        <f t="shared" si="1"/>
        <v>7.6938277569754803</v>
      </c>
      <c r="H13" s="579">
        <f>'LHJ Summary Pg 3-Do Not Input'!$H16</f>
        <v>46238</v>
      </c>
      <c r="I13" s="554">
        <f>'LHJ Summary Pg 3-Do Not Input'!$C$16</f>
        <v>82790</v>
      </c>
      <c r="J13" s="580">
        <f t="shared" si="2"/>
        <v>0.55849740306800333</v>
      </c>
      <c r="K13" s="579">
        <f>'LHJ Summary Pg 3-Do Not Input'!$I$16</f>
        <v>267535</v>
      </c>
      <c r="L13" s="554">
        <f>'LHJ Summary Pg 3-Do Not Input'!$C$16</f>
        <v>82790</v>
      </c>
      <c r="M13" s="580">
        <f t="shared" si="3"/>
        <v>3.2314893103031768</v>
      </c>
      <c r="N13" s="587">
        <f>'LHJ Summary Pg 3-Do Not Input'!$N$16</f>
        <v>3726685</v>
      </c>
      <c r="O13" s="554">
        <f>'LHJ Summary Pg 3-Do Not Input'!$C$16</f>
        <v>82790</v>
      </c>
      <c r="P13" s="580">
        <f t="shared" si="4"/>
        <v>45.013709385191447</v>
      </c>
    </row>
    <row r="14" spans="1:16" x14ac:dyDescent="0.2">
      <c r="A14" s="564" t="s">
        <v>86</v>
      </c>
      <c r="B14" s="572">
        <f>'LHJ Summary Pg 3-Do Not Input'!$C$17</f>
        <v>31360</v>
      </c>
      <c r="C14" s="561">
        <f>'LHJ Summary Pg 3-Do Not Input'!$D$17</f>
        <v>31.09</v>
      </c>
      <c r="D14" s="573">
        <f t="shared" si="0"/>
        <v>1008.6844644580251</v>
      </c>
      <c r="E14" s="581">
        <f>'LHJ Summary Pg 3-Do Not Input'!$E$17</f>
        <v>790508</v>
      </c>
      <c r="F14" s="560">
        <f>'LHJ Summary Pg 3-Do Not Input'!$C$17</f>
        <v>31360</v>
      </c>
      <c r="G14" s="582">
        <f t="shared" si="1"/>
        <v>25.207525510204082</v>
      </c>
      <c r="H14" s="581">
        <f>'LHJ Summary Pg 3-Do Not Input'!$H17</f>
        <v>42000</v>
      </c>
      <c r="I14" s="560">
        <f>'LHJ Summary Pg 3-Do Not Input'!$C$17</f>
        <v>31360</v>
      </c>
      <c r="J14" s="582">
        <f t="shared" si="2"/>
        <v>1.3392857142857142</v>
      </c>
      <c r="K14" s="581">
        <f>'LHJ Summary Pg 3-Do Not Input'!$I$17</f>
        <v>184080</v>
      </c>
      <c r="L14" s="560">
        <f>'LHJ Summary Pg 3-Do Not Input'!$C$17</f>
        <v>31360</v>
      </c>
      <c r="M14" s="582">
        <f t="shared" si="3"/>
        <v>5.8698979591836737</v>
      </c>
      <c r="N14" s="588">
        <f>'LHJ Summary Pg 3-Do Not Input'!$N$17</f>
        <v>4699290</v>
      </c>
      <c r="O14" s="560">
        <f>'LHJ Summary Pg 3-Do Not Input'!$C$17</f>
        <v>31360</v>
      </c>
      <c r="P14" s="582">
        <f t="shared" si="4"/>
        <v>149.8498086734694</v>
      </c>
    </row>
    <row r="15" spans="1:16" x14ac:dyDescent="0.2">
      <c r="A15" s="563" t="s">
        <v>87</v>
      </c>
      <c r="B15" s="570">
        <f>'LHJ Summary Pg 3-Do Not Input'!$C$18</f>
        <v>264300</v>
      </c>
      <c r="C15" s="555">
        <f>'LHJ Summary Pg 3-Do Not Input'!$D$18</f>
        <v>95.6</v>
      </c>
      <c r="D15" s="571">
        <f t="shared" si="0"/>
        <v>2764.6443514644352</v>
      </c>
      <c r="E15" s="579">
        <f>'LHJ Summary Pg 3-Do Not Input'!$E$18</f>
        <v>3200870</v>
      </c>
      <c r="F15" s="554">
        <f>'LHJ Summary Pg 3-Do Not Input'!$C$18</f>
        <v>264300</v>
      </c>
      <c r="G15" s="580">
        <f t="shared" si="1"/>
        <v>12.110745365115399</v>
      </c>
      <c r="H15" s="579">
        <f>'LHJ Summary Pg 3-Do Not Input'!$H18</f>
        <v>147346</v>
      </c>
      <c r="I15" s="554">
        <f>'LHJ Summary Pg 3-Do Not Input'!$C$18</f>
        <v>264300</v>
      </c>
      <c r="J15" s="580">
        <f t="shared" si="2"/>
        <v>0.55749527052591752</v>
      </c>
      <c r="K15" s="579">
        <f>'LHJ Summary Pg 3-Do Not Input'!$I$18</f>
        <v>997477</v>
      </c>
      <c r="L15" s="554">
        <f>'LHJ Summary Pg 3-Do Not Input'!$C$18</f>
        <v>264300</v>
      </c>
      <c r="M15" s="580">
        <f t="shared" si="3"/>
        <v>3.7740332954975409</v>
      </c>
      <c r="N15" s="587">
        <f>'LHJ Summary Pg 3-Do Not Input'!$N$18</f>
        <v>11379344</v>
      </c>
      <c r="O15" s="554">
        <f>'LHJ Summary Pg 3-Do Not Input'!$C$18</f>
        <v>264300</v>
      </c>
      <c r="P15" s="580">
        <f t="shared" si="4"/>
        <v>43.054650018917897</v>
      </c>
    </row>
    <row r="16" spans="1:16" x14ac:dyDescent="0.2">
      <c r="A16" s="564" t="s">
        <v>88</v>
      </c>
      <c r="B16" s="572">
        <f>'LHJ Summary Pg 3-Do Not Input'!$C$19</f>
        <v>44730</v>
      </c>
      <c r="C16" s="561">
        <f>'LHJ Summary Pg 3-Do Not Input'!$D$19</f>
        <v>18.45</v>
      </c>
      <c r="D16" s="573">
        <f t="shared" si="0"/>
        <v>2424.3902439024391</v>
      </c>
      <c r="E16" s="581">
        <f>'LHJ Summary Pg 3-Do Not Input'!$E$19</f>
        <v>374216</v>
      </c>
      <c r="F16" s="560">
        <f>'LHJ Summary Pg 3-Do Not Input'!$C$19</f>
        <v>44730</v>
      </c>
      <c r="G16" s="582">
        <f t="shared" si="1"/>
        <v>8.3661077576570531</v>
      </c>
      <c r="H16" s="581">
        <f>'LHJ Summary Pg 3-Do Not Input'!$H19</f>
        <v>4243</v>
      </c>
      <c r="I16" s="560">
        <f>'LHJ Summary Pg 3-Do Not Input'!$C$19</f>
        <v>44730</v>
      </c>
      <c r="J16" s="582">
        <f t="shared" si="2"/>
        <v>9.4858037111558241E-2</v>
      </c>
      <c r="K16" s="581">
        <f>'LHJ Summary Pg 3-Do Not Input'!$I$19</f>
        <v>178351</v>
      </c>
      <c r="L16" s="560">
        <f>'LHJ Summary Pg 3-Do Not Input'!$C$19</f>
        <v>44730</v>
      </c>
      <c r="M16" s="582">
        <f t="shared" si="3"/>
        <v>3.9872792309412026</v>
      </c>
      <c r="N16" s="588">
        <f>'LHJ Summary Pg 3-Do Not Input'!$N$19</f>
        <v>1587925</v>
      </c>
      <c r="O16" s="560">
        <f>'LHJ Summary Pg 3-Do Not Input'!$C$19</f>
        <v>44730</v>
      </c>
      <c r="P16" s="582">
        <f t="shared" si="4"/>
        <v>35.500223563603846</v>
      </c>
    </row>
    <row r="17" spans="1:16" x14ac:dyDescent="0.2">
      <c r="A17" s="563" t="s">
        <v>89</v>
      </c>
      <c r="B17" s="570">
        <f>'LHJ Summary Pg 3-Do Not Input'!$C$20</f>
        <v>21660</v>
      </c>
      <c r="C17" s="555">
        <f>'LHJ Summary Pg 3-Do Not Input'!$D$20</f>
        <v>14</v>
      </c>
      <c r="D17" s="571">
        <f t="shared" si="0"/>
        <v>1547.1428571428571</v>
      </c>
      <c r="E17" s="579">
        <f>'LHJ Summary Pg 3-Do Not Input'!$E$20</f>
        <v>200000</v>
      </c>
      <c r="F17" s="554">
        <f>'LHJ Summary Pg 3-Do Not Input'!$C$20</f>
        <v>21660</v>
      </c>
      <c r="G17" s="580">
        <f t="shared" si="1"/>
        <v>9.2336103416435833</v>
      </c>
      <c r="H17" s="579">
        <f>'LHJ Summary Pg 3-Do Not Input'!$H20</f>
        <v>42000</v>
      </c>
      <c r="I17" s="554">
        <f>'LHJ Summary Pg 3-Do Not Input'!$C$20</f>
        <v>21660</v>
      </c>
      <c r="J17" s="580">
        <f t="shared" si="2"/>
        <v>1.9390581717451523</v>
      </c>
      <c r="K17" s="579">
        <f>'LHJ Summary Pg 3-Do Not Input'!$I$20</f>
        <v>153784</v>
      </c>
      <c r="L17" s="554">
        <f>'LHJ Summary Pg 3-Do Not Input'!$C$20</f>
        <v>21660</v>
      </c>
      <c r="M17" s="580">
        <f t="shared" si="3"/>
        <v>7.0999076638965839</v>
      </c>
      <c r="N17" s="587">
        <f>'LHJ Summary Pg 3-Do Not Input'!$N$20</f>
        <v>1466956</v>
      </c>
      <c r="O17" s="554">
        <f>'LHJ Summary Pg 3-Do Not Input'!$C$20</f>
        <v>21660</v>
      </c>
      <c r="P17" s="580">
        <f t="shared" si="4"/>
        <v>67.726500461680516</v>
      </c>
    </row>
    <row r="18" spans="1:16" x14ac:dyDescent="0.2">
      <c r="A18" s="564" t="s">
        <v>90</v>
      </c>
      <c r="B18" s="572">
        <f>'LHJ Summary Pg 3-Do Not Input'!$C$21</f>
        <v>77440</v>
      </c>
      <c r="C18" s="561">
        <f>'LHJ Summary Pg 3-Do Not Input'!$D$21</f>
        <v>27.31</v>
      </c>
      <c r="D18" s="573">
        <f t="shared" si="0"/>
        <v>2835.5913584767486</v>
      </c>
      <c r="E18" s="581">
        <f>'LHJ Summary Pg 3-Do Not Input'!$E$21</f>
        <v>544506</v>
      </c>
      <c r="F18" s="560">
        <f>'LHJ Summary Pg 3-Do Not Input'!$C$21</f>
        <v>77440</v>
      </c>
      <c r="G18" s="582">
        <f t="shared" si="1"/>
        <v>7.0313274793388434</v>
      </c>
      <c r="H18" s="581">
        <f>'LHJ Summary Pg 3-Do Not Input'!$H21</f>
        <v>43147</v>
      </c>
      <c r="I18" s="560">
        <f>'LHJ Summary Pg 3-Do Not Input'!$C$21</f>
        <v>77440</v>
      </c>
      <c r="J18" s="582">
        <f t="shared" si="2"/>
        <v>0.55716683884297524</v>
      </c>
      <c r="K18" s="581">
        <f>'LHJ Summary Pg 3-Do Not Input'!$I$21</f>
        <v>263134</v>
      </c>
      <c r="L18" s="560">
        <f>'LHJ Summary Pg 3-Do Not Input'!$C$21</f>
        <v>77440</v>
      </c>
      <c r="M18" s="582">
        <f t="shared" si="3"/>
        <v>3.3979080578512395</v>
      </c>
      <c r="N18" s="588">
        <f>'LHJ Summary Pg 3-Do Not Input'!$N$21</f>
        <v>4837368</v>
      </c>
      <c r="O18" s="560">
        <f>'LHJ Summary Pg 3-Do Not Input'!$C$21</f>
        <v>77440</v>
      </c>
      <c r="P18" s="582">
        <f t="shared" si="4"/>
        <v>62.466012396694218</v>
      </c>
    </row>
    <row r="19" spans="1:16" x14ac:dyDescent="0.2">
      <c r="A19" s="563" t="s">
        <v>91</v>
      </c>
      <c r="B19" s="570">
        <f>'LHJ Summary Pg 3-Do Not Input'!$C$22</f>
        <v>10700</v>
      </c>
      <c r="C19" s="555">
        <f>'LHJ Summary Pg 3-Do Not Input'!$D$22</f>
        <v>5.0999999999999996</v>
      </c>
      <c r="D19" s="571">
        <f t="shared" si="0"/>
        <v>2098.0392156862745</v>
      </c>
      <c r="E19" s="579">
        <f>'LHJ Summary Pg 3-Do Not Input'!$E$22</f>
        <v>97062</v>
      </c>
      <c r="F19" s="554">
        <f>'LHJ Summary Pg 3-Do Not Input'!$C$22</f>
        <v>10700</v>
      </c>
      <c r="G19" s="580">
        <f t="shared" si="1"/>
        <v>9.0712149532710278</v>
      </c>
      <c r="H19" s="579">
        <f>'LHJ Summary Pg 3-Do Not Input'!$H22</f>
        <v>18171</v>
      </c>
      <c r="I19" s="554">
        <f>'LHJ Summary Pg 3-Do Not Input'!$C$22</f>
        <v>10700</v>
      </c>
      <c r="J19" s="580">
        <f t="shared" si="2"/>
        <v>1.6982242990654206</v>
      </c>
      <c r="K19" s="579">
        <f>'LHJ Summary Pg 3-Do Not Input'!$I$22</f>
        <v>113917</v>
      </c>
      <c r="L19" s="554">
        <f>'LHJ Summary Pg 3-Do Not Input'!$C$22</f>
        <v>10700</v>
      </c>
      <c r="M19" s="580">
        <f t="shared" si="3"/>
        <v>10.64644859813084</v>
      </c>
      <c r="N19" s="587">
        <f>'LHJ Summary Pg 3-Do Not Input'!$N$22</f>
        <v>529979</v>
      </c>
      <c r="O19" s="554">
        <f>'LHJ Summary Pg 3-Do Not Input'!$C$22</f>
        <v>10700</v>
      </c>
      <c r="P19" s="580">
        <f t="shared" si="4"/>
        <v>49.530747663551402</v>
      </c>
    </row>
    <row r="20" spans="1:16" x14ac:dyDescent="0.2">
      <c r="A20" s="564" t="s">
        <v>92</v>
      </c>
      <c r="B20" s="572">
        <f>'LHJ Summary Pg 3-Do Not Input'!$C$23</f>
        <v>63190</v>
      </c>
      <c r="C20" s="561">
        <f>'LHJ Summary Pg 3-Do Not Input'!$D$23</f>
        <v>19.25</v>
      </c>
      <c r="D20" s="573">
        <f t="shared" si="0"/>
        <v>3282.5974025974024</v>
      </c>
      <c r="E20" s="581">
        <f>'LHJ Summary Pg 3-Do Not Input'!$E$23</f>
        <v>305935</v>
      </c>
      <c r="F20" s="560">
        <f>'LHJ Summary Pg 3-Do Not Input'!$C$23</f>
        <v>63190</v>
      </c>
      <c r="G20" s="582">
        <f t="shared" si="1"/>
        <v>4.8415097325526188</v>
      </c>
      <c r="H20" s="581">
        <f>'LHJ Summary Pg 3-Do Not Input'!$H23</f>
        <v>6907</v>
      </c>
      <c r="I20" s="560">
        <f>'LHJ Summary Pg 3-Do Not Input'!$C$23</f>
        <v>63190</v>
      </c>
      <c r="J20" s="582">
        <f t="shared" si="2"/>
        <v>0.10930526982117424</v>
      </c>
      <c r="K20" s="581">
        <f>'LHJ Summary Pg 3-Do Not Input'!$I$23</f>
        <v>227448</v>
      </c>
      <c r="L20" s="560">
        <f>'LHJ Summary Pg 3-Do Not Input'!$C$23</f>
        <v>63190</v>
      </c>
      <c r="M20" s="582">
        <f t="shared" si="3"/>
        <v>3.5994302896027852</v>
      </c>
      <c r="N20" s="588">
        <f>'LHJ Summary Pg 3-Do Not Input'!$N$23</f>
        <v>2047776</v>
      </c>
      <c r="O20" s="560">
        <f>'LHJ Summary Pg 3-Do Not Input'!$C$23</f>
        <v>63190</v>
      </c>
      <c r="P20" s="582">
        <f t="shared" si="4"/>
        <v>32.406646621300837</v>
      </c>
    </row>
    <row r="21" spans="1:16" x14ac:dyDescent="0.2">
      <c r="A21" s="563" t="s">
        <v>141</v>
      </c>
      <c r="B21" s="570">
        <f>'LHJ Summary Pg 3-Do Not Input'!$C$24</f>
        <v>65620</v>
      </c>
      <c r="C21" s="555">
        <f>'LHJ Summary Pg 3-Do Not Input'!$D$24</f>
        <v>19.46</v>
      </c>
      <c r="D21" s="571">
        <f t="shared" si="0"/>
        <v>3372.0452209660843</v>
      </c>
      <c r="E21" s="579">
        <f>'LHJ Summary Pg 3-Do Not Input'!$E$24</f>
        <v>799272</v>
      </c>
      <c r="F21" s="554">
        <f>'LHJ Summary Pg 3-Do Not Input'!$C$24</f>
        <v>65620</v>
      </c>
      <c r="G21" s="580">
        <f t="shared" si="1"/>
        <v>12.180310880829015</v>
      </c>
      <c r="H21" s="579">
        <f>'LHJ Summary Pg 3-Do Not Input'!$H24</f>
        <v>42000</v>
      </c>
      <c r="I21" s="554">
        <f>'LHJ Summary Pg 3-Do Not Input'!$C$24</f>
        <v>65620</v>
      </c>
      <c r="J21" s="580">
        <f t="shared" si="2"/>
        <v>0.64004876562023771</v>
      </c>
      <c r="K21" s="579">
        <f>'LHJ Summary Pg 3-Do Not Input'!$I$24</f>
        <v>249303</v>
      </c>
      <c r="L21" s="554">
        <f>'LHJ Summary Pg 3-Do Not Input'!$C$24</f>
        <v>65620</v>
      </c>
      <c r="M21" s="580">
        <f t="shared" si="3"/>
        <v>3.7991923194148125</v>
      </c>
      <c r="N21" s="587">
        <f>'LHJ Summary Pg 3-Do Not Input'!$N$24</f>
        <v>1943595</v>
      </c>
      <c r="O21" s="554">
        <f>'LHJ Summary Pg 3-Do Not Input'!$C$24</f>
        <v>65620</v>
      </c>
      <c r="P21" s="580">
        <f t="shared" si="4"/>
        <v>29.618942395611093</v>
      </c>
    </row>
    <row r="22" spans="1:16" x14ac:dyDescent="0.2">
      <c r="A22" s="564" t="s">
        <v>93</v>
      </c>
      <c r="B22" s="572">
        <f>'LHJ Summary Pg 3-Do Not Input'!$C$25</f>
        <v>42110</v>
      </c>
      <c r="C22" s="561">
        <f>'LHJ Summary Pg 3-Do Not Input'!$D$25</f>
        <v>11.27</v>
      </c>
      <c r="D22" s="573">
        <f t="shared" si="0"/>
        <v>3736.468500443656</v>
      </c>
      <c r="E22" s="581">
        <f>'LHJ Summary Pg 3-Do Not Input'!$E$25</f>
        <v>135000</v>
      </c>
      <c r="F22" s="560">
        <f>'LHJ Summary Pg 3-Do Not Input'!$C$25</f>
        <v>42110</v>
      </c>
      <c r="G22" s="582">
        <f t="shared" si="1"/>
        <v>3.2058893374495367</v>
      </c>
      <c r="H22" s="581">
        <f>'LHJ Summary Pg 3-Do Not Input'!$H25</f>
        <v>42000</v>
      </c>
      <c r="I22" s="560">
        <f>'LHJ Summary Pg 3-Do Not Input'!$C$25</f>
        <v>42110</v>
      </c>
      <c r="J22" s="582">
        <f t="shared" si="2"/>
        <v>0.99738779387318932</v>
      </c>
      <c r="K22" s="581">
        <f>'LHJ Summary Pg 3-Do Not Input'!$I$25</f>
        <v>169882</v>
      </c>
      <c r="L22" s="560">
        <f>'LHJ Summary Pg 3-Do Not Input'!$C$25</f>
        <v>42110</v>
      </c>
      <c r="M22" s="582">
        <f t="shared" si="3"/>
        <v>4.0342436475896459</v>
      </c>
      <c r="N22" s="588">
        <f>'LHJ Summary Pg 3-Do Not Input'!$N$25</f>
        <v>1070364</v>
      </c>
      <c r="O22" s="560">
        <f>'LHJ Summary Pg 3-Do Not Input'!$C$25</f>
        <v>42110</v>
      </c>
      <c r="P22" s="582">
        <f t="shared" si="4"/>
        <v>25.418285442887676</v>
      </c>
    </row>
    <row r="23" spans="1:16" x14ac:dyDescent="0.2">
      <c r="A23" s="563" t="s">
        <v>94</v>
      </c>
      <c r="B23" s="570">
        <f>'LHJ Summary Pg 3-Do Not Input'!$C$26</f>
        <v>21250</v>
      </c>
      <c r="C23" s="555">
        <f>'LHJ Summary Pg 3-Do Not Input'!$D$26</f>
        <v>14.6</v>
      </c>
      <c r="D23" s="571">
        <f t="shared" si="0"/>
        <v>1455.4794520547946</v>
      </c>
      <c r="E23" s="579">
        <f>'LHJ Summary Pg 3-Do Not Input'!$E$26</f>
        <v>94321</v>
      </c>
      <c r="F23" s="554">
        <f>'LHJ Summary Pg 3-Do Not Input'!$C$26</f>
        <v>21250</v>
      </c>
      <c r="G23" s="580">
        <f t="shared" si="1"/>
        <v>4.4386352941176472</v>
      </c>
      <c r="H23" s="579">
        <f>'LHJ Summary Pg 3-Do Not Input'!$H26</f>
        <v>42000</v>
      </c>
      <c r="I23" s="554">
        <f>'LHJ Summary Pg 3-Do Not Input'!$C$26</f>
        <v>21250</v>
      </c>
      <c r="J23" s="580">
        <f t="shared" si="2"/>
        <v>1.9764705882352942</v>
      </c>
      <c r="K23" s="579">
        <f>'LHJ Summary Pg 3-Do Not Input'!$I$26</f>
        <v>169075</v>
      </c>
      <c r="L23" s="554">
        <f>'LHJ Summary Pg 3-Do Not Input'!$C$26</f>
        <v>21250</v>
      </c>
      <c r="M23" s="580">
        <f t="shared" si="3"/>
        <v>7.9564705882352937</v>
      </c>
      <c r="N23" s="587">
        <f>'LHJ Summary Pg 3-Do Not Input'!$N$26</f>
        <v>997194</v>
      </c>
      <c r="O23" s="554">
        <f>'LHJ Summary Pg 3-Do Not Input'!$C$26</f>
        <v>21250</v>
      </c>
      <c r="P23" s="580">
        <f t="shared" si="4"/>
        <v>46.926776470588237</v>
      </c>
    </row>
    <row r="24" spans="1:16" x14ac:dyDescent="0.2">
      <c r="A24" s="564" t="s">
        <v>95</v>
      </c>
      <c r="B24" s="572">
        <f>'LHJ Summary Pg 3-Do Not Input'!$C$27</f>
        <v>16510</v>
      </c>
      <c r="C24" s="561">
        <f>'LHJ Summary Pg 3-Do Not Input'!$D$27</f>
        <v>26</v>
      </c>
      <c r="D24" s="573">
        <f t="shared" si="0"/>
        <v>635</v>
      </c>
      <c r="E24" s="581">
        <f>'LHJ Summary Pg 3-Do Not Input'!$E$27</f>
        <v>1676827</v>
      </c>
      <c r="F24" s="560">
        <f>'LHJ Summary Pg 3-Do Not Input'!$C$27</f>
        <v>16510</v>
      </c>
      <c r="G24" s="582">
        <f t="shared" si="1"/>
        <v>101.56432465172622</v>
      </c>
      <c r="H24" s="581">
        <f>'LHJ Summary Pg 3-Do Not Input'!$H27</f>
        <v>8223</v>
      </c>
      <c r="I24" s="560">
        <f>'LHJ Summary Pg 3-Do Not Input'!$C$27</f>
        <v>16510</v>
      </c>
      <c r="J24" s="582">
        <f t="shared" si="2"/>
        <v>0.49806178073894608</v>
      </c>
      <c r="K24" s="581">
        <f>'LHJ Summary Pg 3-Do Not Input'!$I$27</f>
        <v>126569</v>
      </c>
      <c r="L24" s="560">
        <f>'LHJ Summary Pg 3-Do Not Input'!$C$27</f>
        <v>16510</v>
      </c>
      <c r="M24" s="582">
        <f t="shared" si="3"/>
        <v>7.6662023016353729</v>
      </c>
      <c r="N24" s="588">
        <f>'LHJ Summary Pg 3-Do Not Input'!$N$27</f>
        <v>4050635</v>
      </c>
      <c r="O24" s="560">
        <f>'LHJ Summary Pg 3-Do Not Input'!$C$27</f>
        <v>16510</v>
      </c>
      <c r="P24" s="582">
        <f t="shared" si="4"/>
        <v>245.34433676559661</v>
      </c>
    </row>
    <row r="25" spans="1:16" x14ac:dyDescent="0.2">
      <c r="A25" s="565" t="s">
        <v>96</v>
      </c>
      <c r="B25" s="570">
        <f>'LHJ Summary Pg 3-Do Not Input'!$C$28</f>
        <v>2153700</v>
      </c>
      <c r="C25" s="555">
        <f>'LHJ Summary Pg 3-Do Not Input'!$D$28</f>
        <v>1344</v>
      </c>
      <c r="D25" s="571">
        <f t="shared" si="0"/>
        <v>1602.4553571428571</v>
      </c>
      <c r="E25" s="579">
        <f>'LHJ Summary Pg 3-Do Not Input'!$E$28</f>
        <v>87878693</v>
      </c>
      <c r="F25" s="554">
        <f>'LHJ Summary Pg 3-Do Not Input'!$C$28</f>
        <v>2153700</v>
      </c>
      <c r="G25" s="580">
        <f t="shared" si="1"/>
        <v>40.80359056507406</v>
      </c>
      <c r="H25" s="579">
        <f>'LHJ Summary Pg 3-Do Not Input'!$H28</f>
        <v>1193608</v>
      </c>
      <c r="I25" s="554">
        <f>'LHJ Summary Pg 3-Do Not Input'!$C$28</f>
        <v>2153700</v>
      </c>
      <c r="J25" s="580">
        <f t="shared" si="2"/>
        <v>0.5542127501509031</v>
      </c>
      <c r="K25" s="579">
        <f>'LHJ Summary Pg 3-Do Not Input'!$I$28</f>
        <v>12686175</v>
      </c>
      <c r="L25" s="554">
        <f>'LHJ Summary Pg 3-Do Not Input'!$C$28</f>
        <v>2153700</v>
      </c>
      <c r="M25" s="580">
        <f t="shared" si="3"/>
        <v>5.8904095277893855</v>
      </c>
      <c r="N25" s="587">
        <f>'LHJ Summary Pg 3-Do Not Input'!$N$28</f>
        <v>223586934</v>
      </c>
      <c r="O25" s="554">
        <f>'LHJ Summary Pg 3-Do Not Input'!$C$28</f>
        <v>2153700</v>
      </c>
      <c r="P25" s="580">
        <f t="shared" si="4"/>
        <v>103.81526396434043</v>
      </c>
    </row>
    <row r="26" spans="1:16" x14ac:dyDescent="0.2">
      <c r="A26" s="564" t="s">
        <v>97</v>
      </c>
      <c r="B26" s="572">
        <f>'LHJ Summary Pg 3-Do Not Input'!$C$29</f>
        <v>124100</v>
      </c>
      <c r="C26" s="561">
        <f>'LHJ Summary Pg 3-Do Not Input'!$D$29</f>
        <v>25.841000000000001</v>
      </c>
      <c r="D26" s="573">
        <f t="shared" si="0"/>
        <v>4802.4457257846061</v>
      </c>
      <c r="E26" s="581">
        <f>'LHJ Summary Pg 3-Do Not Input'!$E$29</f>
        <v>1105478</v>
      </c>
      <c r="F26" s="560">
        <f>'LHJ Summary Pg 3-Do Not Input'!$C$29</f>
        <v>124100</v>
      </c>
      <c r="G26" s="582">
        <f t="shared" si="1"/>
        <v>8.9079613215149074</v>
      </c>
      <c r="H26" s="581" t="str">
        <f>'LHJ Summary Pg 3-Do Not Input'!$H29</f>
        <v>0</v>
      </c>
      <c r="I26" s="560">
        <f>'LHJ Summary Pg 3-Do Not Input'!$C$29</f>
        <v>124100</v>
      </c>
      <c r="J26" s="582">
        <f t="shared" si="2"/>
        <v>0</v>
      </c>
      <c r="K26" s="581">
        <f>'LHJ Summary Pg 3-Do Not Input'!$I$29</f>
        <v>449745</v>
      </c>
      <c r="L26" s="560">
        <f>'LHJ Summary Pg 3-Do Not Input'!$C$29</f>
        <v>124100</v>
      </c>
      <c r="M26" s="582">
        <f t="shared" si="3"/>
        <v>3.6240531829170024</v>
      </c>
      <c r="N26" s="588">
        <f>'LHJ Summary Pg 3-Do Not Input'!$N$29</f>
        <v>3516680</v>
      </c>
      <c r="O26" s="560">
        <f>'LHJ Summary Pg 3-Do Not Input'!$C$29</f>
        <v>124100</v>
      </c>
      <c r="P26" s="582">
        <f t="shared" si="4"/>
        <v>28.337469782433523</v>
      </c>
    </row>
    <row r="27" spans="1:16" x14ac:dyDescent="0.2">
      <c r="A27" s="563" t="s">
        <v>98</v>
      </c>
      <c r="B27" s="570">
        <f>'LHJ Summary Pg 3-Do Not Input'!$C$30</f>
        <v>11690</v>
      </c>
      <c r="C27" s="555">
        <f>'LHJ Summary Pg 3-Do Not Input'!$D$30</f>
        <v>2.06</v>
      </c>
      <c r="D27" s="571">
        <f t="shared" si="0"/>
        <v>5674.7572815533977</v>
      </c>
      <c r="E27" s="579">
        <f>'LHJ Summary Pg 3-Do Not Input'!$E$30</f>
        <v>40410</v>
      </c>
      <c r="F27" s="554">
        <f>'LHJ Summary Pg 3-Do Not Input'!$C$30</f>
        <v>11690</v>
      </c>
      <c r="G27" s="580">
        <f t="shared" si="1"/>
        <v>3.4568006843455947</v>
      </c>
      <c r="H27" s="579">
        <f>'LHJ Summary Pg 3-Do Not Input'!$H30</f>
        <v>1000</v>
      </c>
      <c r="I27" s="554">
        <f>'LHJ Summary Pg 3-Do Not Input'!$C$30</f>
        <v>11690</v>
      </c>
      <c r="J27" s="580">
        <f t="shared" si="2"/>
        <v>8.5543199315654406E-2</v>
      </c>
      <c r="K27" s="579">
        <f>'LHJ Summary Pg 3-Do Not Input'!$I$30</f>
        <v>108420</v>
      </c>
      <c r="L27" s="554">
        <f>'LHJ Summary Pg 3-Do Not Input'!$C$30</f>
        <v>11690</v>
      </c>
      <c r="M27" s="580">
        <f t="shared" si="3"/>
        <v>9.2745936698032505</v>
      </c>
      <c r="N27" s="587">
        <f>'LHJ Summary Pg 3-Do Not Input'!$N$30</f>
        <v>1443017</v>
      </c>
      <c r="O27" s="554">
        <f>'LHJ Summary Pg 3-Do Not Input'!$C$30</f>
        <v>11690</v>
      </c>
      <c r="P27" s="580">
        <f t="shared" si="4"/>
        <v>123.44029084687767</v>
      </c>
    </row>
    <row r="28" spans="1:16" x14ac:dyDescent="0.2">
      <c r="A28" s="564" t="s">
        <v>99</v>
      </c>
      <c r="B28" s="572">
        <f>'LHJ Summary Pg 3-Do Not Input'!$C$31</f>
        <v>789400</v>
      </c>
      <c r="C28" s="561">
        <f>'LHJ Summary Pg 3-Do Not Input'!$D$31</f>
        <v>131.19999999999999</v>
      </c>
      <c r="D28" s="573">
        <f t="shared" si="0"/>
        <v>6016.7682926829275</v>
      </c>
      <c r="E28" s="581">
        <f>'LHJ Summary Pg 3-Do Not Input'!$E$31</f>
        <v>2705352</v>
      </c>
      <c r="F28" s="560">
        <f>'LHJ Summary Pg 3-Do Not Input'!$C$31</f>
        <v>789400</v>
      </c>
      <c r="G28" s="582">
        <f t="shared" si="1"/>
        <v>3.427099062579174</v>
      </c>
      <c r="H28" s="581">
        <f>'LHJ Summary Pg 3-Do Not Input'!$H31</f>
        <v>437504</v>
      </c>
      <c r="I28" s="560">
        <f>'LHJ Summary Pg 3-Do Not Input'!$C$31</f>
        <v>789400</v>
      </c>
      <c r="J28" s="582">
        <f t="shared" si="2"/>
        <v>0.55422346085634655</v>
      </c>
      <c r="K28" s="581">
        <f>'LHJ Summary Pg 3-Do Not Input'!$I$31</f>
        <v>3433291</v>
      </c>
      <c r="L28" s="560">
        <f>'LHJ Summary Pg 3-Do Not Input'!$C$31</f>
        <v>789400</v>
      </c>
      <c r="M28" s="582">
        <f t="shared" si="3"/>
        <v>4.3492411958449457</v>
      </c>
      <c r="N28" s="588">
        <f>'LHJ Summary Pg 3-Do Not Input'!$N$31</f>
        <v>16408834</v>
      </c>
      <c r="O28" s="560">
        <f>'LHJ Summary Pg 3-Do Not Input'!$C$31</f>
        <v>789400</v>
      </c>
      <c r="P28" s="582">
        <f t="shared" si="4"/>
        <v>20.786463136559412</v>
      </c>
    </row>
    <row r="29" spans="1:16" x14ac:dyDescent="0.2">
      <c r="A29" s="563" t="s">
        <v>100</v>
      </c>
      <c r="B29" s="570">
        <f>'LHJ Summary Pg 3-Do Not Input'!$C$32</f>
        <v>499800</v>
      </c>
      <c r="C29" s="555">
        <f>'LHJ Summary Pg 3-Do Not Input'!$D$32</f>
        <v>219.15</v>
      </c>
      <c r="D29" s="571">
        <f t="shared" si="0"/>
        <v>2280.6297056810404</v>
      </c>
      <c r="E29" s="579">
        <f>'LHJ Summary Pg 3-Do Not Input'!$E$32</f>
        <v>2215516</v>
      </c>
      <c r="F29" s="554">
        <f>'LHJ Summary Pg 3-Do Not Input'!$C$32</f>
        <v>499800</v>
      </c>
      <c r="G29" s="580">
        <f t="shared" si="1"/>
        <v>4.4328051220488192</v>
      </c>
      <c r="H29" s="579">
        <f>'LHJ Summary Pg 3-Do Not Input'!$H32</f>
        <v>288025</v>
      </c>
      <c r="I29" s="554">
        <f>'LHJ Summary Pg 3-Do Not Input'!$C$32</f>
        <v>499800</v>
      </c>
      <c r="J29" s="580">
        <f t="shared" si="2"/>
        <v>0.57628051220488197</v>
      </c>
      <c r="K29" s="579">
        <f>'LHJ Summary Pg 3-Do Not Input'!$I$32</f>
        <v>2877318</v>
      </c>
      <c r="L29" s="554">
        <f>'LHJ Summary Pg 3-Do Not Input'!$C$32</f>
        <v>499800</v>
      </c>
      <c r="M29" s="580">
        <f t="shared" si="3"/>
        <v>5.7569387755102044</v>
      </c>
      <c r="N29" s="587">
        <f>'LHJ Summary Pg 3-Do Not Input'!$N$32</f>
        <v>29775577</v>
      </c>
      <c r="O29" s="554">
        <f>'LHJ Summary Pg 3-Do Not Input'!$C$32</f>
        <v>499800</v>
      </c>
      <c r="P29" s="580">
        <f t="shared" si="4"/>
        <v>59.574983993597442</v>
      </c>
    </row>
    <row r="30" spans="1:16" x14ac:dyDescent="0.2">
      <c r="A30" s="564" t="s">
        <v>101</v>
      </c>
      <c r="B30" s="572">
        <f>'LHJ Summary Pg 3-Do Not Input'!$C$33</f>
        <v>859400</v>
      </c>
      <c r="C30" s="561">
        <f>'LHJ Summary Pg 3-Do Not Input'!$D$33</f>
        <v>255.8</v>
      </c>
      <c r="D30" s="573">
        <f t="shared" si="0"/>
        <v>3359.6559812353398</v>
      </c>
      <c r="E30" s="581">
        <f>'LHJ Summary Pg 3-Do Not Input'!$E$33</f>
        <v>4518944</v>
      </c>
      <c r="F30" s="560">
        <f>'LHJ Summary Pg 3-Do Not Input'!$C$33</f>
        <v>859400</v>
      </c>
      <c r="G30" s="582">
        <f t="shared" si="1"/>
        <v>5.2582545962299276</v>
      </c>
      <c r="H30" s="581">
        <f>'LHJ Summary Pg 3-Do Not Input'!$H33</f>
        <v>160509</v>
      </c>
      <c r="I30" s="560">
        <f>'LHJ Summary Pg 3-Do Not Input'!$C$33</f>
        <v>859400</v>
      </c>
      <c r="J30" s="582">
        <f t="shared" si="2"/>
        <v>0.18676867582033976</v>
      </c>
      <c r="K30" s="581">
        <f>'LHJ Summary Pg 3-Do Not Input'!$I$33</f>
        <v>4143168</v>
      </c>
      <c r="L30" s="560">
        <f>'LHJ Summary Pg 3-Do Not Input'!$C$33</f>
        <v>859400</v>
      </c>
      <c r="M30" s="582">
        <f t="shared" si="3"/>
        <v>4.8210006981615079</v>
      </c>
      <c r="N30" s="588">
        <f>'LHJ Summary Pg 3-Do Not Input'!$N$33</f>
        <v>32140319</v>
      </c>
      <c r="O30" s="560">
        <f>'LHJ Summary Pg 3-Do Not Input'!$C$33</f>
        <v>859400</v>
      </c>
      <c r="P30" s="582">
        <f t="shared" si="4"/>
        <v>37.398555969280892</v>
      </c>
    </row>
    <row r="31" spans="1:16" x14ac:dyDescent="0.2">
      <c r="A31" s="563" t="s">
        <v>102</v>
      </c>
      <c r="B31" s="570">
        <f>'LHJ Summary Pg 3-Do Not Input'!$C$34</f>
        <v>276900</v>
      </c>
      <c r="C31" s="555">
        <f>'LHJ Summary Pg 3-Do Not Input'!$D$34</f>
        <v>67.22</v>
      </c>
      <c r="D31" s="571">
        <f t="shared" si="0"/>
        <v>4119.3097292472476</v>
      </c>
      <c r="E31" s="579">
        <f>'LHJ Summary Pg 3-Do Not Input'!$E$34</f>
        <v>2077177</v>
      </c>
      <c r="F31" s="554">
        <f>'LHJ Summary Pg 3-Do Not Input'!$C$34</f>
        <v>276900</v>
      </c>
      <c r="G31" s="580">
        <f t="shared" si="1"/>
        <v>7.5015420729505236</v>
      </c>
      <c r="H31" s="579">
        <f>'LHJ Summary Pg 3-Do Not Input'!$H34</f>
        <v>13265</v>
      </c>
      <c r="I31" s="554">
        <f>'LHJ Summary Pg 3-Do Not Input'!$C$34</f>
        <v>276900</v>
      </c>
      <c r="J31" s="580">
        <f t="shared" si="2"/>
        <v>4.7905381003972555E-2</v>
      </c>
      <c r="K31" s="579">
        <f>'LHJ Summary Pg 3-Do Not Input'!$I$34</f>
        <v>1046897</v>
      </c>
      <c r="L31" s="554">
        <f>'LHJ Summary Pg 3-Do Not Input'!$C$34</f>
        <v>276900</v>
      </c>
      <c r="M31" s="580">
        <f t="shared" si="3"/>
        <v>3.7807764535933548</v>
      </c>
      <c r="N31" s="587">
        <f>'LHJ Summary Pg 3-Do Not Input'!$N$34</f>
        <v>8793421</v>
      </c>
      <c r="O31" s="554">
        <f>'LHJ Summary Pg 3-Do Not Input'!$C$34</f>
        <v>276900</v>
      </c>
      <c r="P31" s="580">
        <f t="shared" si="4"/>
        <v>31.756666666666668</v>
      </c>
    </row>
    <row r="32" spans="1:16" x14ac:dyDescent="0.2">
      <c r="A32" s="564" t="s">
        <v>142</v>
      </c>
      <c r="B32" s="572">
        <f>'LHJ Summary Pg 3-Do Not Input'!$C$35</f>
        <v>4030</v>
      </c>
      <c r="C32" s="561">
        <f>'LHJ Summary Pg 3-Do Not Input'!$D$35</f>
        <v>5.6</v>
      </c>
      <c r="D32" s="573">
        <f t="shared" si="0"/>
        <v>719.64285714285722</v>
      </c>
      <c r="E32" s="581">
        <f>'LHJ Summary Pg 3-Do Not Input'!$E$35</f>
        <v>57209</v>
      </c>
      <c r="F32" s="560">
        <f>'LHJ Summary Pg 3-Do Not Input'!$C$35</f>
        <v>4030</v>
      </c>
      <c r="G32" s="582">
        <f t="shared" si="1"/>
        <v>14.195781637717122</v>
      </c>
      <c r="H32" s="581">
        <f>'LHJ Summary Pg 3-Do Not Input'!$H35</f>
        <v>42000</v>
      </c>
      <c r="I32" s="560">
        <f>'LHJ Summary Pg 3-Do Not Input'!$C$35</f>
        <v>4030</v>
      </c>
      <c r="J32" s="582">
        <f t="shared" si="2"/>
        <v>10.421836228287841</v>
      </c>
      <c r="K32" s="581">
        <f>'LHJ Summary Pg 3-Do Not Input'!$I$35</f>
        <v>93181</v>
      </c>
      <c r="L32" s="560">
        <f>'LHJ Summary Pg 3-Do Not Input'!$C$35</f>
        <v>4030</v>
      </c>
      <c r="M32" s="582">
        <f t="shared" si="3"/>
        <v>23.12183622828784</v>
      </c>
      <c r="N32" s="588">
        <f>'LHJ Summary Pg 3-Do Not Input'!$N$35</f>
        <v>319643</v>
      </c>
      <c r="O32" s="560">
        <f>'LHJ Summary Pg 3-Do Not Input'!$C$35</f>
        <v>4030</v>
      </c>
      <c r="P32" s="582">
        <f t="shared" si="4"/>
        <v>79.315880893300246</v>
      </c>
    </row>
    <row r="33" spans="1:16" x14ac:dyDescent="0.2">
      <c r="A33" s="565" t="s">
        <v>104</v>
      </c>
      <c r="B33" s="570">
        <f>'LHJ Summary Pg 3-Do Not Input'!$C$36</f>
        <v>61400</v>
      </c>
      <c r="C33" s="555">
        <f>'LHJ Summary Pg 3-Do Not Input'!$D$36</f>
        <v>19.5</v>
      </c>
      <c r="D33" s="571">
        <f t="shared" si="0"/>
        <v>3148.7179487179487</v>
      </c>
      <c r="E33" s="579">
        <f>'LHJ Summary Pg 3-Do Not Input'!$E$36</f>
        <v>325658</v>
      </c>
      <c r="F33" s="554">
        <f>'LHJ Summary Pg 3-Do Not Input'!$C$36</f>
        <v>61400</v>
      </c>
      <c r="G33" s="580">
        <f t="shared" si="1"/>
        <v>5.3038762214983715</v>
      </c>
      <c r="H33" s="579">
        <f>'LHJ Summary Pg 3-Do Not Input'!$H36</f>
        <v>42000</v>
      </c>
      <c r="I33" s="554">
        <f>'LHJ Summary Pg 3-Do Not Input'!$C$36</f>
        <v>61400</v>
      </c>
      <c r="J33" s="580">
        <f t="shared" si="2"/>
        <v>0.68403908794788271</v>
      </c>
      <c r="K33" s="579">
        <f>'LHJ Summary Pg 3-Do Not Input'!$I$36</f>
        <v>302173</v>
      </c>
      <c r="L33" s="554">
        <f>'LHJ Summary Pg 3-Do Not Input'!$C$36</f>
        <v>61400</v>
      </c>
      <c r="M33" s="580">
        <f t="shared" si="3"/>
        <v>4.9213843648208471</v>
      </c>
      <c r="N33" s="587">
        <f>'LHJ Summary Pg 3-Do Not Input'!$N$36</f>
        <v>1640486</v>
      </c>
      <c r="O33" s="554">
        <f>'LHJ Summary Pg 3-Do Not Input'!$C$36</f>
        <v>61400</v>
      </c>
      <c r="P33" s="580">
        <f t="shared" si="4"/>
        <v>26.718013029315962</v>
      </c>
    </row>
    <row r="34" spans="1:16" x14ac:dyDescent="0.2">
      <c r="A34" s="564" t="s">
        <v>105</v>
      </c>
      <c r="B34" s="572">
        <f>'LHJ Summary Pg 3-Do Not Input'!$C$37</f>
        <v>216300</v>
      </c>
      <c r="C34" s="561">
        <f>'LHJ Summary Pg 3-Do Not Input'!$D$37</f>
        <v>81.400000000000006</v>
      </c>
      <c r="D34" s="573">
        <f t="shared" si="0"/>
        <v>2657.248157248157</v>
      </c>
      <c r="E34" s="581">
        <f>'LHJ Summary Pg 3-Do Not Input'!$E$37</f>
        <v>2344260</v>
      </c>
      <c r="F34" s="560">
        <f>'LHJ Summary Pg 3-Do Not Input'!$C$37</f>
        <v>216300</v>
      </c>
      <c r="G34" s="582">
        <f t="shared" si="1"/>
        <v>10.838002773925105</v>
      </c>
      <c r="H34" s="581">
        <f>'LHJ Summary Pg 3-Do Not Input'!$H37</f>
        <v>120699</v>
      </c>
      <c r="I34" s="560">
        <f>'LHJ Summary Pg 3-Do Not Input'!$C$37</f>
        <v>216300</v>
      </c>
      <c r="J34" s="582">
        <f t="shared" si="2"/>
        <v>0.55801664355062408</v>
      </c>
      <c r="K34" s="581">
        <f>'LHJ Summary Pg 3-Do Not Input'!$I$37</f>
        <v>1214301</v>
      </c>
      <c r="L34" s="560">
        <f>'LHJ Summary Pg 3-Do Not Input'!$C$37</f>
        <v>216300</v>
      </c>
      <c r="M34" s="582">
        <f t="shared" si="3"/>
        <v>5.613966712898752</v>
      </c>
      <c r="N34" s="588">
        <f>'LHJ Summary Pg 3-Do Not Input'!$N$37</f>
        <v>19148880</v>
      </c>
      <c r="O34" s="560">
        <f>'LHJ Summary Pg 3-Do Not Input'!$C$37</f>
        <v>216300</v>
      </c>
      <c r="P34" s="582">
        <f t="shared" si="4"/>
        <v>88.529264909847427</v>
      </c>
    </row>
    <row r="35" spans="1:16" x14ac:dyDescent="0.2">
      <c r="A35" s="563" t="s">
        <v>106</v>
      </c>
      <c r="B35" s="570">
        <f>'LHJ Summary Pg 3-Do Not Input'!$C$38</f>
        <v>48640</v>
      </c>
      <c r="C35" s="555">
        <f>'LHJ Summary Pg 3-Do Not Input'!$D$38</f>
        <v>10.8</v>
      </c>
      <c r="D35" s="571">
        <f t="shared" si="0"/>
        <v>4503.7037037037035</v>
      </c>
      <c r="E35" s="579">
        <f>'LHJ Summary Pg 3-Do Not Input'!$E$38</f>
        <v>53399</v>
      </c>
      <c r="F35" s="554">
        <f>'LHJ Summary Pg 3-Do Not Input'!$C$38</f>
        <v>48640</v>
      </c>
      <c r="G35" s="580">
        <f t="shared" si="1"/>
        <v>1.0978412828947368</v>
      </c>
      <c r="H35" s="579">
        <f>'LHJ Summary Pg 3-Do Not Input'!$H38</f>
        <v>42000</v>
      </c>
      <c r="I35" s="554">
        <f>'LHJ Summary Pg 3-Do Not Input'!$C$38</f>
        <v>48640</v>
      </c>
      <c r="J35" s="580">
        <f t="shared" si="2"/>
        <v>0.86348684210526316</v>
      </c>
      <c r="K35" s="579">
        <f>'LHJ Summary Pg 3-Do Not Input'!$I$38</f>
        <v>189355</v>
      </c>
      <c r="L35" s="554">
        <f>'LHJ Summary Pg 3-Do Not Input'!$C$38</f>
        <v>48640</v>
      </c>
      <c r="M35" s="580">
        <f t="shared" si="3"/>
        <v>3.8929893092105261</v>
      </c>
      <c r="N35" s="587">
        <f>'LHJ Summary Pg 3-Do Not Input'!$N$38</f>
        <v>733853</v>
      </c>
      <c r="O35" s="554">
        <f>'LHJ Summary Pg 3-Do Not Input'!$C$38</f>
        <v>48640</v>
      </c>
      <c r="P35" s="580">
        <f t="shared" si="4"/>
        <v>15.087438322368421</v>
      </c>
    </row>
    <row r="36" spans="1:16" x14ac:dyDescent="0.2">
      <c r="A36" s="564" t="s">
        <v>107</v>
      </c>
      <c r="B36" s="572">
        <f>'LHJ Summary Pg 3-Do Not Input'!$C$39</f>
        <v>253000</v>
      </c>
      <c r="C36" s="561">
        <f>'LHJ Summary Pg 3-Do Not Input'!$D$39</f>
        <v>27.72</v>
      </c>
      <c r="D36" s="573">
        <f t="shared" si="0"/>
        <v>9126.9841269841272</v>
      </c>
      <c r="E36" s="581">
        <f>'LHJ Summary Pg 3-Do Not Input'!$E$39</f>
        <v>157536</v>
      </c>
      <c r="F36" s="560">
        <f>'LHJ Summary Pg 3-Do Not Input'!$C$39</f>
        <v>253000</v>
      </c>
      <c r="G36" s="582">
        <f t="shared" si="1"/>
        <v>0.62267193675889332</v>
      </c>
      <c r="H36" s="581" t="str">
        <f>'LHJ Summary Pg 3-Do Not Input'!$H39</f>
        <v>0</v>
      </c>
      <c r="I36" s="560">
        <f>'LHJ Summary Pg 3-Do Not Input'!$C$39</f>
        <v>253000</v>
      </c>
      <c r="J36" s="582">
        <f t="shared" si="2"/>
        <v>0</v>
      </c>
      <c r="K36" s="581">
        <f>'LHJ Summary Pg 3-Do Not Input'!$I$39</f>
        <v>1052484</v>
      </c>
      <c r="L36" s="560">
        <f>'LHJ Summary Pg 3-Do Not Input'!$C$39</f>
        <v>253000</v>
      </c>
      <c r="M36" s="582">
        <f t="shared" si="3"/>
        <v>4.16001581027668</v>
      </c>
      <c r="N36" s="588">
        <f>'LHJ Summary Pg 3-Do Not Input'!$N$39</f>
        <v>5229926</v>
      </c>
      <c r="O36" s="560">
        <f>'LHJ Summary Pg 3-Do Not Input'!$C$39</f>
        <v>253000</v>
      </c>
      <c r="P36" s="582">
        <f t="shared" si="4"/>
        <v>20.671644268774703</v>
      </c>
    </row>
    <row r="37" spans="1:16" s="27" customFormat="1" ht="15" customHeight="1" thickBot="1" x14ac:dyDescent="0.25">
      <c r="A37" s="566" t="s">
        <v>172</v>
      </c>
      <c r="B37" s="574">
        <f>SUM(B2:B36)</f>
        <v>7310300</v>
      </c>
      <c r="C37" s="575">
        <f>SUM(C2:C36)</f>
        <v>2853.8109999999997</v>
      </c>
      <c r="D37" s="576">
        <f>B37/C37</f>
        <v>2561.5922007448989</v>
      </c>
      <c r="E37" s="583">
        <f>SUM(E2:E36)</f>
        <v>118271982</v>
      </c>
      <c r="F37" s="584">
        <f>SUM(F2:F36)</f>
        <v>7310300</v>
      </c>
      <c r="G37" s="585">
        <f>E37/F37</f>
        <v>16.178813728574752</v>
      </c>
      <c r="H37" s="583">
        <f>SUM(H2:H36)</f>
        <v>3487275</v>
      </c>
      <c r="I37" s="584">
        <f>SUM(I2:I36)</f>
        <v>7310300</v>
      </c>
      <c r="J37" s="585">
        <f>H37/I37</f>
        <v>0.47703582616308499</v>
      </c>
      <c r="K37" s="583">
        <f>SUM(K2:K36)</f>
        <v>36006965</v>
      </c>
      <c r="L37" s="584">
        <f>SUM(L2:L36)</f>
        <v>7310300</v>
      </c>
      <c r="M37" s="585">
        <f>K37/L37</f>
        <v>4.9255112649275681</v>
      </c>
      <c r="N37" s="583">
        <f>SUM(N2:N36)</f>
        <v>417215752</v>
      </c>
      <c r="O37" s="584">
        <f>SUM(O2:O36)</f>
        <v>7310300</v>
      </c>
      <c r="P37" s="585">
        <f>N37/O37</f>
        <v>57.072316047221044</v>
      </c>
    </row>
    <row r="38" spans="1:16" x14ac:dyDescent="0.2">
      <c r="A38" s="550"/>
      <c r="B38" s="550"/>
      <c r="C38" s="550"/>
      <c r="D38" s="550"/>
      <c r="E38" s="551"/>
      <c r="F38" s="550"/>
      <c r="G38" s="550"/>
      <c r="H38" s="552"/>
      <c r="I38" s="550"/>
      <c r="J38" s="552"/>
      <c r="K38" s="550"/>
      <c r="L38" s="553"/>
      <c r="M38" s="550"/>
      <c r="N38" s="550"/>
      <c r="O38" s="550"/>
      <c r="P38" s="550"/>
    </row>
    <row r="39" spans="1:16" x14ac:dyDescent="0.2">
      <c r="B39" s="543"/>
      <c r="F39" s="544"/>
      <c r="G39" s="545"/>
      <c r="H39" s="545"/>
      <c r="I39" s="545"/>
      <c r="J39" s="545"/>
    </row>
    <row r="40" spans="1:16" x14ac:dyDescent="0.2">
      <c r="B40" s="543"/>
      <c r="F40" s="546"/>
      <c r="G40" s="547"/>
      <c r="H40" s="548"/>
      <c r="I40" s="547"/>
      <c r="J40" s="548"/>
    </row>
    <row r="41" spans="1:16" x14ac:dyDescent="0.2">
      <c r="F41" s="546"/>
      <c r="G41" s="548"/>
      <c r="H41" s="548"/>
      <c r="I41" s="548"/>
      <c r="J41" s="548"/>
    </row>
    <row r="42" spans="1:16" x14ac:dyDescent="0.2">
      <c r="F42" s="546"/>
      <c r="G42" s="547"/>
      <c r="H42" s="548"/>
      <c r="I42" s="547"/>
      <c r="J42" s="548"/>
    </row>
    <row r="43" spans="1:16" x14ac:dyDescent="0.2">
      <c r="F43" s="546"/>
      <c r="G43" s="548"/>
      <c r="H43" s="548"/>
      <c r="I43" s="548"/>
      <c r="J43" s="548"/>
    </row>
  </sheetData>
  <printOptions horizontalCentered="1"/>
  <pageMargins left="0" right="0" top="1.25" bottom="0.5" header="0.3" footer="0.3"/>
  <pageSetup scale="69" firstPageNumber="79" orientation="landscape" useFirstPageNumber="1" r:id="rId1"/>
  <headerFooter>
    <oddHeader>&amp;C&amp;"Arial,Bold"&amp;16Per Capita Expenditure Data
2017
All Local Health Jurisdictions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5" sqref="A15"/>
    </sheetView>
  </sheetViews>
  <sheetFormatPr defaultRowHeight="15" x14ac:dyDescent="0.25"/>
  <cols>
    <col min="1" max="1" width="28.5703125" customWidth="1"/>
    <col min="2" max="2" width="28.5703125" style="5" customWidth="1"/>
  </cols>
  <sheetData>
    <row r="1" spans="1:2" x14ac:dyDescent="0.25">
      <c r="A1" s="6" t="s">
        <v>1</v>
      </c>
      <c r="B1" s="7">
        <v>9261386</v>
      </c>
    </row>
    <row r="2" spans="1:2" x14ac:dyDescent="0.25">
      <c r="A2" s="6" t="s">
        <v>2</v>
      </c>
      <c r="B2" s="7">
        <v>35965458</v>
      </c>
    </row>
    <row r="3" spans="1:2" x14ac:dyDescent="0.25">
      <c r="A3" s="6" t="s">
        <v>40</v>
      </c>
      <c r="B3" s="7">
        <v>20196195</v>
      </c>
    </row>
    <row r="4" spans="1:2" x14ac:dyDescent="0.25">
      <c r="A4" s="6" t="s">
        <v>136</v>
      </c>
      <c r="B4" s="7">
        <v>46727758</v>
      </c>
    </row>
    <row r="5" spans="1:2" x14ac:dyDescent="0.25">
      <c r="A5" s="6" t="s">
        <v>5</v>
      </c>
      <c r="B5" s="7">
        <v>24881621</v>
      </c>
    </row>
    <row r="6" spans="1:2" x14ac:dyDescent="0.25">
      <c r="A6" s="6" t="s">
        <v>134</v>
      </c>
      <c r="B6" s="7">
        <v>87220190</v>
      </c>
    </row>
    <row r="7" spans="1:2" x14ac:dyDescent="0.25">
      <c r="A7" s="6" t="s">
        <v>135</v>
      </c>
      <c r="B7" s="7">
        <v>131876822</v>
      </c>
    </row>
    <row r="8" spans="1:2" x14ac:dyDescent="0.25">
      <c r="A8" s="6" t="s">
        <v>108</v>
      </c>
      <c r="B8" s="7">
        <v>10813352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4"/>
  <sheetViews>
    <sheetView view="pageLayout" zoomScale="40" zoomScaleNormal="100" zoomScalePageLayoutView="40" workbookViewId="0">
      <selection activeCell="H52" sqref="H52"/>
    </sheetView>
  </sheetViews>
  <sheetFormatPr defaultColWidth="8.85546875" defaultRowHeight="12.75" outlineLevelRow="1" x14ac:dyDescent="0.2"/>
  <cols>
    <col min="1" max="1" width="9.140625" style="18" customWidth="1"/>
    <col min="2" max="2" width="30.42578125" style="18" customWidth="1"/>
    <col min="3" max="3" width="15.140625" style="18" customWidth="1"/>
    <col min="4" max="4" width="18.7109375" style="18" customWidth="1"/>
    <col min="5" max="5" width="9.140625" style="18" customWidth="1"/>
    <col min="6" max="6" width="10.42578125" style="18" customWidth="1"/>
    <col min="7" max="7" width="11.7109375" style="18" customWidth="1"/>
    <col min="8" max="8" width="12.5703125" style="18" customWidth="1"/>
    <col min="9" max="9" width="11.5703125" style="18" customWidth="1"/>
    <col min="10" max="10" width="13.5703125" style="18" customWidth="1"/>
    <col min="11" max="12" width="9.140625" style="18" customWidth="1"/>
    <col min="13" max="13" width="12.140625" style="18" customWidth="1"/>
    <col min="14" max="14" width="8.85546875" style="18"/>
    <col min="15" max="15" width="12.140625" style="18" customWidth="1"/>
    <col min="16" max="16" width="9.5703125" style="18" customWidth="1"/>
    <col min="17" max="17" width="9.140625" style="18" customWidth="1"/>
    <col min="18" max="16384" width="8.85546875" style="18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4" ht="12.75" customHeight="1" x14ac:dyDescent="0.2"/>
    <row r="34" spans="2:4" ht="12.75" customHeight="1" x14ac:dyDescent="0.2"/>
    <row r="35" spans="2:4" ht="12.75" customHeight="1" x14ac:dyDescent="0.2"/>
    <row r="36" spans="2:4" ht="12.75" customHeight="1" x14ac:dyDescent="0.2"/>
    <row r="37" spans="2:4" ht="12.75" customHeight="1" x14ac:dyDescent="0.2"/>
    <row r="38" spans="2:4" ht="12.75" hidden="1" customHeight="1" outlineLevel="1" x14ac:dyDescent="0.2"/>
    <row r="39" spans="2:4" ht="12.75" hidden="1" customHeight="1" outlineLevel="1" x14ac:dyDescent="0.2"/>
    <row r="40" spans="2:4" ht="12.75" hidden="1" customHeight="1" outlineLevel="1" x14ac:dyDescent="0.2"/>
    <row r="41" spans="2:4" ht="12.75" customHeight="1" collapsed="1" x14ac:dyDescent="0.2"/>
    <row r="42" spans="2:4" ht="12.75" customHeight="1" x14ac:dyDescent="0.2"/>
    <row r="43" spans="2:4" ht="12.75" customHeight="1" x14ac:dyDescent="0.2"/>
    <row r="44" spans="2:4" ht="12.75" customHeight="1" thickBot="1" x14ac:dyDescent="0.25"/>
    <row r="45" spans="2:4" ht="14.25" customHeight="1" thickBot="1" x14ac:dyDescent="0.25">
      <c r="B45" s="234" t="s">
        <v>71</v>
      </c>
      <c r="C45" s="235"/>
      <c r="D45" s="236"/>
    </row>
    <row r="46" spans="2:4" ht="12.75" customHeight="1" x14ac:dyDescent="0.2">
      <c r="B46" s="237"/>
      <c r="C46" s="238" t="s">
        <v>42</v>
      </c>
      <c r="D46" s="239" t="s">
        <v>39</v>
      </c>
    </row>
    <row r="47" spans="2:4" ht="12.75" customHeight="1" x14ac:dyDescent="0.2">
      <c r="B47" s="240" t="s">
        <v>69</v>
      </c>
      <c r="C47" s="241"/>
      <c r="D47" s="242"/>
    </row>
    <row r="48" spans="2:4" ht="12.75" customHeight="1" x14ac:dyDescent="0.2">
      <c r="B48" s="243" t="s">
        <v>62</v>
      </c>
      <c r="C48" s="244">
        <f>'LHJ Summary Pg 3-Do Not Input'!E40</f>
        <v>118271982</v>
      </c>
      <c r="D48" s="245">
        <f>C48/C63</f>
        <v>0.28347918656724158</v>
      </c>
    </row>
    <row r="49" spans="1:6" ht="12.75" customHeight="1" x14ac:dyDescent="0.2">
      <c r="B49" s="243" t="s">
        <v>6</v>
      </c>
      <c r="C49" s="244">
        <f>'LHJ Summary Pg 3-Do Not Input'!F40</f>
        <v>142386553</v>
      </c>
      <c r="D49" s="245">
        <f>C49/C63</f>
        <v>0.34127798942739823</v>
      </c>
    </row>
    <row r="50" spans="1:6" ht="12.75" customHeight="1" thickBot="1" x14ac:dyDescent="0.25">
      <c r="B50" s="246" t="s">
        <v>158</v>
      </c>
      <c r="C50" s="247">
        <f>SUM(C48:C49)</f>
        <v>260658535</v>
      </c>
      <c r="D50" s="248">
        <f>SUM(D48:D49)</f>
        <v>0.62475717599463976</v>
      </c>
    </row>
    <row r="51" spans="1:6" ht="12.75" customHeight="1" x14ac:dyDescent="0.2">
      <c r="B51" s="249" t="s">
        <v>109</v>
      </c>
      <c r="C51" s="250"/>
      <c r="D51" s="251"/>
    </row>
    <row r="52" spans="1:6" ht="12.75" customHeight="1" x14ac:dyDescent="0.2">
      <c r="B52" s="252" t="s">
        <v>1</v>
      </c>
      <c r="C52" s="253">
        <f>'LHJ Summary Pg 3-Do Not Input'!G40</f>
        <v>10180855</v>
      </c>
      <c r="D52" s="254">
        <f>C52/C63</f>
        <v>2.4401895065553517E-2</v>
      </c>
    </row>
    <row r="53" spans="1:6" ht="12.75" customHeight="1" x14ac:dyDescent="0.2">
      <c r="B53" s="252" t="s">
        <v>157</v>
      </c>
      <c r="C53" s="253">
        <f>'LHJ Summary Pg 3-Do Not Input'!H40</f>
        <v>3487275</v>
      </c>
      <c r="D53" s="254">
        <f>C53/C63</f>
        <v>8.3584452007938563E-3</v>
      </c>
    </row>
    <row r="54" spans="1:6" ht="12.75" customHeight="1" x14ac:dyDescent="0.2">
      <c r="B54" s="252" t="s">
        <v>2</v>
      </c>
      <c r="C54" s="253">
        <f>'LHJ Summary Pg 3-Do Not Input'!I40</f>
        <v>36006965</v>
      </c>
      <c r="D54" s="254">
        <f>C54/C63</f>
        <v>8.6302985511438696E-2</v>
      </c>
    </row>
    <row r="55" spans="1:6" ht="12.75" customHeight="1" x14ac:dyDescent="0.2">
      <c r="B55" s="252" t="s">
        <v>40</v>
      </c>
      <c r="C55" s="253">
        <f>'LHJ Summary Pg 3-Do Not Input'!J40</f>
        <v>19569022</v>
      </c>
      <c r="D55" s="254">
        <f>C55/C63</f>
        <v>4.6903842690963406E-2</v>
      </c>
    </row>
    <row r="56" spans="1:6" ht="12.75" customHeight="1" thickBot="1" x14ac:dyDescent="0.25">
      <c r="B56" s="255" t="s">
        <v>159</v>
      </c>
      <c r="C56" s="256">
        <f>SUM(C52:C55)</f>
        <v>69244117</v>
      </c>
      <c r="D56" s="257">
        <f>SUM(D52:D55)</f>
        <v>0.16596716846874948</v>
      </c>
    </row>
    <row r="57" spans="1:6" ht="12.75" customHeight="1" x14ac:dyDescent="0.2">
      <c r="B57" s="240" t="s">
        <v>110</v>
      </c>
      <c r="C57" s="258"/>
      <c r="D57" s="259"/>
    </row>
    <row r="58" spans="1:6" ht="12.75" customHeight="1" x14ac:dyDescent="0.2">
      <c r="B58" s="243" t="s">
        <v>4</v>
      </c>
      <c r="C58" s="244">
        <f>'LHJ Summary Pg 3-Do Not Input'!K40</f>
        <v>41747834</v>
      </c>
      <c r="D58" s="245">
        <f>C58/C63</f>
        <v>0.1000629381797646</v>
      </c>
    </row>
    <row r="59" spans="1:6" ht="12.75" customHeight="1" x14ac:dyDescent="0.2">
      <c r="B59" s="243" t="s">
        <v>5</v>
      </c>
      <c r="C59" s="244">
        <f>'LHJ Summary Pg 3-Do Not Input'!L40</f>
        <v>32552055</v>
      </c>
      <c r="D59" s="245">
        <f>C59/C63</f>
        <v>7.8022114083554542E-2</v>
      </c>
    </row>
    <row r="60" spans="1:6" ht="12.75" customHeight="1" thickBot="1" x14ac:dyDescent="0.25">
      <c r="B60" s="246" t="s">
        <v>160</v>
      </c>
      <c r="C60" s="247">
        <f>SUM(C58:C59)</f>
        <v>74299889</v>
      </c>
      <c r="D60" s="248">
        <f>SUM(D58:D59)</f>
        <v>0.17808505226331914</v>
      </c>
    </row>
    <row r="61" spans="1:6" ht="12.75" customHeight="1" x14ac:dyDescent="0.2">
      <c r="B61" s="260" t="s">
        <v>108</v>
      </c>
      <c r="C61" s="261"/>
      <c r="D61" s="262"/>
    </row>
    <row r="62" spans="1:6" ht="13.5" thickBot="1" x14ac:dyDescent="0.25">
      <c r="B62" s="263" t="s">
        <v>161</v>
      </c>
      <c r="C62" s="256">
        <f>'LHJ Summary Pg 3-Do Not Input'!M40</f>
        <v>13013211</v>
      </c>
      <c r="D62" s="257">
        <f>C62/C63</f>
        <v>3.119060327329156E-2</v>
      </c>
    </row>
    <row r="63" spans="1:6" ht="13.5" thickBot="1" x14ac:dyDescent="0.25">
      <c r="B63" s="264" t="s">
        <v>41</v>
      </c>
      <c r="C63" s="265">
        <f>C56+C60+C50+C62</f>
        <v>417215752</v>
      </c>
      <c r="D63" s="266">
        <f>D56+D60+D50+D62</f>
        <v>1</v>
      </c>
    </row>
    <row r="64" spans="1:6" ht="15" customHeight="1" x14ac:dyDescent="0.2">
      <c r="A64" s="59"/>
      <c r="B64" s="59"/>
      <c r="C64" s="59"/>
      <c r="D64" s="59"/>
      <c r="E64" s="59"/>
      <c r="F64" s="59"/>
    </row>
  </sheetData>
  <pageMargins left="6.875E-3" right="6.875E-3" top="0.98" bottom="0.65" header="0.3" footer="0.3"/>
  <pageSetup scale="63" firstPageNumber="7" orientation="landscape" useFirstPageNumber="1" r:id="rId1"/>
  <headerFooter>
    <oddHeader xml:space="preserve">&amp;C&amp;"Arial,Bold"&amp;20Expenditures by Funding Sources - Detail
2017
All Local Health Jurisdictions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4"/>
  <sheetViews>
    <sheetView showZeros="0" view="pageLayout" zoomScaleNormal="100" workbookViewId="0">
      <selection activeCell="E1" sqref="E1"/>
    </sheetView>
  </sheetViews>
  <sheetFormatPr defaultColWidth="0.85546875" defaultRowHeight="15" x14ac:dyDescent="0.25"/>
  <cols>
    <col min="1" max="1" width="7.85546875" style="129" customWidth="1"/>
    <col min="2" max="2" width="40.42578125" style="129" customWidth="1"/>
    <col min="3" max="3" width="14.140625" style="176" customWidth="1"/>
    <col min="4" max="4" width="12.85546875" style="176" customWidth="1"/>
    <col min="5" max="7" width="12.85546875" style="129" customWidth="1"/>
    <col min="8" max="10" width="12.85546875" style="176" customWidth="1"/>
    <col min="11" max="11" width="12.85546875" style="129" customWidth="1"/>
    <col min="12" max="12" width="14.7109375" style="129" customWidth="1"/>
    <col min="13" max="13" width="11.5703125" style="14" customWidth="1"/>
    <col min="14" max="16384" width="0.85546875" style="11"/>
  </cols>
  <sheetData>
    <row r="1" spans="1:13" s="80" customFormat="1" ht="14.25" x14ac:dyDescent="0.2">
      <c r="A1" s="526" t="s">
        <v>174</v>
      </c>
      <c r="B1" s="526"/>
      <c r="C1" s="267">
        <v>19870</v>
      </c>
      <c r="D1" s="134"/>
      <c r="E1" s="268"/>
      <c r="F1" s="268"/>
      <c r="G1" s="269"/>
      <c r="H1" s="134"/>
      <c r="I1" s="134"/>
      <c r="J1" s="134"/>
      <c r="K1" s="126"/>
      <c r="L1" s="126"/>
      <c r="M1" s="79"/>
    </row>
    <row r="2" spans="1:13" s="80" customFormat="1" thickBot="1" x14ac:dyDescent="0.25">
      <c r="A2" s="527" t="s">
        <v>175</v>
      </c>
      <c r="B2" s="527"/>
      <c r="C2" s="270">
        <v>8.75</v>
      </c>
      <c r="D2" s="134"/>
      <c r="E2" s="268"/>
      <c r="F2" s="268"/>
      <c r="G2" s="269"/>
      <c r="H2" s="134"/>
      <c r="I2" s="134"/>
      <c r="J2" s="525" t="s">
        <v>143</v>
      </c>
      <c r="K2" s="525"/>
      <c r="L2" s="271" t="s">
        <v>137</v>
      </c>
      <c r="M2" s="81"/>
    </row>
    <row r="3" spans="1:13" s="80" customFormat="1" ht="16.5" customHeight="1" thickBot="1" x14ac:dyDescent="0.25">
      <c r="A3" s="272"/>
      <c r="B3" s="85"/>
      <c r="C3" s="523" t="s">
        <v>69</v>
      </c>
      <c r="D3" s="523"/>
      <c r="E3" s="519" t="s">
        <v>67</v>
      </c>
      <c r="F3" s="520"/>
      <c r="G3" s="520"/>
      <c r="H3" s="521"/>
      <c r="I3" s="519" t="s">
        <v>68</v>
      </c>
      <c r="J3" s="521"/>
      <c r="K3" s="273" t="s">
        <v>70</v>
      </c>
      <c r="L3" s="86"/>
    </row>
    <row r="4" spans="1:13" s="80" customFormat="1" ht="43.35" customHeight="1" thickBot="1" x14ac:dyDescent="0.25">
      <c r="A4" s="274" t="s">
        <v>65</v>
      </c>
      <c r="B4" s="275" t="s">
        <v>64</v>
      </c>
      <c r="C4" s="139" t="s">
        <v>62</v>
      </c>
      <c r="D4" s="117" t="s">
        <v>6</v>
      </c>
      <c r="E4" s="140" t="s">
        <v>1</v>
      </c>
      <c r="F4" s="141" t="s">
        <v>157</v>
      </c>
      <c r="G4" s="141" t="s">
        <v>2</v>
      </c>
      <c r="H4" s="276" t="s">
        <v>3</v>
      </c>
      <c r="I4" s="277" t="s">
        <v>4</v>
      </c>
      <c r="J4" s="276" t="s">
        <v>5</v>
      </c>
      <c r="K4" s="89" t="s">
        <v>8</v>
      </c>
      <c r="L4" s="143" t="s">
        <v>0</v>
      </c>
    </row>
    <row r="5" spans="1:13" s="307" customFormat="1" ht="15" customHeight="1" x14ac:dyDescent="0.2">
      <c r="A5" s="296">
        <v>562.1</v>
      </c>
      <c r="B5" s="297" t="s">
        <v>9</v>
      </c>
      <c r="C5" s="298">
        <v>28897</v>
      </c>
      <c r="D5" s="299"/>
      <c r="E5" s="300"/>
      <c r="F5" s="301"/>
      <c r="G5" s="302"/>
      <c r="H5" s="303"/>
      <c r="I5" s="304"/>
      <c r="J5" s="299">
        <v>39780</v>
      </c>
      <c r="K5" s="305">
        <v>100289</v>
      </c>
      <c r="L5" s="306">
        <f>SUM(C5:K5)</f>
        <v>168966</v>
      </c>
    </row>
    <row r="6" spans="1:13" s="307" customFormat="1" ht="15" customHeight="1" x14ac:dyDescent="0.2">
      <c r="A6" s="308">
        <v>562.11</v>
      </c>
      <c r="B6" s="309" t="s">
        <v>145</v>
      </c>
      <c r="C6" s="298"/>
      <c r="D6" s="299"/>
      <c r="E6" s="310"/>
      <c r="F6" s="299"/>
      <c r="G6" s="311"/>
      <c r="H6" s="312"/>
      <c r="I6" s="304"/>
      <c r="J6" s="299"/>
      <c r="K6" s="313"/>
      <c r="L6" s="306">
        <f t="shared" ref="L6:L11" si="0">SUM(C6:K6)</f>
        <v>0</v>
      </c>
    </row>
    <row r="7" spans="1:13" s="307" customFormat="1" ht="15" customHeight="1" x14ac:dyDescent="0.2">
      <c r="A7" s="308">
        <v>562.12</v>
      </c>
      <c r="B7" s="309" t="s">
        <v>146</v>
      </c>
      <c r="C7" s="298"/>
      <c r="D7" s="299"/>
      <c r="E7" s="310"/>
      <c r="F7" s="299"/>
      <c r="G7" s="311"/>
      <c r="H7" s="312"/>
      <c r="I7" s="304"/>
      <c r="J7" s="299"/>
      <c r="K7" s="313"/>
      <c r="L7" s="306">
        <f t="shared" si="0"/>
        <v>0</v>
      </c>
    </row>
    <row r="8" spans="1:13" s="307" customFormat="1" ht="15" customHeight="1" x14ac:dyDescent="0.2">
      <c r="A8" s="308">
        <v>562.13</v>
      </c>
      <c r="B8" s="309" t="s">
        <v>147</v>
      </c>
      <c r="C8" s="298"/>
      <c r="D8" s="299"/>
      <c r="E8" s="310"/>
      <c r="F8" s="299">
        <v>42000</v>
      </c>
      <c r="G8" s="311"/>
      <c r="H8" s="312"/>
      <c r="I8" s="304"/>
      <c r="J8" s="299"/>
      <c r="K8" s="313"/>
      <c r="L8" s="306">
        <f t="shared" si="0"/>
        <v>42000</v>
      </c>
    </row>
    <row r="9" spans="1:13" s="307" customFormat="1" ht="15" customHeight="1" x14ac:dyDescent="0.2">
      <c r="A9" s="308">
        <v>562.14</v>
      </c>
      <c r="B9" s="309" t="s">
        <v>148</v>
      </c>
      <c r="C9" s="298"/>
      <c r="D9" s="299"/>
      <c r="E9" s="310"/>
      <c r="F9" s="299"/>
      <c r="G9" s="311"/>
      <c r="H9" s="312"/>
      <c r="I9" s="304"/>
      <c r="J9" s="299"/>
      <c r="K9" s="313"/>
      <c r="L9" s="306">
        <f t="shared" si="0"/>
        <v>0</v>
      </c>
    </row>
    <row r="10" spans="1:13" s="307" customFormat="1" ht="15" customHeight="1" x14ac:dyDescent="0.2">
      <c r="A10" s="308">
        <v>562.15</v>
      </c>
      <c r="B10" s="309" t="s">
        <v>149</v>
      </c>
      <c r="C10" s="298"/>
      <c r="D10" s="299"/>
      <c r="E10" s="310"/>
      <c r="F10" s="299"/>
      <c r="G10" s="311"/>
      <c r="H10" s="312"/>
      <c r="I10" s="304"/>
      <c r="J10" s="299"/>
      <c r="K10" s="313"/>
      <c r="L10" s="306">
        <f t="shared" si="0"/>
        <v>0</v>
      </c>
    </row>
    <row r="11" spans="1:13" s="307" customFormat="1" ht="15" customHeight="1" x14ac:dyDescent="0.2">
      <c r="A11" s="308">
        <v>562.22</v>
      </c>
      <c r="B11" s="309" t="s">
        <v>51</v>
      </c>
      <c r="C11" s="298"/>
      <c r="D11" s="299"/>
      <c r="E11" s="310"/>
      <c r="F11" s="299"/>
      <c r="G11" s="311"/>
      <c r="H11" s="312"/>
      <c r="I11" s="304">
        <v>4826</v>
      </c>
      <c r="J11" s="299"/>
      <c r="K11" s="313"/>
      <c r="L11" s="306">
        <f t="shared" si="0"/>
        <v>4826</v>
      </c>
    </row>
    <row r="12" spans="1:13" s="307" customFormat="1" ht="15" customHeight="1" x14ac:dyDescent="0.2">
      <c r="A12" s="308">
        <v>562.24</v>
      </c>
      <c r="B12" s="309" t="s">
        <v>10</v>
      </c>
      <c r="C12" s="298"/>
      <c r="D12" s="299"/>
      <c r="E12" s="310">
        <v>9233</v>
      </c>
      <c r="F12" s="299"/>
      <c r="G12" s="311"/>
      <c r="H12" s="312"/>
      <c r="I12" s="314"/>
      <c r="J12" s="299">
        <v>9233</v>
      </c>
      <c r="K12" s="313"/>
      <c r="L12" s="306">
        <f t="shared" ref="L12:L60" si="1">SUM(C12:K12)</f>
        <v>18466</v>
      </c>
    </row>
    <row r="13" spans="1:13" s="307" customFormat="1" ht="15" customHeight="1" x14ac:dyDescent="0.2">
      <c r="A13" s="308">
        <v>562.25</v>
      </c>
      <c r="B13" s="309" t="s">
        <v>52</v>
      </c>
      <c r="C13" s="298"/>
      <c r="D13" s="299"/>
      <c r="E13" s="310"/>
      <c r="F13" s="299"/>
      <c r="G13" s="311"/>
      <c r="H13" s="312"/>
      <c r="I13" s="304">
        <v>40961</v>
      </c>
      <c r="J13" s="299"/>
      <c r="K13" s="313"/>
      <c r="L13" s="306">
        <f t="shared" si="1"/>
        <v>40961</v>
      </c>
    </row>
    <row r="14" spans="1:13" s="307" customFormat="1" ht="15" customHeight="1" x14ac:dyDescent="0.2">
      <c r="A14" s="308">
        <v>562.26</v>
      </c>
      <c r="B14" s="309" t="s">
        <v>43</v>
      </c>
      <c r="C14" s="298"/>
      <c r="D14" s="299"/>
      <c r="E14" s="310"/>
      <c r="F14" s="299"/>
      <c r="G14" s="311"/>
      <c r="H14" s="312"/>
      <c r="I14" s="304"/>
      <c r="J14" s="299"/>
      <c r="K14" s="313"/>
      <c r="L14" s="306">
        <f t="shared" si="1"/>
        <v>0</v>
      </c>
    </row>
    <row r="15" spans="1:13" s="307" customFormat="1" ht="15" customHeight="1" x14ac:dyDescent="0.2">
      <c r="A15" s="308">
        <v>562.27</v>
      </c>
      <c r="B15" s="309" t="s">
        <v>44</v>
      </c>
      <c r="C15" s="298"/>
      <c r="D15" s="299"/>
      <c r="E15" s="310"/>
      <c r="F15" s="299"/>
      <c r="G15" s="311"/>
      <c r="H15" s="312"/>
      <c r="I15" s="304"/>
      <c r="J15" s="299"/>
      <c r="K15" s="313"/>
      <c r="L15" s="306">
        <f t="shared" si="1"/>
        <v>0</v>
      </c>
    </row>
    <row r="16" spans="1:13" s="307" customFormat="1" ht="15" customHeight="1" x14ac:dyDescent="0.2">
      <c r="A16" s="308">
        <v>562.28</v>
      </c>
      <c r="B16" s="309" t="s">
        <v>53</v>
      </c>
      <c r="C16" s="298"/>
      <c r="D16" s="299"/>
      <c r="E16" s="310"/>
      <c r="F16" s="299"/>
      <c r="G16" s="311">
        <v>39951</v>
      </c>
      <c r="H16" s="312"/>
      <c r="I16" s="304">
        <v>71014</v>
      </c>
      <c r="J16" s="299"/>
      <c r="K16" s="313"/>
      <c r="L16" s="306">
        <f t="shared" si="1"/>
        <v>110965</v>
      </c>
    </row>
    <row r="17" spans="1:12" s="307" customFormat="1" ht="15" customHeight="1" x14ac:dyDescent="0.2">
      <c r="A17" s="308">
        <v>562.29</v>
      </c>
      <c r="B17" s="309" t="s">
        <v>45</v>
      </c>
      <c r="C17" s="298"/>
      <c r="D17" s="299">
        <v>1500</v>
      </c>
      <c r="E17" s="310"/>
      <c r="F17" s="299"/>
      <c r="G17" s="311">
        <v>17911</v>
      </c>
      <c r="H17" s="312"/>
      <c r="I17" s="304"/>
      <c r="J17" s="299"/>
      <c r="K17" s="313"/>
      <c r="L17" s="306">
        <f t="shared" si="1"/>
        <v>19411</v>
      </c>
    </row>
    <row r="18" spans="1:12" s="307" customFormat="1" ht="15" customHeight="1" x14ac:dyDescent="0.2">
      <c r="A18" s="308">
        <v>562.32000000000005</v>
      </c>
      <c r="B18" s="309" t="s">
        <v>11</v>
      </c>
      <c r="C18" s="298">
        <v>6336</v>
      </c>
      <c r="D18" s="299"/>
      <c r="E18" s="310"/>
      <c r="F18" s="299"/>
      <c r="G18" s="311">
        <v>49037</v>
      </c>
      <c r="H18" s="312"/>
      <c r="I18" s="304">
        <v>4729</v>
      </c>
      <c r="J18" s="299">
        <v>25667</v>
      </c>
      <c r="K18" s="313"/>
      <c r="L18" s="306">
        <f t="shared" si="1"/>
        <v>85769</v>
      </c>
    </row>
    <row r="19" spans="1:12" s="307" customFormat="1" ht="15" customHeight="1" x14ac:dyDescent="0.2">
      <c r="A19" s="308">
        <v>562.33000000000004</v>
      </c>
      <c r="B19" s="309" t="s">
        <v>54</v>
      </c>
      <c r="C19" s="298"/>
      <c r="D19" s="299"/>
      <c r="E19" s="310"/>
      <c r="F19" s="299"/>
      <c r="G19" s="311"/>
      <c r="H19" s="312"/>
      <c r="I19" s="304"/>
      <c r="J19" s="299"/>
      <c r="K19" s="313"/>
      <c r="L19" s="306">
        <f t="shared" si="1"/>
        <v>0</v>
      </c>
    </row>
    <row r="20" spans="1:12" s="307" customFormat="1" ht="15" customHeight="1" x14ac:dyDescent="0.2">
      <c r="A20" s="308">
        <v>562.34</v>
      </c>
      <c r="B20" s="309" t="s">
        <v>12</v>
      </c>
      <c r="C20" s="298">
        <v>703</v>
      </c>
      <c r="D20" s="299"/>
      <c r="E20" s="310"/>
      <c r="F20" s="299"/>
      <c r="G20" s="311">
        <v>11567</v>
      </c>
      <c r="H20" s="312"/>
      <c r="I20" s="304"/>
      <c r="J20" s="299"/>
      <c r="K20" s="313"/>
      <c r="L20" s="306">
        <f t="shared" si="1"/>
        <v>12270</v>
      </c>
    </row>
    <row r="21" spans="1:12" s="307" customFormat="1" ht="15" customHeight="1" x14ac:dyDescent="0.2">
      <c r="A21" s="308">
        <v>562.35</v>
      </c>
      <c r="B21" s="309" t="s">
        <v>13</v>
      </c>
      <c r="C21" s="298"/>
      <c r="D21" s="299"/>
      <c r="E21" s="310"/>
      <c r="F21" s="299"/>
      <c r="G21" s="311"/>
      <c r="H21" s="312"/>
      <c r="I21" s="304"/>
      <c r="J21" s="299"/>
      <c r="K21" s="313"/>
      <c r="L21" s="306">
        <f t="shared" si="1"/>
        <v>0</v>
      </c>
    </row>
    <row r="22" spans="1:12" s="307" customFormat="1" ht="15" customHeight="1" x14ac:dyDescent="0.2">
      <c r="A22" s="308">
        <v>562.39</v>
      </c>
      <c r="B22" s="309" t="s">
        <v>14</v>
      </c>
      <c r="C22" s="298">
        <v>38471</v>
      </c>
      <c r="D22" s="299"/>
      <c r="E22" s="310"/>
      <c r="F22" s="299"/>
      <c r="G22" s="311">
        <v>2748</v>
      </c>
      <c r="H22" s="312"/>
      <c r="I22" s="304"/>
      <c r="J22" s="299"/>
      <c r="K22" s="313"/>
      <c r="L22" s="306">
        <f t="shared" si="1"/>
        <v>41219</v>
      </c>
    </row>
    <row r="23" spans="1:12" s="307" customFormat="1" ht="15" customHeight="1" x14ac:dyDescent="0.2">
      <c r="A23" s="308">
        <v>562.41</v>
      </c>
      <c r="B23" s="309" t="s">
        <v>15</v>
      </c>
      <c r="C23" s="298"/>
      <c r="D23" s="299"/>
      <c r="E23" s="310"/>
      <c r="F23" s="299"/>
      <c r="G23" s="311"/>
      <c r="H23" s="312"/>
      <c r="I23" s="304"/>
      <c r="J23" s="299"/>
      <c r="K23" s="313"/>
      <c r="L23" s="306">
        <f t="shared" si="1"/>
        <v>0</v>
      </c>
    </row>
    <row r="24" spans="1:12" s="307" customFormat="1" ht="15" customHeight="1" x14ac:dyDescent="0.2">
      <c r="A24" s="308">
        <v>562.41999999999996</v>
      </c>
      <c r="B24" s="309" t="s">
        <v>16</v>
      </c>
      <c r="C24" s="298"/>
      <c r="D24" s="299"/>
      <c r="E24" s="310"/>
      <c r="F24" s="299"/>
      <c r="G24" s="311"/>
      <c r="H24" s="312"/>
      <c r="I24" s="304"/>
      <c r="J24" s="299"/>
      <c r="K24" s="313"/>
      <c r="L24" s="306">
        <f t="shared" si="1"/>
        <v>0</v>
      </c>
    </row>
    <row r="25" spans="1:12" s="307" customFormat="1" ht="15" customHeight="1" x14ac:dyDescent="0.2">
      <c r="A25" s="308">
        <v>562.42999999999995</v>
      </c>
      <c r="B25" s="309" t="s">
        <v>55</v>
      </c>
      <c r="C25" s="298"/>
      <c r="D25" s="299"/>
      <c r="E25" s="310"/>
      <c r="F25" s="299"/>
      <c r="G25" s="311"/>
      <c r="H25" s="312"/>
      <c r="I25" s="304"/>
      <c r="J25" s="299"/>
      <c r="K25" s="313"/>
      <c r="L25" s="306">
        <f t="shared" si="1"/>
        <v>0</v>
      </c>
    </row>
    <row r="26" spans="1:12" s="307" customFormat="1" ht="15" customHeight="1" x14ac:dyDescent="0.2">
      <c r="A26" s="308">
        <v>562.44000000000005</v>
      </c>
      <c r="B26" s="309" t="s">
        <v>56</v>
      </c>
      <c r="C26" s="298">
        <v>15612</v>
      </c>
      <c r="D26" s="299"/>
      <c r="E26" s="310"/>
      <c r="F26" s="299"/>
      <c r="G26" s="311"/>
      <c r="H26" s="312">
        <v>12043</v>
      </c>
      <c r="I26" s="304"/>
      <c r="J26" s="299">
        <v>4344</v>
      </c>
      <c r="K26" s="313"/>
      <c r="L26" s="306">
        <f t="shared" si="1"/>
        <v>31999</v>
      </c>
    </row>
    <row r="27" spans="1:12" s="307" customFormat="1" ht="15" customHeight="1" x14ac:dyDescent="0.2">
      <c r="A27" s="308">
        <v>562.45000000000005</v>
      </c>
      <c r="B27" s="309" t="s">
        <v>57</v>
      </c>
      <c r="C27" s="298"/>
      <c r="D27" s="299"/>
      <c r="E27" s="310"/>
      <c r="F27" s="299"/>
      <c r="G27" s="311"/>
      <c r="H27" s="312"/>
      <c r="I27" s="304"/>
      <c r="J27" s="299"/>
      <c r="K27" s="313"/>
      <c r="L27" s="306">
        <f t="shared" si="1"/>
        <v>0</v>
      </c>
    </row>
    <row r="28" spans="1:12" s="307" customFormat="1" ht="15" customHeight="1" x14ac:dyDescent="0.2">
      <c r="A28" s="308">
        <v>562.49</v>
      </c>
      <c r="B28" s="309" t="s">
        <v>46</v>
      </c>
      <c r="C28" s="298"/>
      <c r="D28" s="299"/>
      <c r="E28" s="310"/>
      <c r="F28" s="299"/>
      <c r="G28" s="311"/>
      <c r="H28" s="312"/>
      <c r="I28" s="304"/>
      <c r="J28" s="299"/>
      <c r="K28" s="313"/>
      <c r="L28" s="306">
        <f t="shared" si="1"/>
        <v>0</v>
      </c>
    </row>
    <row r="29" spans="1:12" s="307" customFormat="1" ht="15" customHeight="1" x14ac:dyDescent="0.2">
      <c r="A29" s="308">
        <v>562.52</v>
      </c>
      <c r="B29" s="309" t="s">
        <v>17</v>
      </c>
      <c r="C29" s="298">
        <v>28227</v>
      </c>
      <c r="D29" s="299">
        <v>1200</v>
      </c>
      <c r="E29" s="310">
        <v>1200</v>
      </c>
      <c r="F29" s="299"/>
      <c r="G29" s="311"/>
      <c r="H29" s="312"/>
      <c r="I29" s="304"/>
      <c r="J29" s="299"/>
      <c r="K29" s="313"/>
      <c r="L29" s="306">
        <f t="shared" si="1"/>
        <v>30627</v>
      </c>
    </row>
    <row r="30" spans="1:12" s="307" customFormat="1" ht="15" customHeight="1" x14ac:dyDescent="0.2">
      <c r="A30" s="308">
        <v>562.53</v>
      </c>
      <c r="B30" s="309" t="s">
        <v>58</v>
      </c>
      <c r="C30" s="298">
        <v>0</v>
      </c>
      <c r="D30" s="299">
        <v>8072</v>
      </c>
      <c r="E30" s="310"/>
      <c r="F30" s="299"/>
      <c r="G30" s="311"/>
      <c r="H30" s="312">
        <v>18126</v>
      </c>
      <c r="I30" s="304"/>
      <c r="J30" s="299"/>
      <c r="K30" s="313"/>
      <c r="L30" s="306">
        <f t="shared" si="1"/>
        <v>26198</v>
      </c>
    </row>
    <row r="31" spans="1:12" s="307" customFormat="1" ht="15" customHeight="1" x14ac:dyDescent="0.2">
      <c r="A31" s="308">
        <v>562.54</v>
      </c>
      <c r="B31" s="309" t="s">
        <v>59</v>
      </c>
      <c r="C31" s="298">
        <v>27137</v>
      </c>
      <c r="D31" s="299">
        <v>20440</v>
      </c>
      <c r="E31" s="310"/>
      <c r="F31" s="299"/>
      <c r="G31" s="311"/>
      <c r="H31" s="312"/>
      <c r="I31" s="304"/>
      <c r="J31" s="299"/>
      <c r="K31" s="313"/>
      <c r="L31" s="306">
        <f t="shared" si="1"/>
        <v>47577</v>
      </c>
    </row>
    <row r="32" spans="1:12" s="307" customFormat="1" ht="15" customHeight="1" x14ac:dyDescent="0.2">
      <c r="A32" s="308">
        <v>562.54999999999995</v>
      </c>
      <c r="B32" s="309" t="s">
        <v>18</v>
      </c>
      <c r="C32" s="298"/>
      <c r="D32" s="299"/>
      <c r="E32" s="310"/>
      <c r="F32" s="299"/>
      <c r="G32" s="311"/>
      <c r="H32" s="312"/>
      <c r="I32" s="304"/>
      <c r="J32" s="299"/>
      <c r="K32" s="313"/>
      <c r="L32" s="306">
        <f t="shared" si="1"/>
        <v>0</v>
      </c>
    </row>
    <row r="33" spans="1:12" s="307" customFormat="1" ht="15" customHeight="1" x14ac:dyDescent="0.2">
      <c r="A33" s="308">
        <v>562.55999999999995</v>
      </c>
      <c r="B33" s="309" t="s">
        <v>19</v>
      </c>
      <c r="C33" s="298"/>
      <c r="D33" s="299">
        <v>53290</v>
      </c>
      <c r="E33" s="310"/>
      <c r="F33" s="299"/>
      <c r="G33" s="311"/>
      <c r="H33" s="312"/>
      <c r="I33" s="304"/>
      <c r="J33" s="299"/>
      <c r="K33" s="313"/>
      <c r="L33" s="306">
        <f t="shared" si="1"/>
        <v>53290</v>
      </c>
    </row>
    <row r="34" spans="1:12" s="307" customFormat="1" ht="15" customHeight="1" x14ac:dyDescent="0.2">
      <c r="A34" s="308">
        <v>562.57000000000005</v>
      </c>
      <c r="B34" s="309" t="s">
        <v>60</v>
      </c>
      <c r="C34" s="298"/>
      <c r="D34" s="299"/>
      <c r="E34" s="310"/>
      <c r="F34" s="299"/>
      <c r="G34" s="311"/>
      <c r="H34" s="312"/>
      <c r="I34" s="304"/>
      <c r="J34" s="299"/>
      <c r="K34" s="313"/>
      <c r="L34" s="306">
        <f t="shared" si="1"/>
        <v>0</v>
      </c>
    </row>
    <row r="35" spans="1:12" s="307" customFormat="1" ht="15" customHeight="1" x14ac:dyDescent="0.2">
      <c r="A35" s="308">
        <v>562.58000000000004</v>
      </c>
      <c r="B35" s="309" t="s">
        <v>47</v>
      </c>
      <c r="C35" s="298"/>
      <c r="D35" s="299"/>
      <c r="E35" s="310"/>
      <c r="F35" s="299"/>
      <c r="G35" s="311"/>
      <c r="H35" s="312"/>
      <c r="I35" s="304"/>
      <c r="J35" s="299"/>
      <c r="K35" s="313"/>
      <c r="L35" s="306">
        <f t="shared" si="1"/>
        <v>0</v>
      </c>
    </row>
    <row r="36" spans="1:12" s="307" customFormat="1" ht="15" customHeight="1" x14ac:dyDescent="0.2">
      <c r="A36" s="308">
        <v>562.59</v>
      </c>
      <c r="B36" s="309" t="s">
        <v>48</v>
      </c>
      <c r="C36" s="298"/>
      <c r="D36" s="299"/>
      <c r="E36" s="310"/>
      <c r="F36" s="299"/>
      <c r="G36" s="311"/>
      <c r="H36" s="312"/>
      <c r="I36" s="304"/>
      <c r="J36" s="299"/>
      <c r="K36" s="313"/>
      <c r="L36" s="306">
        <f t="shared" si="1"/>
        <v>0</v>
      </c>
    </row>
    <row r="37" spans="1:12" s="307" customFormat="1" ht="15" customHeight="1" x14ac:dyDescent="0.2">
      <c r="A37" s="308">
        <v>562.6</v>
      </c>
      <c r="B37" s="309" t="s">
        <v>20</v>
      </c>
      <c r="C37" s="298"/>
      <c r="D37" s="299"/>
      <c r="E37" s="310"/>
      <c r="F37" s="299"/>
      <c r="G37" s="311"/>
      <c r="H37" s="312"/>
      <c r="I37" s="304"/>
      <c r="J37" s="299"/>
      <c r="K37" s="313"/>
      <c r="L37" s="306">
        <f t="shared" si="1"/>
        <v>0</v>
      </c>
    </row>
    <row r="38" spans="1:12" s="307" customFormat="1" ht="15" customHeight="1" x14ac:dyDescent="0.2">
      <c r="A38" s="308">
        <v>562.71</v>
      </c>
      <c r="B38" s="309" t="s">
        <v>21</v>
      </c>
      <c r="C38" s="298"/>
      <c r="D38" s="299">
        <v>14238</v>
      </c>
      <c r="E38" s="310"/>
      <c r="F38" s="299"/>
      <c r="G38" s="311"/>
      <c r="H38" s="312"/>
      <c r="I38" s="304"/>
      <c r="J38" s="299"/>
      <c r="K38" s="313"/>
      <c r="L38" s="306">
        <f t="shared" si="1"/>
        <v>14238</v>
      </c>
    </row>
    <row r="39" spans="1:12" s="307" customFormat="1" ht="15" customHeight="1" x14ac:dyDescent="0.2">
      <c r="A39" s="308">
        <v>562.72</v>
      </c>
      <c r="B39" s="309" t="s">
        <v>22</v>
      </c>
      <c r="C39" s="298"/>
      <c r="D39" s="299"/>
      <c r="E39" s="310"/>
      <c r="F39" s="299"/>
      <c r="G39" s="311"/>
      <c r="H39" s="312"/>
      <c r="I39" s="304"/>
      <c r="J39" s="299"/>
      <c r="K39" s="313"/>
      <c r="L39" s="306">
        <f t="shared" si="1"/>
        <v>0</v>
      </c>
    </row>
    <row r="40" spans="1:12" s="307" customFormat="1" ht="15" customHeight="1" x14ac:dyDescent="0.2">
      <c r="A40" s="308">
        <v>562.73</v>
      </c>
      <c r="B40" s="309" t="s">
        <v>23</v>
      </c>
      <c r="C40" s="298"/>
      <c r="D40" s="299"/>
      <c r="E40" s="310"/>
      <c r="F40" s="299"/>
      <c r="G40" s="311"/>
      <c r="H40" s="312"/>
      <c r="I40" s="304"/>
      <c r="J40" s="299"/>
      <c r="K40" s="313"/>
      <c r="L40" s="306">
        <f t="shared" si="1"/>
        <v>0</v>
      </c>
    </row>
    <row r="41" spans="1:12" s="307" customFormat="1" ht="15" customHeight="1" x14ac:dyDescent="0.2">
      <c r="A41" s="308">
        <v>562.74</v>
      </c>
      <c r="B41" s="309" t="s">
        <v>49</v>
      </c>
      <c r="C41" s="298"/>
      <c r="D41" s="299"/>
      <c r="E41" s="310"/>
      <c r="F41" s="299"/>
      <c r="G41" s="311"/>
      <c r="H41" s="312"/>
      <c r="I41" s="304"/>
      <c r="J41" s="299"/>
      <c r="K41" s="313"/>
      <c r="L41" s="306">
        <f t="shared" si="1"/>
        <v>0</v>
      </c>
    </row>
    <row r="42" spans="1:12" s="307" customFormat="1" ht="15" customHeight="1" x14ac:dyDescent="0.2">
      <c r="A42" s="308">
        <v>562.78</v>
      </c>
      <c r="B42" s="309" t="s">
        <v>24</v>
      </c>
      <c r="C42" s="298"/>
      <c r="D42" s="299"/>
      <c r="E42" s="310"/>
      <c r="F42" s="299"/>
      <c r="G42" s="311"/>
      <c r="H42" s="312"/>
      <c r="I42" s="304"/>
      <c r="J42" s="299"/>
      <c r="K42" s="313"/>
      <c r="L42" s="306">
        <f t="shared" si="1"/>
        <v>0</v>
      </c>
    </row>
    <row r="43" spans="1:12" s="307" customFormat="1" ht="15" customHeight="1" x14ac:dyDescent="0.2">
      <c r="A43" s="308">
        <v>562.79</v>
      </c>
      <c r="B43" s="309" t="s">
        <v>25</v>
      </c>
      <c r="C43" s="298"/>
      <c r="D43" s="299"/>
      <c r="E43" s="310"/>
      <c r="F43" s="299"/>
      <c r="G43" s="311"/>
      <c r="H43" s="312"/>
      <c r="I43" s="304"/>
      <c r="J43" s="299"/>
      <c r="K43" s="313"/>
      <c r="L43" s="306">
        <f t="shared" si="1"/>
        <v>0</v>
      </c>
    </row>
    <row r="44" spans="1:12" s="307" customFormat="1" ht="15" customHeight="1" x14ac:dyDescent="0.2">
      <c r="A44" s="308">
        <v>562.79999999999995</v>
      </c>
      <c r="B44" s="309" t="s">
        <v>26</v>
      </c>
      <c r="C44" s="298"/>
      <c r="D44" s="299"/>
      <c r="E44" s="310"/>
      <c r="F44" s="299"/>
      <c r="G44" s="311"/>
      <c r="H44" s="312"/>
      <c r="I44" s="304"/>
      <c r="J44" s="299"/>
      <c r="K44" s="313"/>
      <c r="L44" s="306">
        <f t="shared" si="1"/>
        <v>0</v>
      </c>
    </row>
    <row r="45" spans="1:12" s="307" customFormat="1" ht="15" customHeight="1" x14ac:dyDescent="0.2">
      <c r="A45" s="308">
        <v>562.88</v>
      </c>
      <c r="B45" s="309" t="s">
        <v>50</v>
      </c>
      <c r="C45" s="298">
        <v>852</v>
      </c>
      <c r="D45" s="299"/>
      <c r="E45" s="310"/>
      <c r="F45" s="299"/>
      <c r="G45" s="311"/>
      <c r="H45" s="312"/>
      <c r="I45" s="304">
        <v>18727</v>
      </c>
      <c r="J45" s="299"/>
      <c r="K45" s="313"/>
      <c r="L45" s="306">
        <f t="shared" si="1"/>
        <v>19579</v>
      </c>
    </row>
    <row r="46" spans="1:12" s="307" customFormat="1" ht="15" customHeight="1" x14ac:dyDescent="0.2">
      <c r="A46" s="308">
        <v>562.9</v>
      </c>
      <c r="B46" s="309" t="s">
        <v>27</v>
      </c>
      <c r="C46" s="298"/>
      <c r="D46" s="299"/>
      <c r="E46" s="310"/>
      <c r="F46" s="299"/>
      <c r="G46" s="311"/>
      <c r="H46" s="312"/>
      <c r="I46" s="304"/>
      <c r="J46" s="299"/>
      <c r="K46" s="313"/>
      <c r="L46" s="306">
        <f t="shared" si="1"/>
        <v>0</v>
      </c>
    </row>
    <row r="47" spans="1:12" s="307" customFormat="1" ht="15" customHeight="1" thickBot="1" x14ac:dyDescent="0.25">
      <c r="A47" s="308">
        <v>562.99</v>
      </c>
      <c r="B47" s="309" t="s">
        <v>28</v>
      </c>
      <c r="C47" s="298"/>
      <c r="D47" s="299"/>
      <c r="E47" s="310"/>
      <c r="F47" s="299"/>
      <c r="G47" s="311"/>
      <c r="H47" s="312"/>
      <c r="I47" s="304"/>
      <c r="J47" s="299"/>
      <c r="K47" s="313"/>
      <c r="L47" s="306">
        <f t="shared" si="1"/>
        <v>0</v>
      </c>
    </row>
    <row r="48" spans="1:12" s="307" customFormat="1" ht="15" customHeight="1" thickBot="1" x14ac:dyDescent="0.25">
      <c r="A48" s="315" t="s">
        <v>63</v>
      </c>
      <c r="B48" s="316" t="s">
        <v>29</v>
      </c>
      <c r="C48" s="317">
        <f t="shared" ref="C48:K48" si="2">SUM(C5:C47)</f>
        <v>146235</v>
      </c>
      <c r="D48" s="318">
        <f t="shared" si="2"/>
        <v>98740</v>
      </c>
      <c r="E48" s="319">
        <f t="shared" si="2"/>
        <v>10433</v>
      </c>
      <c r="F48" s="318">
        <f t="shared" si="2"/>
        <v>42000</v>
      </c>
      <c r="G48" s="320">
        <f t="shared" si="2"/>
        <v>121214</v>
      </c>
      <c r="H48" s="321">
        <f t="shared" si="2"/>
        <v>30169</v>
      </c>
      <c r="I48" s="322">
        <f t="shared" si="2"/>
        <v>140257</v>
      </c>
      <c r="J48" s="318">
        <f t="shared" si="2"/>
        <v>79024</v>
      </c>
      <c r="K48" s="323">
        <f t="shared" si="2"/>
        <v>100289</v>
      </c>
      <c r="L48" s="324">
        <f t="shared" si="1"/>
        <v>768361</v>
      </c>
    </row>
    <row r="49" spans="1:13" s="307" customFormat="1" ht="15" customHeight="1" x14ac:dyDescent="0.2">
      <c r="A49" s="296">
        <v>523</v>
      </c>
      <c r="B49" s="297" t="s">
        <v>30</v>
      </c>
      <c r="C49" s="325">
        <v>0</v>
      </c>
      <c r="D49" s="301">
        <v>0</v>
      </c>
      <c r="E49" s="300"/>
      <c r="F49" s="301"/>
      <c r="G49" s="302"/>
      <c r="H49" s="303"/>
      <c r="I49" s="326"/>
      <c r="J49" s="301"/>
      <c r="K49" s="305"/>
      <c r="L49" s="327">
        <f t="shared" si="1"/>
        <v>0</v>
      </c>
    </row>
    <row r="50" spans="1:13" s="307" customFormat="1" ht="15" customHeight="1" x14ac:dyDescent="0.2">
      <c r="A50" s="308">
        <v>526</v>
      </c>
      <c r="B50" s="309" t="s">
        <v>31</v>
      </c>
      <c r="C50" s="298"/>
      <c r="D50" s="299"/>
      <c r="E50" s="310"/>
      <c r="F50" s="299"/>
      <c r="G50" s="311"/>
      <c r="H50" s="312"/>
      <c r="I50" s="304"/>
      <c r="J50" s="299"/>
      <c r="K50" s="313"/>
      <c r="L50" s="306">
        <f t="shared" si="1"/>
        <v>0</v>
      </c>
    </row>
    <row r="51" spans="1:13" s="307" customFormat="1" ht="15" customHeight="1" x14ac:dyDescent="0.2">
      <c r="A51" s="308">
        <v>527.70000000000005</v>
      </c>
      <c r="B51" s="309" t="s">
        <v>32</v>
      </c>
      <c r="C51" s="298">
        <v>0</v>
      </c>
      <c r="D51" s="299">
        <v>0</v>
      </c>
      <c r="E51" s="310"/>
      <c r="F51" s="299"/>
      <c r="G51" s="311"/>
      <c r="H51" s="312"/>
      <c r="I51" s="304"/>
      <c r="J51" s="299"/>
      <c r="K51" s="313"/>
      <c r="L51" s="306">
        <f t="shared" si="1"/>
        <v>0</v>
      </c>
    </row>
    <row r="52" spans="1:13" s="307" customFormat="1" ht="15" customHeight="1" x14ac:dyDescent="0.2">
      <c r="A52" s="308">
        <v>551.20000000000005</v>
      </c>
      <c r="B52" s="309" t="s">
        <v>33</v>
      </c>
      <c r="C52" s="298">
        <v>0</v>
      </c>
      <c r="D52" s="299">
        <v>0</v>
      </c>
      <c r="E52" s="310"/>
      <c r="F52" s="299"/>
      <c r="G52" s="311"/>
      <c r="H52" s="312"/>
      <c r="I52" s="304"/>
      <c r="J52" s="299"/>
      <c r="K52" s="313"/>
      <c r="L52" s="306">
        <f t="shared" si="1"/>
        <v>0</v>
      </c>
    </row>
    <row r="53" spans="1:13" s="307" customFormat="1" ht="15" customHeight="1" x14ac:dyDescent="0.2">
      <c r="A53" s="308">
        <v>554</v>
      </c>
      <c r="B53" s="309" t="s">
        <v>61</v>
      </c>
      <c r="C53" s="298">
        <v>0</v>
      </c>
      <c r="D53" s="299">
        <v>0</v>
      </c>
      <c r="E53" s="310"/>
      <c r="F53" s="299"/>
      <c r="G53" s="311"/>
      <c r="H53" s="312"/>
      <c r="I53" s="304"/>
      <c r="J53" s="299"/>
      <c r="K53" s="313"/>
      <c r="L53" s="306">
        <f t="shared" si="1"/>
        <v>0</v>
      </c>
    </row>
    <row r="54" spans="1:13" s="307" customFormat="1" ht="15" customHeight="1" x14ac:dyDescent="0.2">
      <c r="A54" s="308">
        <v>555</v>
      </c>
      <c r="B54" s="309" t="s">
        <v>34</v>
      </c>
      <c r="C54" s="298">
        <v>0</v>
      </c>
      <c r="D54" s="299">
        <v>0</v>
      </c>
      <c r="E54" s="310"/>
      <c r="F54" s="299"/>
      <c r="G54" s="311"/>
      <c r="H54" s="312"/>
      <c r="I54" s="304"/>
      <c r="J54" s="299"/>
      <c r="K54" s="313"/>
      <c r="L54" s="306">
        <f t="shared" si="1"/>
        <v>0</v>
      </c>
    </row>
    <row r="55" spans="1:13" s="307" customFormat="1" ht="15" customHeight="1" x14ac:dyDescent="0.2">
      <c r="A55" s="308">
        <v>563</v>
      </c>
      <c r="B55" s="309" t="s">
        <v>35</v>
      </c>
      <c r="C55" s="298">
        <v>0</v>
      </c>
      <c r="D55" s="299">
        <v>0</v>
      </c>
      <c r="E55" s="310"/>
      <c r="F55" s="299"/>
      <c r="G55" s="311"/>
      <c r="H55" s="312"/>
      <c r="I55" s="304"/>
      <c r="J55" s="299"/>
      <c r="K55" s="313"/>
      <c r="L55" s="306">
        <f t="shared" si="1"/>
        <v>0</v>
      </c>
    </row>
    <row r="56" spans="1:13" s="307" customFormat="1" ht="15" customHeight="1" x14ac:dyDescent="0.2">
      <c r="A56" s="308">
        <v>564</v>
      </c>
      <c r="B56" s="309" t="s">
        <v>36</v>
      </c>
      <c r="C56" s="298">
        <v>0</v>
      </c>
      <c r="D56" s="299">
        <v>0</v>
      </c>
      <c r="E56" s="310"/>
      <c r="F56" s="299"/>
      <c r="G56" s="311"/>
      <c r="H56" s="312"/>
      <c r="I56" s="304"/>
      <c r="J56" s="299"/>
      <c r="K56" s="313"/>
      <c r="L56" s="306">
        <f t="shared" si="1"/>
        <v>0</v>
      </c>
    </row>
    <row r="57" spans="1:13" s="307" customFormat="1" ht="15" customHeight="1" x14ac:dyDescent="0.2">
      <c r="A57" s="308">
        <v>566</v>
      </c>
      <c r="B57" s="309" t="s">
        <v>37</v>
      </c>
      <c r="C57" s="298">
        <v>0</v>
      </c>
      <c r="D57" s="299">
        <v>0</v>
      </c>
      <c r="E57" s="310"/>
      <c r="F57" s="299"/>
      <c r="G57" s="311"/>
      <c r="H57" s="312"/>
      <c r="I57" s="304"/>
      <c r="J57" s="299"/>
      <c r="K57" s="313"/>
      <c r="L57" s="306">
        <f t="shared" si="1"/>
        <v>0</v>
      </c>
    </row>
    <row r="58" spans="1:13" s="307" customFormat="1" ht="15" customHeight="1" x14ac:dyDescent="0.2">
      <c r="A58" s="308">
        <v>568</v>
      </c>
      <c r="B58" s="309" t="s">
        <v>38</v>
      </c>
      <c r="C58" s="298">
        <v>0</v>
      </c>
      <c r="D58" s="299">
        <v>0</v>
      </c>
      <c r="E58" s="310"/>
      <c r="F58" s="299"/>
      <c r="G58" s="311"/>
      <c r="H58" s="312"/>
      <c r="I58" s="304"/>
      <c r="J58" s="299"/>
      <c r="K58" s="313"/>
      <c r="L58" s="306">
        <f t="shared" si="1"/>
        <v>0</v>
      </c>
    </row>
    <row r="59" spans="1:13" s="307" customFormat="1" ht="15" customHeight="1" thickBot="1" x14ac:dyDescent="0.25">
      <c r="A59" s="328">
        <v>500</v>
      </c>
      <c r="B59" s="309" t="s">
        <v>66</v>
      </c>
      <c r="C59" s="298">
        <v>0</v>
      </c>
      <c r="D59" s="299">
        <v>0</v>
      </c>
      <c r="E59" s="329"/>
      <c r="F59" s="330"/>
      <c r="G59" s="331"/>
      <c r="H59" s="332"/>
      <c r="I59" s="304"/>
      <c r="J59" s="299"/>
      <c r="K59" s="333"/>
      <c r="L59" s="306">
        <f t="shared" si="1"/>
        <v>0</v>
      </c>
    </row>
    <row r="60" spans="1:13" s="307" customFormat="1" ht="15" customHeight="1" thickBot="1" x14ac:dyDescent="0.25">
      <c r="A60" s="334"/>
      <c r="B60" s="335" t="s">
        <v>41</v>
      </c>
      <c r="C60" s="336">
        <f>SUM(C48:C59)</f>
        <v>146235</v>
      </c>
      <c r="D60" s="318">
        <f>SUM(D48:D59)</f>
        <v>98740</v>
      </c>
      <c r="E60" s="320">
        <f t="shared" ref="E60:K60" si="3">SUM(E48:E59)</f>
        <v>10433</v>
      </c>
      <c r="F60" s="318">
        <f>SUM(F48:F59)</f>
        <v>42000</v>
      </c>
      <c r="G60" s="320">
        <f t="shared" si="3"/>
        <v>121214</v>
      </c>
      <c r="H60" s="318">
        <f t="shared" si="3"/>
        <v>30169</v>
      </c>
      <c r="I60" s="320">
        <f t="shared" si="3"/>
        <v>140257</v>
      </c>
      <c r="J60" s="318">
        <f t="shared" si="3"/>
        <v>79024</v>
      </c>
      <c r="K60" s="320">
        <f t="shared" si="3"/>
        <v>100289</v>
      </c>
      <c r="L60" s="337">
        <f t="shared" si="1"/>
        <v>768361</v>
      </c>
    </row>
    <row r="61" spans="1:13" s="80" customFormat="1" ht="15.75" customHeight="1" x14ac:dyDescent="0.2">
      <c r="A61" s="278"/>
      <c r="B61" s="279"/>
      <c r="C61" s="280"/>
      <c r="D61" s="281"/>
      <c r="E61" s="281"/>
      <c r="F61" s="281"/>
      <c r="G61" s="281"/>
      <c r="H61" s="281"/>
      <c r="I61" s="281"/>
      <c r="J61" s="281"/>
      <c r="K61" s="281"/>
      <c r="L61" s="280"/>
    </row>
    <row r="62" spans="1:13" s="80" customFormat="1" ht="15.75" customHeight="1" x14ac:dyDescent="0.2">
      <c r="A62" s="278"/>
      <c r="B62" s="279"/>
      <c r="C62" s="280"/>
      <c r="D62" s="281"/>
      <c r="E62" s="281"/>
      <c r="F62" s="281"/>
      <c r="G62" s="281"/>
      <c r="H62" s="281"/>
      <c r="I62" s="281"/>
      <c r="J62" s="281"/>
      <c r="K62" s="281"/>
      <c r="L62" s="280"/>
    </row>
    <row r="63" spans="1:13" s="80" customFormat="1" ht="14.25" x14ac:dyDescent="0.2">
      <c r="A63" s="129"/>
      <c r="B63" s="129"/>
      <c r="C63" s="176"/>
      <c r="D63" s="176"/>
      <c r="E63" s="129"/>
      <c r="F63" s="129"/>
      <c r="G63" s="129"/>
      <c r="H63" s="176"/>
      <c r="I63" s="176"/>
      <c r="J63" s="176"/>
      <c r="K63" s="129"/>
      <c r="L63" s="129"/>
      <c r="M63" s="81"/>
    </row>
    <row r="64" spans="1:13" s="80" customFormat="1" thickBot="1" x14ac:dyDescent="0.25">
      <c r="A64" s="129"/>
      <c r="B64" s="129"/>
      <c r="C64" s="176"/>
      <c r="D64" s="176"/>
      <c r="E64" s="129"/>
      <c r="F64" s="129"/>
      <c r="G64" s="129"/>
      <c r="H64" s="176"/>
      <c r="I64" s="176"/>
      <c r="J64" s="176"/>
      <c r="K64" s="129"/>
      <c r="L64" s="129"/>
      <c r="M64" s="81"/>
    </row>
    <row r="65" spans="1:12" s="80" customFormat="1" thickBot="1" x14ac:dyDescent="0.25">
      <c r="A65" s="129"/>
      <c r="B65" s="282" t="s">
        <v>71</v>
      </c>
      <c r="C65" s="177" t="s">
        <v>42</v>
      </c>
      <c r="D65" s="283" t="s">
        <v>39</v>
      </c>
      <c r="E65" s="176"/>
      <c r="F65" s="176"/>
      <c r="G65" s="176"/>
      <c r="H65" s="176"/>
      <c r="I65" s="129"/>
      <c r="J65" s="129"/>
      <c r="K65" s="176"/>
      <c r="L65" s="129"/>
    </row>
    <row r="66" spans="1:12" s="80" customFormat="1" thickTop="1" x14ac:dyDescent="0.2">
      <c r="A66" s="129"/>
      <c r="B66" s="183" t="s">
        <v>69</v>
      </c>
      <c r="C66" s="284"/>
      <c r="D66" s="185"/>
      <c r="E66" s="176"/>
      <c r="F66" s="176"/>
      <c r="G66" s="176"/>
      <c r="H66" s="176"/>
      <c r="I66" s="129"/>
      <c r="J66" s="129"/>
      <c r="K66" s="176"/>
      <c r="L66" s="129"/>
    </row>
    <row r="67" spans="1:12" s="80" customFormat="1" ht="14.25" x14ac:dyDescent="0.2">
      <c r="A67" s="129"/>
      <c r="B67" s="186" t="s">
        <v>62</v>
      </c>
      <c r="C67" s="285">
        <f>C60</f>
        <v>146235</v>
      </c>
      <c r="D67" s="188">
        <f>C60/L60</f>
        <v>0.19032069561052684</v>
      </c>
      <c r="E67" s="176"/>
      <c r="F67" s="176"/>
      <c r="G67" s="176"/>
      <c r="H67" s="176"/>
      <c r="I67" s="129"/>
      <c r="J67" s="129"/>
      <c r="K67" s="176"/>
      <c r="L67" s="129"/>
    </row>
    <row r="68" spans="1:12" s="80" customFormat="1" ht="14.25" x14ac:dyDescent="0.2">
      <c r="A68" s="129"/>
      <c r="B68" s="189" t="s">
        <v>6</v>
      </c>
      <c r="C68" s="286">
        <f>D60</f>
        <v>98740</v>
      </c>
      <c r="D68" s="191">
        <f>D60/L60</f>
        <v>0.12850730320773698</v>
      </c>
      <c r="E68" s="176"/>
      <c r="F68" s="176"/>
      <c r="G68" s="176"/>
      <c r="H68" s="176"/>
      <c r="I68" s="129"/>
      <c r="J68" s="129"/>
      <c r="K68" s="176"/>
      <c r="L68" s="129"/>
    </row>
    <row r="69" spans="1:12" s="80" customFormat="1" thickBot="1" x14ac:dyDescent="0.25">
      <c r="A69" s="129"/>
      <c r="B69" s="192" t="s">
        <v>158</v>
      </c>
      <c r="C69" s="287">
        <f>SUM(C67:C68)</f>
        <v>244975</v>
      </c>
      <c r="D69" s="194">
        <f>SUM(D67:D68)</f>
        <v>0.31882799881826385</v>
      </c>
      <c r="E69" s="176"/>
      <c r="F69" s="176"/>
      <c r="G69" s="176"/>
      <c r="H69" s="176"/>
      <c r="I69" s="129"/>
      <c r="J69" s="129"/>
      <c r="K69" s="176"/>
      <c r="L69" s="129"/>
    </row>
    <row r="70" spans="1:12" s="80" customFormat="1" ht="14.25" x14ac:dyDescent="0.2">
      <c r="A70" s="129"/>
      <c r="B70" s="195" t="s">
        <v>67</v>
      </c>
      <c r="C70" s="288"/>
      <c r="D70" s="197"/>
      <c r="E70" s="176"/>
      <c r="F70" s="176"/>
      <c r="G70" s="176"/>
      <c r="H70" s="176"/>
      <c r="I70" s="129"/>
      <c r="J70" s="129"/>
      <c r="K70" s="176"/>
      <c r="L70" s="129"/>
    </row>
    <row r="71" spans="1:12" s="80" customFormat="1" ht="14.25" x14ac:dyDescent="0.2">
      <c r="A71" s="129"/>
      <c r="B71" s="198" t="s">
        <v>1</v>
      </c>
      <c r="C71" s="289">
        <f>E60</f>
        <v>10433</v>
      </c>
      <c r="D71" s="200">
        <f>E60/$L60</f>
        <v>1.3578252930588617E-2</v>
      </c>
      <c r="E71" s="176"/>
      <c r="F71" s="176"/>
      <c r="G71" s="176"/>
      <c r="H71" s="176"/>
      <c r="I71" s="129"/>
      <c r="J71" s="129"/>
      <c r="K71" s="176"/>
      <c r="L71" s="129"/>
    </row>
    <row r="72" spans="1:12" s="80" customFormat="1" ht="14.25" x14ac:dyDescent="0.2">
      <c r="A72" s="129"/>
      <c r="B72" s="198" t="s">
        <v>157</v>
      </c>
      <c r="C72" s="289">
        <f>F60</f>
        <v>42000</v>
      </c>
      <c r="D72" s="200">
        <f>F60/L60</f>
        <v>5.4661806104161978E-2</v>
      </c>
      <c r="E72" s="176"/>
      <c r="F72" s="176"/>
      <c r="G72" s="176"/>
      <c r="H72" s="176"/>
      <c r="I72" s="129"/>
      <c r="J72" s="129"/>
      <c r="K72" s="176"/>
      <c r="L72" s="129"/>
    </row>
    <row r="73" spans="1:12" s="80" customFormat="1" ht="14.25" x14ac:dyDescent="0.2">
      <c r="A73" s="129"/>
      <c r="B73" s="198" t="s">
        <v>2</v>
      </c>
      <c r="C73" s="289">
        <f>G60</f>
        <v>121214</v>
      </c>
      <c r="D73" s="200">
        <f>G60/$L60</f>
        <v>0.15775657535975929</v>
      </c>
      <c r="E73" s="176"/>
      <c r="F73" s="176"/>
      <c r="G73" s="176"/>
      <c r="H73" s="176"/>
      <c r="I73" s="129"/>
      <c r="J73" s="129"/>
      <c r="K73" s="176"/>
      <c r="L73" s="129"/>
    </row>
    <row r="74" spans="1:12" s="80" customFormat="1" ht="14.25" x14ac:dyDescent="0.2">
      <c r="A74" s="129"/>
      <c r="B74" s="201" t="s">
        <v>40</v>
      </c>
      <c r="C74" s="290">
        <f>H60</f>
        <v>30169</v>
      </c>
      <c r="D74" s="203">
        <f>H60/$L60</f>
        <v>3.9264095913249114E-2</v>
      </c>
      <c r="E74" s="176"/>
      <c r="F74" s="176"/>
      <c r="G74" s="176"/>
      <c r="H74" s="176"/>
      <c r="I74" s="129"/>
      <c r="J74" s="129"/>
      <c r="K74" s="176"/>
      <c r="L74" s="129"/>
    </row>
    <row r="75" spans="1:12" s="80" customFormat="1" thickBot="1" x14ac:dyDescent="0.25">
      <c r="A75" s="129"/>
      <c r="B75" s="192" t="s">
        <v>159</v>
      </c>
      <c r="C75" s="291">
        <f>SUM(C71:C74)</f>
        <v>203816</v>
      </c>
      <c r="D75" s="194">
        <f>SUM(D71:D74)</f>
        <v>0.26526073030775899</v>
      </c>
      <c r="E75" s="176"/>
      <c r="F75" s="176"/>
      <c r="G75" s="176"/>
      <c r="H75" s="176"/>
      <c r="I75" s="129"/>
      <c r="J75" s="129"/>
      <c r="K75" s="176"/>
      <c r="L75" s="129"/>
    </row>
    <row r="76" spans="1:12" s="80" customFormat="1" ht="14.25" x14ac:dyDescent="0.2">
      <c r="A76" s="129"/>
      <c r="B76" s="183" t="s">
        <v>68</v>
      </c>
      <c r="C76" s="292"/>
      <c r="D76" s="206"/>
      <c r="E76" s="176"/>
      <c r="F76" s="176"/>
      <c r="G76" s="176"/>
      <c r="H76" s="176"/>
      <c r="I76" s="129"/>
      <c r="J76" s="129"/>
      <c r="K76" s="176"/>
      <c r="L76" s="129"/>
    </row>
    <row r="77" spans="1:12" s="80" customFormat="1" ht="14.25" x14ac:dyDescent="0.2">
      <c r="A77" s="129"/>
      <c r="B77" s="186" t="s">
        <v>4</v>
      </c>
      <c r="C77" s="285">
        <f>I60</f>
        <v>140257</v>
      </c>
      <c r="D77" s="188">
        <f>I60/L60</f>
        <v>0.1825404985417011</v>
      </c>
      <c r="E77" s="176"/>
      <c r="F77" s="176"/>
      <c r="G77" s="176"/>
      <c r="H77" s="176"/>
      <c r="I77" s="129"/>
      <c r="J77" s="129"/>
      <c r="K77" s="176"/>
      <c r="L77" s="129"/>
    </row>
    <row r="78" spans="1:12" s="80" customFormat="1" ht="14.25" x14ac:dyDescent="0.2">
      <c r="A78" s="129"/>
      <c r="B78" s="189" t="s">
        <v>5</v>
      </c>
      <c r="C78" s="286">
        <f>J60</f>
        <v>79024</v>
      </c>
      <c r="D78" s="191">
        <f>J60/L60</f>
        <v>0.10284748965655467</v>
      </c>
      <c r="E78" s="176"/>
      <c r="F78" s="176"/>
      <c r="G78" s="176"/>
      <c r="H78" s="176"/>
      <c r="I78" s="129"/>
      <c r="J78" s="129"/>
      <c r="K78" s="176"/>
      <c r="L78" s="129"/>
    </row>
    <row r="79" spans="1:12" s="80" customFormat="1" thickBot="1" x14ac:dyDescent="0.25">
      <c r="A79" s="129"/>
      <c r="B79" s="192" t="s">
        <v>160</v>
      </c>
      <c r="C79" s="291">
        <f>SUM(C77:C78)</f>
        <v>219281</v>
      </c>
      <c r="D79" s="194">
        <f>SUM(D77:D78)</f>
        <v>0.28538798819825578</v>
      </c>
      <c r="E79" s="176"/>
      <c r="F79" s="176"/>
      <c r="G79" s="176"/>
      <c r="H79" s="176"/>
      <c r="I79" s="129"/>
      <c r="J79" s="129"/>
      <c r="K79" s="176"/>
      <c r="L79" s="129"/>
    </row>
    <row r="80" spans="1:12" s="80" customFormat="1" ht="14.25" x14ac:dyDescent="0.2">
      <c r="A80" s="129"/>
      <c r="B80" s="198" t="s">
        <v>108</v>
      </c>
      <c r="C80" s="293"/>
      <c r="D80" s="208"/>
      <c r="E80" s="176"/>
      <c r="F80" s="176"/>
      <c r="G80" s="176"/>
      <c r="H80" s="176"/>
      <c r="I80" s="129"/>
      <c r="J80" s="129"/>
      <c r="K80" s="176"/>
      <c r="L80" s="129"/>
    </row>
    <row r="81" spans="1:13" s="80" customFormat="1" thickBot="1" x14ac:dyDescent="0.25">
      <c r="A81" s="129"/>
      <c r="B81" s="209" t="s">
        <v>161</v>
      </c>
      <c r="C81" s="291">
        <f>K60</f>
        <v>100289</v>
      </c>
      <c r="D81" s="194">
        <f>K60/L60</f>
        <v>0.13052328267572144</v>
      </c>
      <c r="E81" s="176"/>
      <c r="F81" s="176"/>
      <c r="G81" s="176"/>
      <c r="H81" s="176"/>
      <c r="I81" s="129"/>
      <c r="J81" s="129"/>
      <c r="K81" s="176"/>
      <c r="L81" s="129"/>
    </row>
    <row r="82" spans="1:13" s="80" customFormat="1" thickBot="1" x14ac:dyDescent="0.25">
      <c r="A82" s="129"/>
      <c r="B82" s="294" t="s">
        <v>41</v>
      </c>
      <c r="C82" s="295">
        <f>C75+C79+C69+C81</f>
        <v>768361</v>
      </c>
      <c r="D82" s="212">
        <f>D75+D79+D69+D81</f>
        <v>1</v>
      </c>
      <c r="E82" s="129"/>
      <c r="F82" s="129"/>
      <c r="G82" s="129"/>
      <c r="H82" s="176"/>
      <c r="I82" s="176"/>
      <c r="J82" s="176"/>
      <c r="K82" s="129"/>
      <c r="L82" s="129"/>
      <c r="M82" s="81"/>
    </row>
    <row r="92" spans="1:13" x14ac:dyDescent="0.25">
      <c r="M92" s="20"/>
    </row>
    <row r="93" spans="1:13" x14ac:dyDescent="0.25">
      <c r="M93" s="20"/>
    </row>
    <row r="94" spans="1:13" x14ac:dyDescent="0.25">
      <c r="M94" s="20"/>
    </row>
  </sheetData>
  <mergeCells count="6">
    <mergeCell ref="E3:H3"/>
    <mergeCell ref="I3:J3"/>
    <mergeCell ref="C3:D3"/>
    <mergeCell ref="J2:K2"/>
    <mergeCell ref="A1:B1"/>
    <mergeCell ref="A2:B2"/>
  </mergeCells>
  <conditionalFormatting sqref="J12 E11:J11 E13:J47 E12:H12 C11:D47 C5:J10 C48:J59 K5:K59 A5:B59 L5:L48">
    <cfRule type="expression" dxfId="132" priority="3">
      <formula>ROW()=EVEN(ROW())</formula>
    </cfRule>
  </conditionalFormatting>
  <conditionalFormatting sqref="L49:L59">
    <cfRule type="expression" dxfId="131" priority="1">
      <formula>ROW()=EVEN(ROW())</formula>
    </cfRule>
  </conditionalFormatting>
  <printOptions horizontalCentered="1"/>
  <pageMargins left="0" right="0" top="0.98" bottom="0.6" header="0.3" footer="0.3"/>
  <pageSetup scale="65" firstPageNumber="8" fitToHeight="2" orientation="landscape" useFirstPageNumber="1" r:id="rId1"/>
  <headerFooter>
    <oddHeader xml:space="preserve">&amp;C&amp;"Verdana,Bold"&amp;14Expenditures by Expenditure Code and Revenue Source
2017
ADAMS
</oddHeader>
  </headerFooter>
  <rowBreaks count="1" manualBreakCount="1">
    <brk id="4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zoomScaleNormal="100" workbookViewId="0">
      <selection activeCell="B19" sqref="B19"/>
    </sheetView>
  </sheetViews>
  <sheetFormatPr defaultColWidth="6" defaultRowHeight="15" x14ac:dyDescent="0.25"/>
  <cols>
    <col min="1" max="1" width="7.85546875" style="129" customWidth="1"/>
    <col min="2" max="2" width="35.42578125" style="129" customWidth="1"/>
    <col min="3" max="4" width="12.85546875" style="176" customWidth="1"/>
    <col min="5" max="7" width="12.85546875" style="129" customWidth="1"/>
    <col min="8" max="10" width="12.85546875" style="176" customWidth="1"/>
    <col min="11" max="12" width="12.85546875" style="129" customWidth="1"/>
    <col min="13" max="13" width="11.5703125" style="14" customWidth="1"/>
    <col min="14" max="16384" width="6" style="11"/>
  </cols>
  <sheetData>
    <row r="1" spans="1:13" x14ac:dyDescent="0.25">
      <c r="A1" s="125" t="s">
        <v>151</v>
      </c>
      <c r="B1" s="126"/>
      <c r="C1" s="127">
        <v>22290</v>
      </c>
      <c r="D1" s="128"/>
      <c r="G1" s="130"/>
      <c r="H1" s="128"/>
      <c r="I1" s="128"/>
      <c r="J1" s="128"/>
      <c r="K1" s="131"/>
      <c r="L1" s="131"/>
      <c r="M1" s="19"/>
    </row>
    <row r="2" spans="1:13" ht="15.75" thickBot="1" x14ac:dyDescent="0.3">
      <c r="A2" s="132" t="s">
        <v>7</v>
      </c>
      <c r="B2" s="126"/>
      <c r="C2" s="133">
        <v>6.75</v>
      </c>
      <c r="D2" s="134"/>
      <c r="G2" s="130"/>
      <c r="H2" s="128"/>
      <c r="I2" s="128"/>
      <c r="J2" s="525" t="s">
        <v>143</v>
      </c>
      <c r="K2" s="525"/>
      <c r="L2" s="338" t="s">
        <v>137</v>
      </c>
    </row>
    <row r="3" spans="1:13" ht="16.5" customHeight="1" thickBot="1" x14ac:dyDescent="0.3">
      <c r="A3" s="339"/>
      <c r="B3" s="85"/>
      <c r="C3" s="520" t="s">
        <v>69</v>
      </c>
      <c r="D3" s="521"/>
      <c r="E3" s="520" t="s">
        <v>67</v>
      </c>
      <c r="F3" s="520"/>
      <c r="G3" s="520"/>
      <c r="H3" s="520"/>
      <c r="I3" s="519" t="s">
        <v>68</v>
      </c>
      <c r="J3" s="521"/>
      <c r="K3" s="340" t="s">
        <v>70</v>
      </c>
      <c r="L3" s="341"/>
      <c r="M3" s="11"/>
    </row>
    <row r="4" spans="1:13" ht="44.25" customHeight="1" thickBot="1" x14ac:dyDescent="0.3">
      <c r="A4" s="342" t="s">
        <v>65</v>
      </c>
      <c r="B4" s="275" t="s">
        <v>64</v>
      </c>
      <c r="C4" s="343" t="s">
        <v>62</v>
      </c>
      <c r="D4" s="117" t="s">
        <v>6</v>
      </c>
      <c r="E4" s="344" t="s">
        <v>1</v>
      </c>
      <c r="F4" s="345" t="s">
        <v>157</v>
      </c>
      <c r="G4" s="346" t="s">
        <v>2</v>
      </c>
      <c r="H4" s="347" t="s">
        <v>3</v>
      </c>
      <c r="I4" s="277" t="s">
        <v>4</v>
      </c>
      <c r="J4" s="276" t="s">
        <v>5</v>
      </c>
      <c r="K4" s="277" t="s">
        <v>8</v>
      </c>
      <c r="L4" s="348" t="s">
        <v>0</v>
      </c>
      <c r="M4" s="11"/>
    </row>
    <row r="5" spans="1:13" s="224" customFormat="1" ht="15" customHeight="1" x14ac:dyDescent="0.2">
      <c r="A5" s="214">
        <v>562.1</v>
      </c>
      <c r="B5" s="350" t="s">
        <v>9</v>
      </c>
      <c r="C5" s="351"/>
      <c r="D5" s="352">
        <v>10</v>
      </c>
      <c r="E5" s="218"/>
      <c r="F5" s="219">
        <v>42000</v>
      </c>
      <c r="G5" s="220">
        <v>70157</v>
      </c>
      <c r="H5" s="353"/>
      <c r="I5" s="354"/>
      <c r="J5" s="355"/>
      <c r="K5" s="219">
        <f>2857+17552</f>
        <v>20409</v>
      </c>
      <c r="L5" s="356">
        <f>SUM(C5:K5)</f>
        <v>132576</v>
      </c>
    </row>
    <row r="6" spans="1:13" s="224" customFormat="1" ht="15" customHeight="1" x14ac:dyDescent="0.2">
      <c r="A6" s="214">
        <v>562.11</v>
      </c>
      <c r="B6" s="350" t="s">
        <v>145</v>
      </c>
      <c r="C6" s="357"/>
      <c r="D6" s="312"/>
      <c r="E6" s="304"/>
      <c r="F6" s="299"/>
      <c r="G6" s="311"/>
      <c r="H6" s="299"/>
      <c r="I6" s="310"/>
      <c r="J6" s="312"/>
      <c r="K6" s="299"/>
      <c r="L6" s="356">
        <f t="shared" ref="L6:L10" si="0">SUM(C6:K6)</f>
        <v>0</v>
      </c>
    </row>
    <row r="7" spans="1:13" s="224" customFormat="1" ht="15" customHeight="1" x14ac:dyDescent="0.2">
      <c r="A7" s="214">
        <v>562.12</v>
      </c>
      <c r="B7" s="350" t="s">
        <v>146</v>
      </c>
      <c r="C7" s="357"/>
      <c r="D7" s="312"/>
      <c r="E7" s="304"/>
      <c r="F7" s="299"/>
      <c r="G7" s="311"/>
      <c r="H7" s="299"/>
      <c r="I7" s="310"/>
      <c r="J7" s="312"/>
      <c r="K7" s="299"/>
      <c r="L7" s="356">
        <f t="shared" si="0"/>
        <v>0</v>
      </c>
    </row>
    <row r="8" spans="1:13" s="224" customFormat="1" ht="15" customHeight="1" x14ac:dyDescent="0.2">
      <c r="A8" s="214">
        <v>562.13</v>
      </c>
      <c r="B8" s="350" t="s">
        <v>147</v>
      </c>
      <c r="C8" s="357"/>
      <c r="D8" s="312"/>
      <c r="E8" s="304"/>
      <c r="F8" s="299"/>
      <c r="G8" s="311"/>
      <c r="H8" s="299"/>
      <c r="I8" s="310"/>
      <c r="J8" s="312"/>
      <c r="K8" s="299"/>
      <c r="L8" s="356">
        <f t="shared" si="0"/>
        <v>0</v>
      </c>
    </row>
    <row r="9" spans="1:13" s="224" customFormat="1" ht="15" customHeight="1" x14ac:dyDescent="0.2">
      <c r="A9" s="214">
        <v>562.14</v>
      </c>
      <c r="B9" s="350" t="s">
        <v>148</v>
      </c>
      <c r="C9" s="357"/>
      <c r="D9" s="312"/>
      <c r="E9" s="304"/>
      <c r="F9" s="299"/>
      <c r="G9" s="311"/>
      <c r="H9" s="299"/>
      <c r="I9" s="310"/>
      <c r="J9" s="312"/>
      <c r="K9" s="299"/>
      <c r="L9" s="356">
        <f t="shared" si="0"/>
        <v>0</v>
      </c>
    </row>
    <row r="10" spans="1:13" s="224" customFormat="1" ht="15" customHeight="1" x14ac:dyDescent="0.2">
      <c r="A10" s="214">
        <v>562.15</v>
      </c>
      <c r="B10" s="350" t="s">
        <v>149</v>
      </c>
      <c r="C10" s="357"/>
      <c r="D10" s="312"/>
      <c r="E10" s="304"/>
      <c r="F10" s="299"/>
      <c r="G10" s="311"/>
      <c r="H10" s="299"/>
      <c r="I10" s="310"/>
      <c r="J10" s="312"/>
      <c r="K10" s="299"/>
      <c r="L10" s="356">
        <f t="shared" si="0"/>
        <v>0</v>
      </c>
    </row>
    <row r="11" spans="1:13" s="224" customFormat="1" ht="15" customHeight="1" x14ac:dyDescent="0.2">
      <c r="A11" s="214">
        <v>562.22</v>
      </c>
      <c r="B11" s="350" t="s">
        <v>51</v>
      </c>
      <c r="C11" s="216"/>
      <c r="D11" s="217"/>
      <c r="E11" s="218"/>
      <c r="F11" s="219"/>
      <c r="G11" s="220"/>
      <c r="H11" s="219"/>
      <c r="I11" s="221">
        <v>25310</v>
      </c>
      <c r="J11" s="217">
        <v>18187</v>
      </c>
      <c r="K11" s="219"/>
      <c r="L11" s="356">
        <f t="shared" ref="L11:L41" si="1">SUM(C11:K11)</f>
        <v>43497</v>
      </c>
    </row>
    <row r="12" spans="1:13" s="224" customFormat="1" ht="15" customHeight="1" x14ac:dyDescent="0.2">
      <c r="A12" s="214">
        <v>562.24</v>
      </c>
      <c r="B12" s="350" t="s">
        <v>10</v>
      </c>
      <c r="C12" s="216"/>
      <c r="D12" s="217"/>
      <c r="E12" s="218"/>
      <c r="F12" s="219"/>
      <c r="G12" s="220">
        <v>7436</v>
      </c>
      <c r="H12" s="219"/>
      <c r="I12" s="231"/>
      <c r="J12" s="217">
        <v>10160</v>
      </c>
      <c r="K12" s="219"/>
      <c r="L12" s="356">
        <f t="shared" si="1"/>
        <v>17596</v>
      </c>
    </row>
    <row r="13" spans="1:13" s="224" customFormat="1" ht="15" customHeight="1" x14ac:dyDescent="0.2">
      <c r="A13" s="214">
        <v>562.25</v>
      </c>
      <c r="B13" s="350" t="s">
        <v>52</v>
      </c>
      <c r="C13" s="216"/>
      <c r="D13" s="217"/>
      <c r="E13" s="218"/>
      <c r="F13" s="219"/>
      <c r="G13" s="220"/>
      <c r="H13" s="219"/>
      <c r="I13" s="221">
        <v>14864</v>
      </c>
      <c r="J13" s="217">
        <v>3179</v>
      </c>
      <c r="K13" s="219"/>
      <c r="L13" s="356">
        <f t="shared" si="1"/>
        <v>18043</v>
      </c>
    </row>
    <row r="14" spans="1:13" s="224" customFormat="1" ht="15" customHeight="1" x14ac:dyDescent="0.2">
      <c r="A14" s="214">
        <v>562.26</v>
      </c>
      <c r="B14" s="350" t="s">
        <v>43</v>
      </c>
      <c r="C14" s="216"/>
      <c r="D14" s="217"/>
      <c r="E14" s="218"/>
      <c r="F14" s="219"/>
      <c r="G14" s="220"/>
      <c r="H14" s="219"/>
      <c r="I14" s="221"/>
      <c r="J14" s="217"/>
      <c r="K14" s="219"/>
      <c r="L14" s="356">
        <f t="shared" si="1"/>
        <v>0</v>
      </c>
    </row>
    <row r="15" spans="1:13" s="224" customFormat="1" ht="15" customHeight="1" x14ac:dyDescent="0.2">
      <c r="A15" s="214">
        <v>562.27</v>
      </c>
      <c r="B15" s="350" t="s">
        <v>44</v>
      </c>
      <c r="C15" s="216"/>
      <c r="D15" s="217"/>
      <c r="E15" s="218"/>
      <c r="F15" s="219"/>
      <c r="G15" s="220"/>
      <c r="H15" s="219"/>
      <c r="I15" s="221"/>
      <c r="J15" s="358"/>
      <c r="K15" s="219"/>
      <c r="L15" s="356">
        <f t="shared" si="1"/>
        <v>0</v>
      </c>
    </row>
    <row r="16" spans="1:13" s="224" customFormat="1" ht="15" customHeight="1" x14ac:dyDescent="0.2">
      <c r="A16" s="214">
        <v>562.28</v>
      </c>
      <c r="B16" s="350" t="s">
        <v>53</v>
      </c>
      <c r="C16" s="216"/>
      <c r="D16" s="217"/>
      <c r="E16" s="218"/>
      <c r="F16" s="219"/>
      <c r="G16" s="220">
        <v>21130</v>
      </c>
      <c r="H16" s="219"/>
      <c r="I16" s="221">
        <v>102129</v>
      </c>
      <c r="J16" s="217">
        <v>19725</v>
      </c>
      <c r="K16" s="219">
        <v>300</v>
      </c>
      <c r="L16" s="356">
        <f t="shared" si="1"/>
        <v>143284</v>
      </c>
    </row>
    <row r="17" spans="1:12" s="224" customFormat="1" ht="15" customHeight="1" x14ac:dyDescent="0.2">
      <c r="A17" s="214">
        <v>562.29</v>
      </c>
      <c r="B17" s="350" t="s">
        <v>45</v>
      </c>
      <c r="C17" s="216"/>
      <c r="D17" s="217"/>
      <c r="E17" s="218"/>
      <c r="F17" s="219"/>
      <c r="G17" s="220"/>
      <c r="H17" s="219"/>
      <c r="I17" s="221"/>
      <c r="J17" s="217"/>
      <c r="K17" s="219"/>
      <c r="L17" s="356">
        <f t="shared" si="1"/>
        <v>0</v>
      </c>
    </row>
    <row r="18" spans="1:12" s="224" customFormat="1" ht="15" customHeight="1" x14ac:dyDescent="0.2">
      <c r="A18" s="214">
        <v>562.32000000000005</v>
      </c>
      <c r="B18" s="350" t="s">
        <v>11</v>
      </c>
      <c r="C18" s="216"/>
      <c r="D18" s="217"/>
      <c r="E18" s="218"/>
      <c r="F18" s="219"/>
      <c r="G18" s="220">
        <v>6431</v>
      </c>
      <c r="H18" s="219"/>
      <c r="I18" s="221">
        <v>5484</v>
      </c>
      <c r="J18" s="217"/>
      <c r="K18" s="219"/>
      <c r="L18" s="356">
        <f t="shared" si="1"/>
        <v>11915</v>
      </c>
    </row>
    <row r="19" spans="1:12" s="224" customFormat="1" ht="15" customHeight="1" x14ac:dyDescent="0.2">
      <c r="A19" s="214">
        <v>562.33000000000004</v>
      </c>
      <c r="B19" s="350" t="s">
        <v>54</v>
      </c>
      <c r="C19" s="216"/>
      <c r="D19" s="217"/>
      <c r="E19" s="218"/>
      <c r="F19" s="219"/>
      <c r="G19" s="220"/>
      <c r="H19" s="219"/>
      <c r="I19" s="221"/>
      <c r="J19" s="217"/>
      <c r="K19" s="219"/>
      <c r="L19" s="356">
        <f t="shared" si="1"/>
        <v>0</v>
      </c>
    </row>
    <row r="20" spans="1:12" s="224" customFormat="1" ht="15" customHeight="1" x14ac:dyDescent="0.2">
      <c r="A20" s="214">
        <v>562.34</v>
      </c>
      <c r="B20" s="350" t="s">
        <v>12</v>
      </c>
      <c r="C20" s="216"/>
      <c r="D20" s="217"/>
      <c r="E20" s="218"/>
      <c r="F20" s="219"/>
      <c r="G20" s="220">
        <v>480</v>
      </c>
      <c r="H20" s="219"/>
      <c r="I20" s="221"/>
      <c r="J20" s="217"/>
      <c r="K20" s="219"/>
      <c r="L20" s="356">
        <f t="shared" si="1"/>
        <v>480</v>
      </c>
    </row>
    <row r="21" spans="1:12" s="224" customFormat="1" ht="15" customHeight="1" x14ac:dyDescent="0.2">
      <c r="A21" s="214">
        <v>562.35</v>
      </c>
      <c r="B21" s="350" t="s">
        <v>13</v>
      </c>
      <c r="C21" s="216"/>
      <c r="D21" s="217"/>
      <c r="E21" s="218"/>
      <c r="F21" s="219"/>
      <c r="G21" s="220"/>
      <c r="H21" s="219"/>
      <c r="I21" s="221"/>
      <c r="J21" s="217"/>
      <c r="K21" s="219"/>
      <c r="L21" s="356">
        <f t="shared" si="1"/>
        <v>0</v>
      </c>
    </row>
    <row r="22" spans="1:12" s="224" customFormat="1" ht="15" customHeight="1" x14ac:dyDescent="0.2">
      <c r="A22" s="214">
        <v>562.39</v>
      </c>
      <c r="B22" s="350" t="s">
        <v>14</v>
      </c>
      <c r="C22" s="216"/>
      <c r="D22" s="217"/>
      <c r="E22" s="218"/>
      <c r="F22" s="219"/>
      <c r="G22" s="220">
        <v>15538</v>
      </c>
      <c r="H22" s="219"/>
      <c r="I22" s="221"/>
      <c r="J22" s="217"/>
      <c r="K22" s="219"/>
      <c r="L22" s="356">
        <f t="shared" si="1"/>
        <v>15538</v>
      </c>
    </row>
    <row r="23" spans="1:12" s="224" customFormat="1" ht="15" customHeight="1" x14ac:dyDescent="0.2">
      <c r="A23" s="214">
        <v>562.41</v>
      </c>
      <c r="B23" s="350" t="s">
        <v>15</v>
      </c>
      <c r="C23" s="216"/>
      <c r="D23" s="217"/>
      <c r="E23" s="218"/>
      <c r="F23" s="219"/>
      <c r="G23" s="220"/>
      <c r="H23" s="219"/>
      <c r="I23" s="221"/>
      <c r="J23" s="217"/>
      <c r="K23" s="219"/>
      <c r="L23" s="356">
        <f t="shared" si="1"/>
        <v>0</v>
      </c>
    </row>
    <row r="24" spans="1:12" s="224" customFormat="1" ht="15" customHeight="1" x14ac:dyDescent="0.2">
      <c r="A24" s="214">
        <v>562.41999999999996</v>
      </c>
      <c r="B24" s="350" t="s">
        <v>16</v>
      </c>
      <c r="C24" s="216"/>
      <c r="D24" s="217"/>
      <c r="E24" s="218"/>
      <c r="F24" s="219"/>
      <c r="G24" s="220"/>
      <c r="H24" s="219"/>
      <c r="I24" s="221"/>
      <c r="J24" s="217"/>
      <c r="K24" s="219"/>
      <c r="L24" s="356">
        <f t="shared" si="1"/>
        <v>0</v>
      </c>
    </row>
    <row r="25" spans="1:12" s="224" customFormat="1" ht="15" customHeight="1" x14ac:dyDescent="0.2">
      <c r="A25" s="214">
        <v>562.42999999999995</v>
      </c>
      <c r="B25" s="350" t="s">
        <v>55</v>
      </c>
      <c r="C25" s="216"/>
      <c r="D25" s="217"/>
      <c r="E25" s="218"/>
      <c r="F25" s="219"/>
      <c r="G25" s="220"/>
      <c r="H25" s="219"/>
      <c r="I25" s="221"/>
      <c r="J25" s="217"/>
      <c r="K25" s="219"/>
      <c r="L25" s="356">
        <f t="shared" si="1"/>
        <v>0</v>
      </c>
    </row>
    <row r="26" spans="1:12" s="224" customFormat="1" ht="15" customHeight="1" x14ac:dyDescent="0.2">
      <c r="A26" s="214">
        <v>562.44000000000005</v>
      </c>
      <c r="B26" s="350" t="s">
        <v>56</v>
      </c>
      <c r="C26" s="216"/>
      <c r="D26" s="217"/>
      <c r="E26" s="218">
        <v>486</v>
      </c>
      <c r="F26" s="219"/>
      <c r="G26" s="220">
        <v>2266</v>
      </c>
      <c r="H26" s="219"/>
      <c r="I26" s="221"/>
      <c r="J26" s="217"/>
      <c r="K26" s="219"/>
      <c r="L26" s="356">
        <f t="shared" si="1"/>
        <v>2752</v>
      </c>
    </row>
    <row r="27" spans="1:12" s="224" customFormat="1" ht="15" customHeight="1" x14ac:dyDescent="0.2">
      <c r="A27" s="214">
        <v>562.45000000000005</v>
      </c>
      <c r="B27" s="350" t="s">
        <v>57</v>
      </c>
      <c r="C27" s="216"/>
      <c r="D27" s="217"/>
      <c r="E27" s="218"/>
      <c r="F27" s="219"/>
      <c r="G27" s="220"/>
      <c r="H27" s="219"/>
      <c r="I27" s="221"/>
      <c r="J27" s="217"/>
      <c r="K27" s="219"/>
      <c r="L27" s="356">
        <f t="shared" si="1"/>
        <v>0</v>
      </c>
    </row>
    <row r="28" spans="1:12" s="224" customFormat="1" ht="15" customHeight="1" x14ac:dyDescent="0.2">
      <c r="A28" s="214">
        <v>562.49</v>
      </c>
      <c r="B28" s="350" t="s">
        <v>46</v>
      </c>
      <c r="C28" s="216"/>
      <c r="D28" s="217"/>
      <c r="E28" s="218"/>
      <c r="F28" s="219"/>
      <c r="G28" s="220"/>
      <c r="H28" s="219"/>
      <c r="I28" s="221"/>
      <c r="J28" s="217"/>
      <c r="K28" s="219"/>
      <c r="L28" s="356">
        <f t="shared" si="1"/>
        <v>0</v>
      </c>
    </row>
    <row r="29" spans="1:12" s="224" customFormat="1" ht="15" customHeight="1" x14ac:dyDescent="0.2">
      <c r="A29" s="214">
        <v>562.52</v>
      </c>
      <c r="B29" s="350" t="s">
        <v>17</v>
      </c>
      <c r="C29" s="216"/>
      <c r="D29" s="217"/>
      <c r="E29" s="218"/>
      <c r="F29" s="219"/>
      <c r="G29" s="220">
        <v>828</v>
      </c>
      <c r="H29" s="219"/>
      <c r="I29" s="221"/>
      <c r="J29" s="217"/>
      <c r="K29" s="219"/>
      <c r="L29" s="356">
        <f t="shared" si="1"/>
        <v>828</v>
      </c>
    </row>
    <row r="30" spans="1:12" s="224" customFormat="1" ht="15" customHeight="1" x14ac:dyDescent="0.2">
      <c r="A30" s="214">
        <v>562.53</v>
      </c>
      <c r="B30" s="350" t="s">
        <v>58</v>
      </c>
      <c r="C30" s="216">
        <v>0</v>
      </c>
      <c r="D30" s="217">
        <v>2832</v>
      </c>
      <c r="E30" s="218"/>
      <c r="F30" s="219"/>
      <c r="G30" s="220"/>
      <c r="H30" s="219">
        <v>1686</v>
      </c>
      <c r="I30" s="221"/>
      <c r="J30" s="217"/>
      <c r="K30" s="219"/>
      <c r="L30" s="356">
        <f t="shared" si="1"/>
        <v>4518</v>
      </c>
    </row>
    <row r="31" spans="1:12" s="224" customFormat="1" ht="15" customHeight="1" x14ac:dyDescent="0.2">
      <c r="A31" s="214">
        <v>562.54</v>
      </c>
      <c r="B31" s="350" t="s">
        <v>59</v>
      </c>
      <c r="C31" s="216">
        <v>48100</v>
      </c>
      <c r="D31" s="217">
        <v>34735</v>
      </c>
      <c r="E31" s="218"/>
      <c r="F31" s="219"/>
      <c r="G31" s="220">
        <v>1672</v>
      </c>
      <c r="H31" s="219"/>
      <c r="I31" s="221"/>
      <c r="J31" s="217"/>
      <c r="K31" s="219"/>
      <c r="L31" s="356">
        <f t="shared" si="1"/>
        <v>84507</v>
      </c>
    </row>
    <row r="32" spans="1:12" s="224" customFormat="1" ht="15" customHeight="1" x14ac:dyDescent="0.2">
      <c r="A32" s="214">
        <v>562.54999999999995</v>
      </c>
      <c r="B32" s="350" t="s">
        <v>18</v>
      </c>
      <c r="C32" s="216"/>
      <c r="D32" s="217"/>
      <c r="E32" s="218"/>
      <c r="F32" s="219"/>
      <c r="G32" s="220">
        <v>408</v>
      </c>
      <c r="H32" s="219"/>
      <c r="I32" s="221"/>
      <c r="J32" s="217"/>
      <c r="K32" s="219"/>
      <c r="L32" s="356">
        <f t="shared" si="1"/>
        <v>408</v>
      </c>
    </row>
    <row r="33" spans="1:12" s="224" customFormat="1" ht="15" customHeight="1" x14ac:dyDescent="0.2">
      <c r="A33" s="214">
        <v>562.55999999999995</v>
      </c>
      <c r="B33" s="350" t="s">
        <v>19</v>
      </c>
      <c r="C33" s="216"/>
      <c r="D33" s="217">
        <v>33741</v>
      </c>
      <c r="E33" s="218"/>
      <c r="F33" s="219"/>
      <c r="G33" s="220">
        <v>23235</v>
      </c>
      <c r="H33" s="219"/>
      <c r="I33" s="221"/>
      <c r="J33" s="217"/>
      <c r="K33" s="219"/>
      <c r="L33" s="356">
        <f t="shared" si="1"/>
        <v>56976</v>
      </c>
    </row>
    <row r="34" spans="1:12" s="224" customFormat="1" ht="15" customHeight="1" x14ac:dyDescent="0.2">
      <c r="A34" s="214">
        <v>562.57000000000005</v>
      </c>
      <c r="B34" s="350" t="s">
        <v>60</v>
      </c>
      <c r="C34" s="216"/>
      <c r="D34" s="217"/>
      <c r="E34" s="218"/>
      <c r="F34" s="219"/>
      <c r="G34" s="220"/>
      <c r="H34" s="219"/>
      <c r="I34" s="221"/>
      <c r="J34" s="217"/>
      <c r="K34" s="219"/>
      <c r="L34" s="356">
        <f t="shared" si="1"/>
        <v>0</v>
      </c>
    </row>
    <row r="35" spans="1:12" s="224" customFormat="1" ht="15" customHeight="1" x14ac:dyDescent="0.2">
      <c r="A35" s="214">
        <v>562.58000000000004</v>
      </c>
      <c r="B35" s="350" t="s">
        <v>47</v>
      </c>
      <c r="C35" s="216"/>
      <c r="D35" s="217">
        <v>251</v>
      </c>
      <c r="E35" s="218"/>
      <c r="F35" s="219"/>
      <c r="G35" s="220"/>
      <c r="H35" s="219"/>
      <c r="I35" s="221"/>
      <c r="J35" s="217"/>
      <c r="K35" s="219"/>
      <c r="L35" s="356">
        <f t="shared" si="1"/>
        <v>251</v>
      </c>
    </row>
    <row r="36" spans="1:12" s="224" customFormat="1" ht="15" customHeight="1" x14ac:dyDescent="0.2">
      <c r="A36" s="214">
        <v>562.59</v>
      </c>
      <c r="B36" s="350" t="s">
        <v>48</v>
      </c>
      <c r="C36" s="216"/>
      <c r="D36" s="217"/>
      <c r="E36" s="218"/>
      <c r="F36" s="219"/>
      <c r="G36" s="220">
        <v>258</v>
      </c>
      <c r="H36" s="219"/>
      <c r="I36" s="221"/>
      <c r="J36" s="217"/>
      <c r="K36" s="219"/>
      <c r="L36" s="356">
        <f t="shared" si="1"/>
        <v>258</v>
      </c>
    </row>
    <row r="37" spans="1:12" s="224" customFormat="1" ht="15" customHeight="1" x14ac:dyDescent="0.2">
      <c r="A37" s="214">
        <v>562.6</v>
      </c>
      <c r="B37" s="350" t="s">
        <v>20</v>
      </c>
      <c r="C37" s="216"/>
      <c r="D37" s="217"/>
      <c r="E37" s="218"/>
      <c r="F37" s="219"/>
      <c r="G37" s="220">
        <v>1272</v>
      </c>
      <c r="H37" s="219"/>
      <c r="I37" s="221"/>
      <c r="J37" s="217"/>
      <c r="K37" s="219"/>
      <c r="L37" s="356">
        <f t="shared" si="1"/>
        <v>1272</v>
      </c>
    </row>
    <row r="38" spans="1:12" s="224" customFormat="1" ht="15" customHeight="1" x14ac:dyDescent="0.2">
      <c r="A38" s="214">
        <v>562.71</v>
      </c>
      <c r="B38" s="350" t="s">
        <v>21</v>
      </c>
      <c r="C38" s="216"/>
      <c r="D38" s="217">
        <v>5597</v>
      </c>
      <c r="E38" s="218"/>
      <c r="F38" s="219"/>
      <c r="G38" s="220">
        <v>7940</v>
      </c>
      <c r="H38" s="219"/>
      <c r="I38" s="221"/>
      <c r="J38" s="217"/>
      <c r="K38" s="219">
        <v>26</v>
      </c>
      <c r="L38" s="356">
        <f t="shared" si="1"/>
        <v>13563</v>
      </c>
    </row>
    <row r="39" spans="1:12" s="224" customFormat="1" ht="15" customHeight="1" x14ac:dyDescent="0.2">
      <c r="A39" s="214">
        <v>562.72</v>
      </c>
      <c r="B39" s="350" t="s">
        <v>22</v>
      </c>
      <c r="C39" s="216"/>
      <c r="D39" s="217"/>
      <c r="E39" s="218"/>
      <c r="F39" s="219"/>
      <c r="G39" s="220"/>
      <c r="H39" s="219"/>
      <c r="I39" s="221"/>
      <c r="J39" s="217"/>
      <c r="K39" s="219"/>
      <c r="L39" s="356">
        <f t="shared" si="1"/>
        <v>0</v>
      </c>
    </row>
    <row r="40" spans="1:12" s="224" customFormat="1" ht="15" customHeight="1" x14ac:dyDescent="0.2">
      <c r="A40" s="214">
        <v>562.73</v>
      </c>
      <c r="B40" s="350" t="s">
        <v>23</v>
      </c>
      <c r="C40" s="216"/>
      <c r="D40" s="217"/>
      <c r="E40" s="218"/>
      <c r="F40" s="219"/>
      <c r="G40" s="220"/>
      <c r="H40" s="219"/>
      <c r="I40" s="221"/>
      <c r="J40" s="217"/>
      <c r="K40" s="219"/>
      <c r="L40" s="356">
        <f t="shared" si="1"/>
        <v>0</v>
      </c>
    </row>
    <row r="41" spans="1:12" s="224" customFormat="1" ht="15" customHeight="1" x14ac:dyDescent="0.2">
      <c r="A41" s="214">
        <v>562.74</v>
      </c>
      <c r="B41" s="350" t="s">
        <v>49</v>
      </c>
      <c r="C41" s="216"/>
      <c r="D41" s="217"/>
      <c r="E41" s="218"/>
      <c r="F41" s="219"/>
      <c r="G41" s="220"/>
      <c r="H41" s="219"/>
      <c r="I41" s="221"/>
      <c r="J41" s="217"/>
      <c r="K41" s="219"/>
      <c r="L41" s="356">
        <f t="shared" si="1"/>
        <v>0</v>
      </c>
    </row>
    <row r="42" spans="1:12" s="224" customFormat="1" ht="15" customHeight="1" x14ac:dyDescent="0.2">
      <c r="A42" s="214">
        <v>562.78</v>
      </c>
      <c r="B42" s="350" t="s">
        <v>24</v>
      </c>
      <c r="C42" s="216"/>
      <c r="D42" s="217"/>
      <c r="E42" s="218"/>
      <c r="F42" s="219"/>
      <c r="G42" s="220"/>
      <c r="H42" s="219"/>
      <c r="I42" s="221"/>
      <c r="J42" s="217"/>
      <c r="K42" s="219"/>
      <c r="L42" s="356">
        <f t="shared" ref="L42:L60" si="2">SUM(C42:K42)</f>
        <v>0</v>
      </c>
    </row>
    <row r="43" spans="1:12" s="224" customFormat="1" ht="15" customHeight="1" x14ac:dyDescent="0.2">
      <c r="A43" s="214">
        <v>562.79</v>
      </c>
      <c r="B43" s="350" t="s">
        <v>25</v>
      </c>
      <c r="C43" s="216"/>
      <c r="D43" s="217"/>
      <c r="E43" s="218"/>
      <c r="F43" s="219"/>
      <c r="G43" s="220"/>
      <c r="H43" s="219"/>
      <c r="I43" s="221"/>
      <c r="J43" s="217"/>
      <c r="K43" s="219"/>
      <c r="L43" s="356">
        <f t="shared" si="2"/>
        <v>0</v>
      </c>
    </row>
    <row r="44" spans="1:12" s="224" customFormat="1" ht="15" customHeight="1" x14ac:dyDescent="0.2">
      <c r="A44" s="214">
        <v>562.79999999999995</v>
      </c>
      <c r="B44" s="350" t="s">
        <v>26</v>
      </c>
      <c r="C44" s="216"/>
      <c r="D44" s="217"/>
      <c r="E44" s="218"/>
      <c r="F44" s="219"/>
      <c r="G44" s="220"/>
      <c r="H44" s="219"/>
      <c r="I44" s="221"/>
      <c r="J44" s="217"/>
      <c r="K44" s="219"/>
      <c r="L44" s="356">
        <f t="shared" si="2"/>
        <v>0</v>
      </c>
    </row>
    <row r="45" spans="1:12" s="224" customFormat="1" ht="15" customHeight="1" x14ac:dyDescent="0.2">
      <c r="A45" s="214">
        <v>562.88</v>
      </c>
      <c r="B45" s="350" t="s">
        <v>50</v>
      </c>
      <c r="C45" s="216"/>
      <c r="D45" s="217"/>
      <c r="E45" s="218"/>
      <c r="F45" s="219"/>
      <c r="G45" s="220">
        <v>840</v>
      </c>
      <c r="H45" s="219"/>
      <c r="I45" s="221">
        <v>22124</v>
      </c>
      <c r="J45" s="217"/>
      <c r="K45" s="219"/>
      <c r="L45" s="356">
        <f t="shared" si="2"/>
        <v>22964</v>
      </c>
    </row>
    <row r="46" spans="1:12" s="224" customFormat="1" ht="15" customHeight="1" x14ac:dyDescent="0.2">
      <c r="A46" s="214">
        <v>562.9</v>
      </c>
      <c r="B46" s="350" t="s">
        <v>27</v>
      </c>
      <c r="C46" s="216"/>
      <c r="D46" s="217"/>
      <c r="E46" s="218"/>
      <c r="F46" s="219"/>
      <c r="G46" s="220"/>
      <c r="H46" s="219"/>
      <c r="I46" s="221"/>
      <c r="J46" s="217"/>
      <c r="K46" s="219"/>
      <c r="L46" s="356">
        <f t="shared" si="2"/>
        <v>0</v>
      </c>
    </row>
    <row r="47" spans="1:12" s="224" customFormat="1" ht="15" customHeight="1" thickBot="1" x14ac:dyDescent="0.25">
      <c r="A47" s="214">
        <v>562.99</v>
      </c>
      <c r="B47" s="350" t="s">
        <v>28</v>
      </c>
      <c r="C47" s="216"/>
      <c r="D47" s="217"/>
      <c r="E47" s="218"/>
      <c r="F47" s="219"/>
      <c r="G47" s="220"/>
      <c r="H47" s="219"/>
      <c r="I47" s="221"/>
      <c r="J47" s="217"/>
      <c r="K47" s="219"/>
      <c r="L47" s="356">
        <f t="shared" si="2"/>
        <v>0</v>
      </c>
    </row>
    <row r="48" spans="1:12" s="224" customFormat="1" ht="15" customHeight="1" thickBot="1" x14ac:dyDescent="0.25">
      <c r="A48" s="359" t="s">
        <v>63</v>
      </c>
      <c r="B48" s="360" t="s">
        <v>29</v>
      </c>
      <c r="C48" s="361">
        <f>SUM(C5:C47)</f>
        <v>48100</v>
      </c>
      <c r="D48" s="362">
        <f>SUM(D5:D47)</f>
        <v>77166</v>
      </c>
      <c r="E48" s="363">
        <f>SUM(E5:E47)</f>
        <v>486</v>
      </c>
      <c r="F48" s="364">
        <f t="shared" ref="F48:K48" si="3">SUM(F5:F47)</f>
        <v>42000</v>
      </c>
      <c r="G48" s="365">
        <f t="shared" si="3"/>
        <v>159891</v>
      </c>
      <c r="H48" s="364">
        <f t="shared" si="3"/>
        <v>1686</v>
      </c>
      <c r="I48" s="366">
        <f t="shared" si="3"/>
        <v>169911</v>
      </c>
      <c r="J48" s="362">
        <f t="shared" si="3"/>
        <v>51251</v>
      </c>
      <c r="K48" s="364">
        <f t="shared" si="3"/>
        <v>20735</v>
      </c>
      <c r="L48" s="367">
        <f t="shared" si="2"/>
        <v>571226</v>
      </c>
    </row>
    <row r="49" spans="1:13" s="224" customFormat="1" ht="15" customHeight="1" x14ac:dyDescent="0.2">
      <c r="A49" s="368">
        <v>523</v>
      </c>
      <c r="B49" s="369" t="s">
        <v>30</v>
      </c>
      <c r="C49" s="351">
        <v>0</v>
      </c>
      <c r="D49" s="352">
        <v>0</v>
      </c>
      <c r="E49" s="370"/>
      <c r="F49" s="371"/>
      <c r="G49" s="372"/>
      <c r="H49" s="371"/>
      <c r="I49" s="354"/>
      <c r="J49" s="352"/>
      <c r="K49" s="371"/>
      <c r="L49" s="373">
        <f t="shared" si="2"/>
        <v>0</v>
      </c>
    </row>
    <row r="50" spans="1:13" s="224" customFormat="1" ht="15" customHeight="1" x14ac:dyDescent="0.2">
      <c r="A50" s="214">
        <v>526</v>
      </c>
      <c r="B50" s="350" t="s">
        <v>31</v>
      </c>
      <c r="C50" s="216"/>
      <c r="D50" s="217"/>
      <c r="E50" s="218"/>
      <c r="F50" s="219"/>
      <c r="G50" s="220"/>
      <c r="H50" s="219"/>
      <c r="I50" s="221"/>
      <c r="J50" s="217"/>
      <c r="K50" s="219"/>
      <c r="L50" s="356">
        <f t="shared" si="2"/>
        <v>0</v>
      </c>
    </row>
    <row r="51" spans="1:13" s="224" customFormat="1" ht="15" customHeight="1" x14ac:dyDescent="0.2">
      <c r="A51" s="214">
        <v>527.70000000000005</v>
      </c>
      <c r="B51" s="350" t="s">
        <v>32</v>
      </c>
      <c r="C51" s="216">
        <v>0</v>
      </c>
      <c r="D51" s="217">
        <v>0</v>
      </c>
      <c r="E51" s="218"/>
      <c r="F51" s="219"/>
      <c r="G51" s="220"/>
      <c r="H51" s="219"/>
      <c r="I51" s="221"/>
      <c r="J51" s="217"/>
      <c r="K51" s="219"/>
      <c r="L51" s="356">
        <f t="shared" si="2"/>
        <v>0</v>
      </c>
    </row>
    <row r="52" spans="1:13" s="224" customFormat="1" ht="15" customHeight="1" x14ac:dyDescent="0.2">
      <c r="A52" s="214">
        <v>551.20000000000005</v>
      </c>
      <c r="B52" s="350" t="s">
        <v>33</v>
      </c>
      <c r="C52" s="216">
        <v>0</v>
      </c>
      <c r="D52" s="217">
        <v>0</v>
      </c>
      <c r="E52" s="218"/>
      <c r="F52" s="219"/>
      <c r="G52" s="220"/>
      <c r="H52" s="219"/>
      <c r="I52" s="221"/>
      <c r="J52" s="217"/>
      <c r="K52" s="219"/>
      <c r="L52" s="356">
        <f t="shared" si="2"/>
        <v>0</v>
      </c>
    </row>
    <row r="53" spans="1:13" s="224" customFormat="1" ht="15" customHeight="1" x14ac:dyDescent="0.2">
      <c r="A53" s="214">
        <v>554</v>
      </c>
      <c r="B53" s="350" t="s">
        <v>61</v>
      </c>
      <c r="C53" s="216">
        <v>0</v>
      </c>
      <c r="D53" s="217">
        <v>0</v>
      </c>
      <c r="E53" s="218"/>
      <c r="F53" s="219"/>
      <c r="G53" s="220"/>
      <c r="H53" s="219"/>
      <c r="I53" s="221"/>
      <c r="J53" s="217"/>
      <c r="K53" s="219"/>
      <c r="L53" s="356">
        <f t="shared" si="2"/>
        <v>0</v>
      </c>
    </row>
    <row r="54" spans="1:13" s="224" customFormat="1" ht="15" customHeight="1" x14ac:dyDescent="0.2">
      <c r="A54" s="214">
        <v>555</v>
      </c>
      <c r="B54" s="350" t="s">
        <v>34</v>
      </c>
      <c r="C54" s="216">
        <v>0</v>
      </c>
      <c r="D54" s="217">
        <v>0</v>
      </c>
      <c r="E54" s="218"/>
      <c r="F54" s="219"/>
      <c r="G54" s="220"/>
      <c r="H54" s="219"/>
      <c r="I54" s="221"/>
      <c r="J54" s="217"/>
      <c r="K54" s="219"/>
      <c r="L54" s="356">
        <f t="shared" si="2"/>
        <v>0</v>
      </c>
    </row>
    <row r="55" spans="1:13" s="224" customFormat="1" ht="15" customHeight="1" x14ac:dyDescent="0.2">
      <c r="A55" s="214">
        <v>563</v>
      </c>
      <c r="B55" s="350" t="s">
        <v>35</v>
      </c>
      <c r="C55" s="216">
        <v>0</v>
      </c>
      <c r="D55" s="217">
        <v>0</v>
      </c>
      <c r="E55" s="218"/>
      <c r="F55" s="219"/>
      <c r="G55" s="220"/>
      <c r="H55" s="219"/>
      <c r="I55" s="221"/>
      <c r="J55" s="217"/>
      <c r="K55" s="219"/>
      <c r="L55" s="356">
        <f t="shared" si="2"/>
        <v>0</v>
      </c>
    </row>
    <row r="56" spans="1:13" s="224" customFormat="1" ht="15" customHeight="1" x14ac:dyDescent="0.2">
      <c r="A56" s="214">
        <v>564</v>
      </c>
      <c r="B56" s="350" t="s">
        <v>36</v>
      </c>
      <c r="C56" s="216">
        <v>0</v>
      </c>
      <c r="D56" s="217">
        <v>0</v>
      </c>
      <c r="E56" s="218"/>
      <c r="F56" s="219"/>
      <c r="G56" s="220"/>
      <c r="H56" s="219"/>
      <c r="I56" s="221"/>
      <c r="J56" s="217"/>
      <c r="K56" s="219"/>
      <c r="L56" s="356">
        <f t="shared" si="2"/>
        <v>0</v>
      </c>
    </row>
    <row r="57" spans="1:13" s="224" customFormat="1" ht="15" customHeight="1" x14ac:dyDescent="0.2">
      <c r="A57" s="214">
        <v>566</v>
      </c>
      <c r="B57" s="350" t="s">
        <v>37</v>
      </c>
      <c r="C57" s="216">
        <v>0</v>
      </c>
      <c r="D57" s="217">
        <v>0</v>
      </c>
      <c r="E57" s="218"/>
      <c r="F57" s="219"/>
      <c r="G57" s="220"/>
      <c r="H57" s="219"/>
      <c r="I57" s="221"/>
      <c r="J57" s="217"/>
      <c r="K57" s="219"/>
      <c r="L57" s="356">
        <f t="shared" si="2"/>
        <v>0</v>
      </c>
    </row>
    <row r="58" spans="1:13" s="224" customFormat="1" ht="15" customHeight="1" x14ac:dyDescent="0.2">
      <c r="A58" s="214">
        <v>568</v>
      </c>
      <c r="B58" s="350" t="s">
        <v>38</v>
      </c>
      <c r="C58" s="216">
        <v>0</v>
      </c>
      <c r="D58" s="217">
        <v>0</v>
      </c>
      <c r="E58" s="218"/>
      <c r="F58" s="219"/>
      <c r="G58" s="220"/>
      <c r="H58" s="219"/>
      <c r="I58" s="221"/>
      <c r="J58" s="217"/>
      <c r="K58" s="219"/>
      <c r="L58" s="356">
        <f t="shared" si="2"/>
        <v>0</v>
      </c>
    </row>
    <row r="59" spans="1:13" s="224" customFormat="1" ht="15" customHeight="1" thickBot="1" x14ac:dyDescent="0.25">
      <c r="A59" s="214">
        <v>500</v>
      </c>
      <c r="B59" s="350" t="s">
        <v>66</v>
      </c>
      <c r="C59" s="216">
        <v>0</v>
      </c>
      <c r="D59" s="217">
        <v>0</v>
      </c>
      <c r="E59" s="218"/>
      <c r="F59" s="219"/>
      <c r="G59" s="220"/>
      <c r="H59" s="219"/>
      <c r="I59" s="221"/>
      <c r="J59" s="217"/>
      <c r="K59" s="219"/>
      <c r="L59" s="356">
        <f t="shared" si="2"/>
        <v>0</v>
      </c>
    </row>
    <row r="60" spans="1:13" s="224" customFormat="1" ht="15" customHeight="1" thickBot="1" x14ac:dyDescent="0.25">
      <c r="A60" s="334"/>
      <c r="B60" s="374" t="s">
        <v>41</v>
      </c>
      <c r="C60" s="375">
        <f>SUM(C48:C59)</f>
        <v>48100</v>
      </c>
      <c r="D60" s="362">
        <f>SUM(D48:D59)</f>
        <v>77166</v>
      </c>
      <c r="E60" s="363">
        <f>SUM(E48:E59)</f>
        <v>486</v>
      </c>
      <c r="F60" s="364">
        <f>SUM(F48:F59)</f>
        <v>42000</v>
      </c>
      <c r="G60" s="365">
        <f t="shared" ref="G60:K60" si="4">SUM(G48:G59)</f>
        <v>159891</v>
      </c>
      <c r="H60" s="364">
        <f t="shared" si="4"/>
        <v>1686</v>
      </c>
      <c r="I60" s="366">
        <f t="shared" si="4"/>
        <v>169911</v>
      </c>
      <c r="J60" s="362">
        <f t="shared" si="4"/>
        <v>51251</v>
      </c>
      <c r="K60" s="364">
        <f t="shared" si="4"/>
        <v>20735</v>
      </c>
      <c r="L60" s="376">
        <f t="shared" si="2"/>
        <v>571226</v>
      </c>
    </row>
    <row r="62" spans="1:13" ht="15.75" thickBot="1" x14ac:dyDescent="0.3"/>
    <row r="63" spans="1:13" ht="15.75" thickBot="1" x14ac:dyDescent="0.3">
      <c r="B63" s="177" t="s">
        <v>71</v>
      </c>
      <c r="C63" s="178"/>
      <c r="D63" s="179"/>
      <c r="E63" s="176"/>
      <c r="F63" s="176"/>
      <c r="G63" s="176"/>
      <c r="I63" s="129"/>
      <c r="J63" s="129"/>
      <c r="K63" s="176"/>
      <c r="M63" s="11"/>
    </row>
    <row r="64" spans="1:13" ht="15.75" thickTop="1" x14ac:dyDescent="0.25">
      <c r="B64" s="180"/>
      <c r="C64" s="349" t="s">
        <v>42</v>
      </c>
      <c r="D64" s="182" t="s">
        <v>39</v>
      </c>
      <c r="E64" s="176"/>
      <c r="F64" s="176"/>
      <c r="G64" s="176"/>
      <c r="I64" s="129"/>
      <c r="J64" s="129"/>
      <c r="K64" s="176"/>
      <c r="M64" s="11"/>
    </row>
    <row r="65" spans="2:13" x14ac:dyDescent="0.25">
      <c r="B65" s="183" t="s">
        <v>69</v>
      </c>
      <c r="C65" s="284"/>
      <c r="D65" s="185"/>
      <c r="E65" s="176"/>
      <c r="F65" s="176"/>
      <c r="G65" s="176"/>
      <c r="I65" s="129"/>
      <c r="J65" s="129"/>
      <c r="K65" s="176"/>
      <c r="M65" s="11"/>
    </row>
    <row r="66" spans="2:13" x14ac:dyDescent="0.25">
      <c r="B66" s="186" t="s">
        <v>62</v>
      </c>
      <c r="C66" s="285">
        <f>C60</f>
        <v>48100</v>
      </c>
      <c r="D66" s="188">
        <f>C60/L60</f>
        <v>8.4204850619544622E-2</v>
      </c>
      <c r="E66" s="176"/>
      <c r="F66" s="176"/>
      <c r="G66" s="176"/>
      <c r="I66" s="129"/>
      <c r="J66" s="129"/>
      <c r="K66" s="176"/>
      <c r="M66" s="11"/>
    </row>
    <row r="67" spans="2:13" x14ac:dyDescent="0.25">
      <c r="B67" s="189" t="s">
        <v>6</v>
      </c>
      <c r="C67" s="286">
        <f>D60</f>
        <v>77166</v>
      </c>
      <c r="D67" s="191">
        <f>D60/L60</f>
        <v>0.13508838883384161</v>
      </c>
      <c r="E67" s="176"/>
      <c r="F67" s="176"/>
      <c r="G67" s="176"/>
      <c r="I67" s="129"/>
      <c r="J67" s="129"/>
      <c r="K67" s="176"/>
      <c r="M67" s="11"/>
    </row>
    <row r="68" spans="2:13" ht="15.75" thickBot="1" x14ac:dyDescent="0.3">
      <c r="B68" s="192" t="s">
        <v>158</v>
      </c>
      <c r="C68" s="287">
        <f>SUM(C66:C67)</f>
        <v>125266</v>
      </c>
      <c r="D68" s="194">
        <f>SUM(D66:D67)</f>
        <v>0.21929323945338625</v>
      </c>
      <c r="E68" s="176"/>
      <c r="F68" s="176"/>
      <c r="G68" s="176"/>
      <c r="I68" s="129"/>
      <c r="J68" s="129"/>
      <c r="K68" s="176"/>
      <c r="M68" s="11"/>
    </row>
    <row r="69" spans="2:13" x14ac:dyDescent="0.25">
      <c r="B69" s="195" t="s">
        <v>67</v>
      </c>
      <c r="C69" s="288"/>
      <c r="D69" s="197"/>
      <c r="E69" s="176"/>
      <c r="F69" s="176"/>
      <c r="G69" s="176"/>
      <c r="I69" s="129"/>
      <c r="J69" s="129"/>
      <c r="K69" s="176"/>
      <c r="M69" s="11"/>
    </row>
    <row r="70" spans="2:13" x14ac:dyDescent="0.25">
      <c r="B70" s="198" t="s">
        <v>1</v>
      </c>
      <c r="C70" s="289">
        <f>E60</f>
        <v>486</v>
      </c>
      <c r="D70" s="200">
        <f>E60/$L60</f>
        <v>8.5080160917045094E-4</v>
      </c>
      <c r="E70" s="176"/>
      <c r="F70" s="176"/>
      <c r="G70" s="176"/>
      <c r="I70" s="129"/>
      <c r="J70" s="129"/>
      <c r="K70" s="176"/>
      <c r="M70" s="11"/>
    </row>
    <row r="71" spans="2:13" x14ac:dyDescent="0.25">
      <c r="B71" s="198" t="s">
        <v>157</v>
      </c>
      <c r="C71" s="289">
        <f>F60</f>
        <v>42000</v>
      </c>
      <c r="D71" s="200">
        <f>F60/L60</f>
        <v>7.352606499003897E-2</v>
      </c>
      <c r="E71" s="176"/>
      <c r="F71" s="176"/>
      <c r="G71" s="176"/>
      <c r="I71" s="129"/>
      <c r="J71" s="129"/>
      <c r="K71" s="176"/>
      <c r="M71" s="11"/>
    </row>
    <row r="72" spans="2:13" x14ac:dyDescent="0.25">
      <c r="B72" s="198" t="s">
        <v>2</v>
      </c>
      <c r="C72" s="289">
        <f>G60</f>
        <v>159891</v>
      </c>
      <c r="D72" s="200">
        <f>G60/$L60</f>
        <v>0.27990847755529336</v>
      </c>
      <c r="E72" s="176"/>
      <c r="F72" s="176"/>
      <c r="G72" s="176"/>
      <c r="I72" s="129"/>
      <c r="J72" s="129"/>
      <c r="K72" s="176"/>
      <c r="M72" s="11"/>
    </row>
    <row r="73" spans="2:13" x14ac:dyDescent="0.25">
      <c r="B73" s="201" t="s">
        <v>40</v>
      </c>
      <c r="C73" s="290">
        <f>H60</f>
        <v>1686</v>
      </c>
      <c r="D73" s="203">
        <f>H60/$L60</f>
        <v>2.9515463231715644E-3</v>
      </c>
      <c r="E73" s="176"/>
      <c r="F73" s="176"/>
      <c r="G73" s="176"/>
      <c r="I73" s="129"/>
      <c r="J73" s="129"/>
      <c r="K73" s="176"/>
      <c r="M73" s="11"/>
    </row>
    <row r="74" spans="2:13" ht="15.75" thickBot="1" x14ac:dyDescent="0.3">
      <c r="B74" s="192" t="s">
        <v>159</v>
      </c>
      <c r="C74" s="291">
        <f>SUM(C70:C73)</f>
        <v>204063</v>
      </c>
      <c r="D74" s="194">
        <f>SUM(D70:D73)</f>
        <v>0.35723689047767432</v>
      </c>
      <c r="E74" s="176"/>
      <c r="F74" s="176"/>
      <c r="G74" s="176"/>
      <c r="I74" s="129"/>
      <c r="J74" s="129"/>
      <c r="K74" s="176"/>
      <c r="M74" s="11"/>
    </row>
    <row r="75" spans="2:13" x14ac:dyDescent="0.25">
      <c r="B75" s="183" t="s">
        <v>68</v>
      </c>
      <c r="C75" s="292"/>
      <c r="D75" s="206"/>
      <c r="E75" s="176"/>
      <c r="F75" s="176"/>
      <c r="G75" s="176"/>
      <c r="I75" s="129"/>
      <c r="J75" s="129"/>
      <c r="K75" s="176"/>
      <c r="M75" s="11"/>
    </row>
    <row r="76" spans="2:13" x14ac:dyDescent="0.25">
      <c r="B76" s="186" t="s">
        <v>4</v>
      </c>
      <c r="C76" s="285">
        <f>I60</f>
        <v>169911</v>
      </c>
      <c r="D76" s="188">
        <f>I60/L60</f>
        <v>0.29744969591720266</v>
      </c>
      <c r="E76" s="176"/>
      <c r="F76" s="176"/>
      <c r="G76" s="176"/>
      <c r="I76" s="129"/>
      <c r="J76" s="129"/>
      <c r="K76" s="176"/>
      <c r="M76" s="11"/>
    </row>
    <row r="77" spans="2:13" x14ac:dyDescent="0.25">
      <c r="B77" s="189" t="s">
        <v>5</v>
      </c>
      <c r="C77" s="286">
        <f>J60</f>
        <v>51251</v>
      </c>
      <c r="D77" s="191">
        <f>J60/L60</f>
        <v>8.9721056114392558E-2</v>
      </c>
      <c r="E77" s="176"/>
      <c r="F77" s="176"/>
      <c r="G77" s="176"/>
      <c r="I77" s="129"/>
      <c r="J77" s="129"/>
      <c r="K77" s="176"/>
      <c r="M77" s="11"/>
    </row>
    <row r="78" spans="2:13" ht="15.75" thickBot="1" x14ac:dyDescent="0.3">
      <c r="B78" s="192" t="s">
        <v>160</v>
      </c>
      <c r="C78" s="291">
        <f>SUM(C76:C77)</f>
        <v>221162</v>
      </c>
      <c r="D78" s="194">
        <f>SUM(D76:D77)</f>
        <v>0.38717075203159523</v>
      </c>
      <c r="E78" s="176"/>
      <c r="F78" s="176"/>
      <c r="G78" s="176"/>
      <c r="I78" s="129"/>
      <c r="J78" s="129"/>
      <c r="K78" s="176"/>
      <c r="M78" s="11"/>
    </row>
    <row r="79" spans="2:13" x14ac:dyDescent="0.25">
      <c r="B79" s="198" t="s">
        <v>108</v>
      </c>
      <c r="C79" s="293"/>
      <c r="D79" s="208"/>
      <c r="E79" s="176"/>
      <c r="F79" s="176"/>
      <c r="G79" s="176"/>
      <c r="I79" s="129"/>
      <c r="J79" s="129"/>
      <c r="K79" s="176"/>
      <c r="M79" s="11"/>
    </row>
    <row r="80" spans="2:13" ht="15.75" thickBot="1" x14ac:dyDescent="0.3">
      <c r="B80" s="209" t="s">
        <v>161</v>
      </c>
      <c r="C80" s="291">
        <f>K60</f>
        <v>20735</v>
      </c>
      <c r="D80" s="194">
        <f>K60/L60</f>
        <v>3.6299118037344237E-2</v>
      </c>
      <c r="E80" s="176"/>
      <c r="F80" s="176"/>
      <c r="G80" s="176"/>
      <c r="I80" s="129"/>
      <c r="J80" s="129"/>
      <c r="K80" s="176"/>
      <c r="M80" s="11"/>
    </row>
    <row r="81" spans="2:13" ht="15.75" thickBot="1" x14ac:dyDescent="0.3">
      <c r="B81" s="210" t="s">
        <v>41</v>
      </c>
      <c r="C81" s="211">
        <f>C74+C78+C68+C80</f>
        <v>571226</v>
      </c>
      <c r="D81" s="212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30" priority="11">
      <formula>ROW()=EVEN(ROW())</formula>
    </cfRule>
  </conditionalFormatting>
  <conditionalFormatting sqref="L49:L59">
    <cfRule type="expression" dxfId="129" priority="3">
      <formula>ROW()=EVEN(ROW())</formula>
    </cfRule>
  </conditionalFormatting>
  <conditionalFormatting sqref="L5:L10">
    <cfRule type="expression" dxfId="128" priority="5">
      <formula>ROW()=EVEN(ROW())</formula>
    </cfRule>
  </conditionalFormatting>
  <conditionalFormatting sqref="A6:K10">
    <cfRule type="expression" dxfId="127" priority="2">
      <formula>ROW()=EVEN(ROW())</formula>
    </cfRule>
  </conditionalFormatting>
  <printOptions horizontalCentered="1"/>
  <pageMargins left="0" right="0" top="0.98" bottom="0.6" header="0.3" footer="0.3"/>
  <pageSetup scale="65" firstPageNumber="10" fitToHeight="2" orientation="landscape" useFirstPageNumber="1" r:id="rId1"/>
  <headerFooter>
    <oddHeader>&amp;C&amp;"Arial,Bold"&amp;16Expenditures by Expenditure Code and Revenue Source
2017
ASOTIN</oddHeader>
  </headerFooter>
  <rowBreaks count="1" manualBreakCount="1">
    <brk id="4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topLeftCell="A37" zoomScaleNormal="100" workbookViewId="0">
      <selection activeCell="E45" sqref="E45"/>
    </sheetView>
  </sheetViews>
  <sheetFormatPr defaultColWidth="3.7109375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3.7109375" style="11"/>
  </cols>
  <sheetData>
    <row r="1" spans="1:13" x14ac:dyDescent="0.25">
      <c r="A1" s="377" t="s">
        <v>151</v>
      </c>
      <c r="B1" s="378"/>
      <c r="C1" s="379">
        <v>283830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85.19</v>
      </c>
      <c r="D2" s="386"/>
      <c r="G2" s="382"/>
      <c r="H2" s="380"/>
      <c r="I2" s="380"/>
      <c r="J2" s="531" t="s">
        <v>143</v>
      </c>
      <c r="K2" s="531"/>
      <c r="L2" s="387" t="s">
        <v>138</v>
      </c>
    </row>
    <row r="3" spans="1:13" ht="16.5" customHeight="1" thickBot="1" x14ac:dyDescent="0.3">
      <c r="A3" s="388"/>
      <c r="B3" s="389"/>
      <c r="C3" s="529" t="s">
        <v>69</v>
      </c>
      <c r="D3" s="530"/>
      <c r="E3" s="528" t="s">
        <v>67</v>
      </c>
      <c r="F3" s="528"/>
      <c r="G3" s="528"/>
      <c r="H3" s="528"/>
      <c r="I3" s="529" t="s">
        <v>68</v>
      </c>
      <c r="J3" s="530"/>
      <c r="K3" s="390" t="s">
        <v>70</v>
      </c>
      <c r="L3" s="297"/>
      <c r="M3" s="11"/>
    </row>
    <row r="4" spans="1:13" ht="44.25" customHeight="1" thickBot="1" x14ac:dyDescent="0.3">
      <c r="A4" s="391" t="s">
        <v>65</v>
      </c>
      <c r="B4" s="392" t="s">
        <v>64</v>
      </c>
      <c r="C4" s="393" t="s">
        <v>62</v>
      </c>
      <c r="D4" s="394" t="s">
        <v>6</v>
      </c>
      <c r="E4" s="395" t="s">
        <v>1</v>
      </c>
      <c r="F4" s="396" t="s">
        <v>157</v>
      </c>
      <c r="G4" s="397" t="s">
        <v>2</v>
      </c>
      <c r="H4" s="394" t="s">
        <v>3</v>
      </c>
      <c r="I4" s="395" t="s">
        <v>4</v>
      </c>
      <c r="J4" s="394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368">
        <v>562.1</v>
      </c>
      <c r="B5" s="297" t="s">
        <v>9</v>
      </c>
      <c r="C5" s="400">
        <v>209550</v>
      </c>
      <c r="D5" s="219"/>
      <c r="E5" s="354"/>
      <c r="F5" s="371"/>
      <c r="G5" s="372"/>
      <c r="H5" s="352"/>
      <c r="I5" s="218"/>
      <c r="J5" s="219"/>
      <c r="K5" s="401"/>
      <c r="L5" s="223">
        <f>SUM(C5:K5)</f>
        <v>209550</v>
      </c>
      <c r="M5" s="11"/>
    </row>
    <row r="6" spans="1:13" ht="15" customHeight="1" x14ac:dyDescent="0.25">
      <c r="A6" s="214">
        <v>562.11</v>
      </c>
      <c r="B6" s="309" t="s">
        <v>145</v>
      </c>
      <c r="C6" s="298"/>
      <c r="D6" s="299"/>
      <c r="E6" s="310"/>
      <c r="F6" s="299">
        <v>14711</v>
      </c>
      <c r="G6" s="311"/>
      <c r="H6" s="312"/>
      <c r="I6" s="304"/>
      <c r="J6" s="299"/>
      <c r="K6" s="313"/>
      <c r="L6" s="223">
        <f t="shared" ref="L6:L10" si="0">SUM(C6:K6)</f>
        <v>14711</v>
      </c>
      <c r="M6" s="11"/>
    </row>
    <row r="7" spans="1:13" ht="15" customHeight="1" x14ac:dyDescent="0.25">
      <c r="A7" s="214">
        <v>562.12</v>
      </c>
      <c r="B7" s="309" t="s">
        <v>146</v>
      </c>
      <c r="C7" s="298"/>
      <c r="D7" s="299"/>
      <c r="E7" s="310"/>
      <c r="F7" s="299"/>
      <c r="G7" s="311"/>
      <c r="H7" s="312"/>
      <c r="I7" s="304"/>
      <c r="J7" s="299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09" t="s">
        <v>147</v>
      </c>
      <c r="C8" s="298"/>
      <c r="D8" s="299"/>
      <c r="E8" s="310"/>
      <c r="F8" s="299"/>
      <c r="G8" s="311"/>
      <c r="H8" s="312"/>
      <c r="I8" s="304"/>
      <c r="J8" s="299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09" t="s">
        <v>148</v>
      </c>
      <c r="C9" s="298">
        <v>186640</v>
      </c>
      <c r="D9" s="299"/>
      <c r="E9" s="310"/>
      <c r="F9" s="299"/>
      <c r="G9" s="311"/>
      <c r="H9" s="312"/>
      <c r="I9" s="304"/>
      <c r="J9" s="299"/>
      <c r="K9" s="313"/>
      <c r="L9" s="223">
        <f t="shared" si="0"/>
        <v>186640</v>
      </c>
      <c r="M9" s="11"/>
    </row>
    <row r="10" spans="1:13" ht="15" customHeight="1" x14ac:dyDescent="0.25">
      <c r="A10" s="214">
        <v>562.15</v>
      </c>
      <c r="B10" s="309" t="s">
        <v>149</v>
      </c>
      <c r="C10" s="298">
        <v>150158</v>
      </c>
      <c r="D10" s="299"/>
      <c r="E10" s="310"/>
      <c r="F10" s="299"/>
      <c r="G10" s="311"/>
      <c r="H10" s="312"/>
      <c r="I10" s="304"/>
      <c r="J10" s="299"/>
      <c r="K10" s="313"/>
      <c r="L10" s="223">
        <f t="shared" si="0"/>
        <v>150158</v>
      </c>
      <c r="M10" s="11"/>
    </row>
    <row r="11" spans="1:13" ht="15" customHeight="1" x14ac:dyDescent="0.25">
      <c r="A11" s="214">
        <v>562.22</v>
      </c>
      <c r="B11" s="309" t="s">
        <v>51</v>
      </c>
      <c r="C11" s="400">
        <v>282175</v>
      </c>
      <c r="D11" s="219"/>
      <c r="E11" s="221"/>
      <c r="F11" s="219"/>
      <c r="G11" s="220">
        <v>253899</v>
      </c>
      <c r="H11" s="217"/>
      <c r="I11" s="218">
        <f>145051+161104</f>
        <v>306155</v>
      </c>
      <c r="J11" s="219">
        <v>652758</v>
      </c>
      <c r="K11" s="222"/>
      <c r="L11" s="223">
        <f t="shared" ref="L11:L47" si="1">SUM(C11:K11)</f>
        <v>1494987</v>
      </c>
      <c r="M11" s="11"/>
    </row>
    <row r="12" spans="1:13" ht="15" customHeight="1" x14ac:dyDescent="0.25">
      <c r="A12" s="214">
        <v>562.24</v>
      </c>
      <c r="B12" s="309" t="s">
        <v>10</v>
      </c>
      <c r="C12" s="400"/>
      <c r="D12" s="219">
        <v>57842</v>
      </c>
      <c r="E12" s="221"/>
      <c r="F12" s="219"/>
      <c r="G12" s="220"/>
      <c r="H12" s="217"/>
      <c r="I12" s="402"/>
      <c r="J12" s="219">
        <v>43000</v>
      </c>
      <c r="K12" s="222"/>
      <c r="L12" s="223">
        <f t="shared" si="1"/>
        <v>100842</v>
      </c>
      <c r="M12" s="11"/>
    </row>
    <row r="13" spans="1:13" ht="15" customHeight="1" x14ac:dyDescent="0.25">
      <c r="A13" s="214">
        <v>562.25</v>
      </c>
      <c r="B13" s="309" t="s">
        <v>52</v>
      </c>
      <c r="C13" s="400"/>
      <c r="D13" s="219"/>
      <c r="E13" s="221">
        <v>26177</v>
      </c>
      <c r="F13" s="219"/>
      <c r="G13" s="220">
        <v>23318</v>
      </c>
      <c r="H13" s="217"/>
      <c r="I13" s="218">
        <v>124867</v>
      </c>
      <c r="J13" s="219"/>
      <c r="K13" s="222"/>
      <c r="L13" s="223">
        <f t="shared" si="1"/>
        <v>174362</v>
      </c>
      <c r="M13" s="11"/>
    </row>
    <row r="14" spans="1:13" ht="15" customHeight="1" x14ac:dyDescent="0.25">
      <c r="A14" s="214">
        <v>562.26</v>
      </c>
      <c r="B14" s="309" t="s">
        <v>43</v>
      </c>
      <c r="C14" s="400"/>
      <c r="D14" s="219"/>
      <c r="E14" s="221"/>
      <c r="F14" s="219"/>
      <c r="G14" s="220"/>
      <c r="H14" s="217"/>
      <c r="I14" s="218"/>
      <c r="J14" s="219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09" t="s">
        <v>44</v>
      </c>
      <c r="C15" s="400"/>
      <c r="D15" s="219"/>
      <c r="E15" s="221"/>
      <c r="F15" s="219"/>
      <c r="G15" s="220"/>
      <c r="H15" s="217"/>
      <c r="I15" s="218"/>
      <c r="J15" s="219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09" t="s">
        <v>53</v>
      </c>
      <c r="C16" s="400"/>
      <c r="D16" s="219"/>
      <c r="E16" s="221"/>
      <c r="F16" s="219"/>
      <c r="G16" s="220">
        <v>6060</v>
      </c>
      <c r="H16" s="217"/>
      <c r="I16" s="218">
        <v>1194974</v>
      </c>
      <c r="J16" s="219"/>
      <c r="K16" s="222"/>
      <c r="L16" s="223">
        <f t="shared" si="1"/>
        <v>1201034</v>
      </c>
      <c r="M16" s="11"/>
    </row>
    <row r="17" spans="1:13" ht="15" customHeight="1" x14ac:dyDescent="0.25">
      <c r="A17" s="214">
        <v>562.29</v>
      </c>
      <c r="B17" s="309" t="s">
        <v>45</v>
      </c>
      <c r="C17" s="400"/>
      <c r="D17" s="219"/>
      <c r="E17" s="221"/>
      <c r="F17" s="219"/>
      <c r="G17" s="220"/>
      <c r="H17" s="217"/>
      <c r="I17" s="218"/>
      <c r="J17" s="219">
        <v>145215</v>
      </c>
      <c r="K17" s="222"/>
      <c r="L17" s="223">
        <f t="shared" si="1"/>
        <v>145215</v>
      </c>
      <c r="M17" s="11"/>
    </row>
    <row r="18" spans="1:13" ht="15" customHeight="1" x14ac:dyDescent="0.25">
      <c r="A18" s="214">
        <v>562.32000000000005</v>
      </c>
      <c r="B18" s="309" t="s">
        <v>11</v>
      </c>
      <c r="C18" s="400"/>
      <c r="D18" s="219">
        <v>649329</v>
      </c>
      <c r="E18" s="221"/>
      <c r="F18" s="219"/>
      <c r="G18" s="220">
        <v>381131</v>
      </c>
      <c r="H18" s="217"/>
      <c r="I18" s="218">
        <f>57938+15400+11589</f>
        <v>84927</v>
      </c>
      <c r="J18" s="219"/>
      <c r="K18" s="222"/>
      <c r="L18" s="223">
        <f t="shared" si="1"/>
        <v>1115387</v>
      </c>
      <c r="M18" s="11"/>
    </row>
    <row r="19" spans="1:13" ht="15" customHeight="1" x14ac:dyDescent="0.25">
      <c r="A19" s="214">
        <v>562.33000000000004</v>
      </c>
      <c r="B19" s="309" t="s">
        <v>54</v>
      </c>
      <c r="C19" s="400"/>
      <c r="D19" s="219"/>
      <c r="E19" s="221"/>
      <c r="F19" s="219">
        <v>15000</v>
      </c>
      <c r="G19" s="220">
        <v>18986</v>
      </c>
      <c r="H19" s="217"/>
      <c r="I19" s="218"/>
      <c r="J19" s="219"/>
      <c r="K19" s="222"/>
      <c r="L19" s="223">
        <f t="shared" si="1"/>
        <v>33986</v>
      </c>
      <c r="M19" s="11"/>
    </row>
    <row r="20" spans="1:13" ht="15" customHeight="1" x14ac:dyDescent="0.25">
      <c r="A20" s="214">
        <v>562.34</v>
      </c>
      <c r="B20" s="309" t="s">
        <v>12</v>
      </c>
      <c r="C20" s="400">
        <v>48177</v>
      </c>
      <c r="D20" s="219">
        <v>42496</v>
      </c>
      <c r="E20" s="221"/>
      <c r="F20" s="219"/>
      <c r="G20" s="220">
        <v>44348</v>
      </c>
      <c r="H20" s="217"/>
      <c r="I20" s="218"/>
      <c r="J20" s="219"/>
      <c r="K20" s="222"/>
      <c r="L20" s="223">
        <f t="shared" si="1"/>
        <v>135021</v>
      </c>
      <c r="M20" s="11"/>
    </row>
    <row r="21" spans="1:13" ht="15" customHeight="1" x14ac:dyDescent="0.25">
      <c r="A21" s="214">
        <v>562.35</v>
      </c>
      <c r="B21" s="309" t="s">
        <v>13</v>
      </c>
      <c r="C21" s="400"/>
      <c r="D21" s="219">
        <v>4459</v>
      </c>
      <c r="E21" s="221">
        <v>378385</v>
      </c>
      <c r="F21" s="219"/>
      <c r="G21" s="220">
        <v>19823</v>
      </c>
      <c r="H21" s="217"/>
      <c r="I21" s="218"/>
      <c r="J21" s="219"/>
      <c r="K21" s="222"/>
      <c r="L21" s="223">
        <f t="shared" si="1"/>
        <v>402667</v>
      </c>
      <c r="M21" s="11"/>
    </row>
    <row r="22" spans="1:13" ht="15" customHeight="1" x14ac:dyDescent="0.25">
      <c r="A22" s="214">
        <v>562.39</v>
      </c>
      <c r="B22" s="309" t="s">
        <v>14</v>
      </c>
      <c r="C22" s="400"/>
      <c r="D22" s="219"/>
      <c r="E22" s="221"/>
      <c r="F22" s="219">
        <v>100000</v>
      </c>
      <c r="G22" s="220">
        <v>111357</v>
      </c>
      <c r="H22" s="217"/>
      <c r="I22" s="218"/>
      <c r="J22" s="219"/>
      <c r="K22" s="222"/>
      <c r="L22" s="223">
        <f t="shared" si="1"/>
        <v>211357</v>
      </c>
      <c r="M22" s="11"/>
    </row>
    <row r="23" spans="1:13" ht="15" customHeight="1" x14ac:dyDescent="0.25">
      <c r="A23" s="214">
        <v>562.41</v>
      </c>
      <c r="B23" s="309" t="s">
        <v>15</v>
      </c>
      <c r="C23" s="400"/>
      <c r="D23" s="219"/>
      <c r="E23" s="221"/>
      <c r="F23" s="219"/>
      <c r="G23" s="220"/>
      <c r="H23" s="217"/>
      <c r="I23" s="218"/>
      <c r="J23" s="219"/>
      <c r="K23" s="222"/>
      <c r="L23" s="223">
        <f t="shared" si="1"/>
        <v>0</v>
      </c>
      <c r="M23" s="11"/>
    </row>
    <row r="24" spans="1:13" ht="15" customHeight="1" x14ac:dyDescent="0.25">
      <c r="A24" s="214">
        <v>562.41999999999996</v>
      </c>
      <c r="B24" s="309" t="s">
        <v>16</v>
      </c>
      <c r="C24" s="400"/>
      <c r="D24" s="219"/>
      <c r="E24" s="221"/>
      <c r="F24" s="219"/>
      <c r="G24" s="220"/>
      <c r="H24" s="217"/>
      <c r="I24" s="218"/>
      <c r="J24" s="219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09" t="s">
        <v>55</v>
      </c>
      <c r="C25" s="400"/>
      <c r="D25" s="219"/>
      <c r="E25" s="221"/>
      <c r="F25" s="219"/>
      <c r="G25" s="220"/>
      <c r="H25" s="217"/>
      <c r="I25" s="218"/>
      <c r="J25" s="219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09" t="s">
        <v>56</v>
      </c>
      <c r="C26" s="400"/>
      <c r="D26" s="219"/>
      <c r="E26" s="221"/>
      <c r="F26" s="219"/>
      <c r="G26" s="220"/>
      <c r="H26" s="217">
        <v>11515</v>
      </c>
      <c r="I26" s="218">
        <f>21325+4093</f>
        <v>25418</v>
      </c>
      <c r="J26" s="219"/>
      <c r="K26" s="222"/>
      <c r="L26" s="223">
        <f t="shared" si="1"/>
        <v>36933</v>
      </c>
      <c r="M26" s="11"/>
    </row>
    <row r="27" spans="1:13" ht="15" customHeight="1" x14ac:dyDescent="0.25">
      <c r="A27" s="214">
        <v>562.45000000000005</v>
      </c>
      <c r="B27" s="309" t="s">
        <v>57</v>
      </c>
      <c r="C27" s="400"/>
      <c r="D27" s="219"/>
      <c r="E27" s="221"/>
      <c r="F27" s="219"/>
      <c r="G27" s="220">
        <v>61474</v>
      </c>
      <c r="H27" s="217"/>
      <c r="I27" s="218"/>
      <c r="J27" s="219"/>
      <c r="K27" s="222"/>
      <c r="L27" s="223">
        <f t="shared" si="1"/>
        <v>61474</v>
      </c>
      <c r="M27" s="11"/>
    </row>
    <row r="28" spans="1:13" ht="15" customHeight="1" x14ac:dyDescent="0.25">
      <c r="A28" s="214">
        <v>562.49</v>
      </c>
      <c r="B28" s="309" t="s">
        <v>46</v>
      </c>
      <c r="C28" s="400"/>
      <c r="D28" s="219"/>
      <c r="E28" s="221"/>
      <c r="F28" s="219"/>
      <c r="G28" s="220">
        <v>183722</v>
      </c>
      <c r="H28" s="217"/>
      <c r="I28" s="218"/>
      <c r="J28" s="219">
        <v>208448</v>
      </c>
      <c r="K28" s="222"/>
      <c r="L28" s="223">
        <f t="shared" si="1"/>
        <v>392170</v>
      </c>
      <c r="M28" s="11"/>
    </row>
    <row r="29" spans="1:13" ht="15" customHeight="1" x14ac:dyDescent="0.25">
      <c r="A29" s="214">
        <v>562.52</v>
      </c>
      <c r="B29" s="309" t="s">
        <v>17</v>
      </c>
      <c r="C29" s="400"/>
      <c r="D29" s="219">
        <f>20961+12200</f>
        <v>33161</v>
      </c>
      <c r="E29" s="221">
        <v>20000</v>
      </c>
      <c r="F29" s="219"/>
      <c r="G29" s="220">
        <v>24012</v>
      </c>
      <c r="H29" s="217"/>
      <c r="I29" s="218"/>
      <c r="J29" s="219"/>
      <c r="K29" s="222"/>
      <c r="L29" s="223">
        <f t="shared" si="1"/>
        <v>77173</v>
      </c>
      <c r="M29" s="11"/>
    </row>
    <row r="30" spans="1:13" ht="15" customHeight="1" x14ac:dyDescent="0.25">
      <c r="A30" s="214">
        <v>562.53</v>
      </c>
      <c r="B30" s="309" t="s">
        <v>58</v>
      </c>
      <c r="C30" s="400">
        <v>0</v>
      </c>
      <c r="D30" s="219">
        <v>31500</v>
      </c>
      <c r="E30" s="221"/>
      <c r="F30" s="219"/>
      <c r="G30" s="220">
        <v>3143</v>
      </c>
      <c r="H30" s="217">
        <v>38661</v>
      </c>
      <c r="I30" s="218"/>
      <c r="J30" s="219"/>
      <c r="K30" s="222"/>
      <c r="L30" s="223">
        <f t="shared" si="1"/>
        <v>73304</v>
      </c>
      <c r="M30" s="11"/>
    </row>
    <row r="31" spans="1:13" ht="15" customHeight="1" x14ac:dyDescent="0.25">
      <c r="A31" s="214">
        <v>562.54</v>
      </c>
      <c r="B31" s="309" t="s">
        <v>59</v>
      </c>
      <c r="C31" s="400"/>
      <c r="D31" s="219">
        <v>542585</v>
      </c>
      <c r="E31" s="221"/>
      <c r="F31" s="219"/>
      <c r="G31" s="220">
        <v>99360</v>
      </c>
      <c r="H31" s="217"/>
      <c r="I31" s="218"/>
      <c r="J31" s="219"/>
      <c r="K31" s="222"/>
      <c r="L31" s="223">
        <f t="shared" si="1"/>
        <v>641945</v>
      </c>
      <c r="M31" s="11"/>
    </row>
    <row r="32" spans="1:13" ht="15" customHeight="1" x14ac:dyDescent="0.25">
      <c r="A32" s="214">
        <v>562.54999999999995</v>
      </c>
      <c r="B32" s="309" t="s">
        <v>18</v>
      </c>
      <c r="C32" s="400"/>
      <c r="D32" s="219"/>
      <c r="E32" s="221"/>
      <c r="F32" s="219"/>
      <c r="G32" s="220">
        <v>38037</v>
      </c>
      <c r="H32" s="217"/>
      <c r="I32" s="218"/>
      <c r="J32" s="219"/>
      <c r="K32" s="222"/>
      <c r="L32" s="223">
        <f t="shared" si="1"/>
        <v>38037</v>
      </c>
      <c r="M32" s="11"/>
    </row>
    <row r="33" spans="1:13" ht="15" customHeight="1" x14ac:dyDescent="0.25">
      <c r="A33" s="214">
        <v>562.55999999999995</v>
      </c>
      <c r="B33" s="309" t="s">
        <v>19</v>
      </c>
      <c r="C33" s="400"/>
      <c r="D33" s="219">
        <f>95492+658563+22550</f>
        <v>776605</v>
      </c>
      <c r="E33" s="221"/>
      <c r="F33" s="219"/>
      <c r="G33" s="220">
        <v>138353</v>
      </c>
      <c r="H33" s="217"/>
      <c r="I33" s="218"/>
      <c r="J33" s="219"/>
      <c r="K33" s="222"/>
      <c r="L33" s="223">
        <f t="shared" si="1"/>
        <v>914958</v>
      </c>
      <c r="M33" s="11"/>
    </row>
    <row r="34" spans="1:13" ht="15" customHeight="1" x14ac:dyDescent="0.25">
      <c r="A34" s="214">
        <v>562.57000000000005</v>
      </c>
      <c r="B34" s="309" t="s">
        <v>60</v>
      </c>
      <c r="C34" s="400"/>
      <c r="D34" s="219"/>
      <c r="E34" s="221"/>
      <c r="F34" s="219"/>
      <c r="G34" s="220">
        <v>447</v>
      </c>
      <c r="H34" s="217"/>
      <c r="I34" s="218"/>
      <c r="J34" s="219"/>
      <c r="K34" s="222"/>
      <c r="L34" s="223">
        <f t="shared" si="1"/>
        <v>447</v>
      </c>
      <c r="M34" s="11"/>
    </row>
    <row r="35" spans="1:13" ht="15" customHeight="1" x14ac:dyDescent="0.25">
      <c r="A35" s="214">
        <v>562.58000000000004</v>
      </c>
      <c r="B35" s="309" t="s">
        <v>47</v>
      </c>
      <c r="C35" s="400"/>
      <c r="D35" s="219">
        <v>52822</v>
      </c>
      <c r="E35" s="221"/>
      <c r="F35" s="219"/>
      <c r="G35" s="220"/>
      <c r="H35" s="217"/>
      <c r="I35" s="218"/>
      <c r="J35" s="219"/>
      <c r="K35" s="222"/>
      <c r="L35" s="223">
        <f t="shared" si="1"/>
        <v>52822</v>
      </c>
      <c r="M35" s="11"/>
    </row>
    <row r="36" spans="1:13" ht="15" customHeight="1" x14ac:dyDescent="0.25">
      <c r="A36" s="214">
        <v>562.59</v>
      </c>
      <c r="B36" s="309" t="s">
        <v>48</v>
      </c>
      <c r="C36" s="400"/>
      <c r="D36" s="219"/>
      <c r="E36" s="221"/>
      <c r="F36" s="219"/>
      <c r="G36" s="220">
        <v>610</v>
      </c>
      <c r="H36" s="217"/>
      <c r="I36" s="218"/>
      <c r="J36" s="219"/>
      <c r="K36" s="222"/>
      <c r="L36" s="223">
        <f t="shared" si="1"/>
        <v>610</v>
      </c>
      <c r="M36" s="11"/>
    </row>
    <row r="37" spans="1:13" ht="15" customHeight="1" x14ac:dyDescent="0.25">
      <c r="A37" s="214">
        <v>562.6</v>
      </c>
      <c r="B37" s="309" t="s">
        <v>20</v>
      </c>
      <c r="C37" s="400"/>
      <c r="D37" s="219"/>
      <c r="E37" s="221"/>
      <c r="F37" s="219"/>
      <c r="G37" s="220"/>
      <c r="H37" s="217"/>
      <c r="I37" s="218"/>
      <c r="J37" s="219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09" t="s">
        <v>21</v>
      </c>
      <c r="C38" s="400"/>
      <c r="D38" s="219">
        <v>422413</v>
      </c>
      <c r="E38" s="221"/>
      <c r="F38" s="219"/>
      <c r="G38" s="220"/>
      <c r="H38" s="217"/>
      <c r="I38" s="218"/>
      <c r="J38" s="219"/>
      <c r="K38" s="222"/>
      <c r="L38" s="223">
        <f t="shared" si="1"/>
        <v>422413</v>
      </c>
      <c r="M38" s="11"/>
    </row>
    <row r="39" spans="1:13" ht="15" customHeight="1" x14ac:dyDescent="0.25">
      <c r="A39" s="214">
        <v>562.72</v>
      </c>
      <c r="B39" s="309" t="s">
        <v>22</v>
      </c>
      <c r="C39" s="400"/>
      <c r="D39" s="219">
        <v>288192</v>
      </c>
      <c r="E39" s="221"/>
      <c r="F39" s="219"/>
      <c r="G39" s="220">
        <v>75788</v>
      </c>
      <c r="H39" s="217"/>
      <c r="I39" s="218"/>
      <c r="J39" s="219"/>
      <c r="K39" s="222"/>
      <c r="L39" s="223">
        <f t="shared" si="1"/>
        <v>363980</v>
      </c>
      <c r="M39" s="11"/>
    </row>
    <row r="40" spans="1:13" ht="15" customHeight="1" x14ac:dyDescent="0.25">
      <c r="A40" s="214">
        <v>562.73</v>
      </c>
      <c r="B40" s="309" t="s">
        <v>23</v>
      </c>
      <c r="C40" s="400"/>
      <c r="D40" s="219"/>
      <c r="E40" s="221"/>
      <c r="F40" s="219"/>
      <c r="G40" s="220"/>
      <c r="H40" s="217"/>
      <c r="I40" s="218"/>
      <c r="J40" s="219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09" t="s">
        <v>49</v>
      </c>
      <c r="C41" s="400"/>
      <c r="D41" s="219"/>
      <c r="E41" s="221"/>
      <c r="F41" s="219"/>
      <c r="G41" s="220"/>
      <c r="H41" s="217"/>
      <c r="I41" s="218"/>
      <c r="J41" s="219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09" t="s">
        <v>24</v>
      </c>
      <c r="C42" s="400"/>
      <c r="D42" s="219"/>
      <c r="E42" s="221"/>
      <c r="F42" s="219"/>
      <c r="G42" s="220"/>
      <c r="H42" s="217"/>
      <c r="I42" s="218"/>
      <c r="J42" s="219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09" t="s">
        <v>25</v>
      </c>
      <c r="C43" s="400"/>
      <c r="D43" s="219"/>
      <c r="E43" s="221"/>
      <c r="F43" s="219"/>
      <c r="G43" s="220"/>
      <c r="H43" s="217"/>
      <c r="I43" s="218"/>
      <c r="J43" s="219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09" t="s">
        <v>26</v>
      </c>
      <c r="C44" s="400">
        <v>27187</v>
      </c>
      <c r="D44" s="219"/>
      <c r="E44" s="221"/>
      <c r="F44" s="219">
        <v>28199</v>
      </c>
      <c r="G44" s="220">
        <v>128705</v>
      </c>
      <c r="H44" s="217"/>
      <c r="I44" s="218"/>
      <c r="J44" s="219"/>
      <c r="K44" s="222"/>
      <c r="L44" s="223">
        <f t="shared" si="1"/>
        <v>184091</v>
      </c>
      <c r="M44" s="11"/>
    </row>
    <row r="45" spans="1:13" ht="15" customHeight="1" x14ac:dyDescent="0.25">
      <c r="A45" s="214">
        <v>562.88</v>
      </c>
      <c r="B45" s="309" t="s">
        <v>50</v>
      </c>
      <c r="C45" s="400"/>
      <c r="D45" s="219"/>
      <c r="E45" s="221"/>
      <c r="F45" s="219"/>
      <c r="G45" s="220">
        <v>1764</v>
      </c>
      <c r="H45" s="217"/>
      <c r="I45" s="218">
        <f>288090+125229</f>
        <v>413319</v>
      </c>
      <c r="J45" s="219"/>
      <c r="K45" s="222"/>
      <c r="L45" s="223">
        <f t="shared" si="1"/>
        <v>415083</v>
      </c>
      <c r="M45" s="11"/>
    </row>
    <row r="46" spans="1:13" ht="15" customHeight="1" x14ac:dyDescent="0.25">
      <c r="A46" s="214">
        <v>562.9</v>
      </c>
      <c r="B46" s="309" t="s">
        <v>27</v>
      </c>
      <c r="C46" s="400"/>
      <c r="D46" s="219"/>
      <c r="E46" s="221"/>
      <c r="F46" s="219"/>
      <c r="G46" s="220"/>
      <c r="H46" s="217"/>
      <c r="I46" s="218"/>
      <c r="J46" s="219"/>
      <c r="K46" s="222"/>
      <c r="L46" s="223">
        <f t="shared" si="1"/>
        <v>0</v>
      </c>
      <c r="M46" s="11"/>
    </row>
    <row r="47" spans="1:13" ht="15" customHeight="1" thickBot="1" x14ac:dyDescent="0.3">
      <c r="A47" s="214">
        <v>562.99</v>
      </c>
      <c r="B47" s="309" t="s">
        <v>28</v>
      </c>
      <c r="C47" s="400"/>
      <c r="D47" s="219"/>
      <c r="E47" s="221"/>
      <c r="F47" s="219"/>
      <c r="G47" s="220"/>
      <c r="H47" s="217"/>
      <c r="I47" s="218"/>
      <c r="J47" s="219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16" t="s">
        <v>29</v>
      </c>
      <c r="C48" s="403">
        <f t="shared" ref="C48:J48" si="2">SUM(C5:C47)</f>
        <v>903887</v>
      </c>
      <c r="D48" s="364">
        <f t="shared" si="2"/>
        <v>2901404</v>
      </c>
      <c r="E48" s="366">
        <f t="shared" si="2"/>
        <v>424562</v>
      </c>
      <c r="F48" s="364">
        <f t="shared" si="2"/>
        <v>157910</v>
      </c>
      <c r="G48" s="365">
        <f t="shared" si="2"/>
        <v>1614337</v>
      </c>
      <c r="H48" s="362">
        <f t="shared" si="2"/>
        <v>50176</v>
      </c>
      <c r="I48" s="363">
        <f t="shared" si="2"/>
        <v>2149660</v>
      </c>
      <c r="J48" s="364">
        <f t="shared" si="2"/>
        <v>1049421</v>
      </c>
      <c r="K48" s="404" t="s">
        <v>154</v>
      </c>
      <c r="L48" s="405">
        <f>SUM(C48:K48)</f>
        <v>9251357</v>
      </c>
      <c r="M48" s="11"/>
    </row>
    <row r="49" spans="1:13" ht="15" customHeight="1" x14ac:dyDescent="0.25">
      <c r="A49" s="368">
        <v>523</v>
      </c>
      <c r="B49" s="297" t="s">
        <v>30</v>
      </c>
      <c r="C49" s="406">
        <v>0</v>
      </c>
      <c r="D49" s="371">
        <v>0</v>
      </c>
      <c r="E49" s="354"/>
      <c r="F49" s="371"/>
      <c r="G49" s="372"/>
      <c r="H49" s="352"/>
      <c r="I49" s="370"/>
      <c r="J49" s="371"/>
      <c r="K49" s="401"/>
      <c r="L49" s="407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.75" customHeight="1" thickBot="1" x14ac:dyDescent="0.3">
      <c r="A60" s="334"/>
      <c r="B60" s="335" t="s">
        <v>41</v>
      </c>
      <c r="C60" s="408">
        <f>SUM(C48:C59)</f>
        <v>903887</v>
      </c>
      <c r="D60" s="364">
        <f>SUM(D48:D59)</f>
        <v>2901404</v>
      </c>
      <c r="E60" s="366">
        <f t="shared" ref="E60:J60" si="4">SUM(E48:E59)</f>
        <v>424562</v>
      </c>
      <c r="F60" s="364">
        <f>SUM(F48:F59)</f>
        <v>157910</v>
      </c>
      <c r="G60" s="365">
        <f t="shared" si="4"/>
        <v>1614337</v>
      </c>
      <c r="H60" s="362">
        <f t="shared" si="4"/>
        <v>50176</v>
      </c>
      <c r="I60" s="363">
        <f t="shared" si="4"/>
        <v>2149660</v>
      </c>
      <c r="J60" s="364">
        <f t="shared" si="4"/>
        <v>1049421</v>
      </c>
      <c r="K60" s="404" t="s">
        <v>154</v>
      </c>
      <c r="L60" s="409">
        <f>SUM(C60:K60)</f>
        <v>9251357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903887</v>
      </c>
      <c r="D66" s="422">
        <f>C60/L60</f>
        <v>9.7703180192916558E-2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2901404</v>
      </c>
      <c r="D67" s="425">
        <f>D60/L60</f>
        <v>0.31361928850005466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3805291</v>
      </c>
      <c r="D68" s="428">
        <f>SUM(D66:D67)</f>
        <v>0.41132246869297123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424562</v>
      </c>
      <c r="D70" s="434">
        <f>E60/$L60</f>
        <v>4.5891862134387423E-2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157910</v>
      </c>
      <c r="D71" s="434">
        <f>F60/L60</f>
        <v>1.7068847305319643E-2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1614337</v>
      </c>
      <c r="D72" s="434">
        <f>G60/$L60</f>
        <v>0.17449731969050594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50176</v>
      </c>
      <c r="D73" s="437">
        <f>H60/$L60</f>
        <v>5.4236367702597578E-3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2246985</v>
      </c>
      <c r="D74" s="428">
        <f>SUM(D70:D73)</f>
        <v>0.24288166590047278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2149660</v>
      </c>
      <c r="D76" s="422">
        <f>I60/L60</f>
        <v>0.23236158760277006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1049421</v>
      </c>
      <c r="D77" s="425">
        <f>J60/L60</f>
        <v>0.11343427780378597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3199081</v>
      </c>
      <c r="D78" s="428">
        <f>SUM(D76:D77)</f>
        <v>0.34579586540655605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44" t="str">
        <f>K60</f>
        <v>0</v>
      </c>
      <c r="D80" s="445" t="s">
        <v>155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9251357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3:J47 E12:H12 C12:D47 C48:J59 K12:K59 A5:K5 C11:K11 A11:B59 L11:L48">
    <cfRule type="expression" dxfId="126" priority="5">
      <formula>ROW()=EVEN(ROW())</formula>
    </cfRule>
  </conditionalFormatting>
  <conditionalFormatting sqref="L49:L59">
    <cfRule type="expression" dxfId="125" priority="3">
      <formula>ROW()=EVEN(ROW())</formula>
    </cfRule>
  </conditionalFormatting>
  <conditionalFormatting sqref="L5:L10">
    <cfRule type="expression" dxfId="124" priority="4">
      <formula>ROW()=EVEN(ROW())</formula>
    </cfRule>
  </conditionalFormatting>
  <conditionalFormatting sqref="A6:K10">
    <cfRule type="expression" dxfId="123" priority="2">
      <formula>ROW()=EVEN(ROW())</formula>
    </cfRule>
  </conditionalFormatting>
  <printOptions horizontalCentered="1"/>
  <pageMargins left="0" right="0" top="0.98" bottom="0.6" header="0.3" footer="0.3"/>
  <pageSetup scale="65" firstPageNumber="12" fitToHeight="2" orientation="landscape" useFirstPageNumber="1" r:id="rId1"/>
  <headerFooter>
    <oddHeader>&amp;C&amp;"Arial,Bold"&amp;16Expenditures by Expenditure Code and Revenue Source
2017
BENTON-FRANKLIN</oddHeader>
  </headerFooter>
  <rowBreaks count="1" manualBreakCount="1">
    <brk id="48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2"/>
  <sheetViews>
    <sheetView showZeros="0" view="pageLayout" zoomScaleNormal="100" workbookViewId="0">
      <selection activeCell="D2" sqref="D2"/>
    </sheetView>
  </sheetViews>
  <sheetFormatPr defaultColWidth="6" defaultRowHeight="15" x14ac:dyDescent="0.25"/>
  <cols>
    <col min="1" max="1" width="7.85546875" style="381" customWidth="1"/>
    <col min="2" max="2" width="35.42578125" style="381" customWidth="1"/>
    <col min="3" max="4" width="12.85546875" style="410" customWidth="1"/>
    <col min="5" max="7" width="12.85546875" style="381" customWidth="1"/>
    <col min="8" max="10" width="12.85546875" style="410" customWidth="1"/>
    <col min="11" max="12" width="12.85546875" style="381" customWidth="1"/>
    <col min="13" max="13" width="11.5703125" style="14" customWidth="1"/>
    <col min="14" max="16384" width="6" style="11"/>
  </cols>
  <sheetData>
    <row r="1" spans="1:13" x14ac:dyDescent="0.25">
      <c r="A1" s="377" t="s">
        <v>151</v>
      </c>
      <c r="B1" s="378"/>
      <c r="C1" s="379">
        <v>118250</v>
      </c>
      <c r="D1" s="380"/>
      <c r="G1" s="382"/>
      <c r="H1" s="380"/>
      <c r="I1" s="380"/>
      <c r="J1" s="380"/>
      <c r="K1" s="383"/>
      <c r="L1" s="383"/>
      <c r="M1" s="19"/>
    </row>
    <row r="2" spans="1:13" ht="15.75" thickBot="1" x14ac:dyDescent="0.3">
      <c r="A2" s="384" t="s">
        <v>7</v>
      </c>
      <c r="B2" s="378"/>
      <c r="C2" s="385">
        <v>40</v>
      </c>
      <c r="D2" s="386"/>
      <c r="G2" s="382"/>
      <c r="H2" s="380"/>
      <c r="I2" s="380"/>
      <c r="J2" s="532" t="s">
        <v>144</v>
      </c>
      <c r="K2" s="532"/>
      <c r="L2" s="449" t="s">
        <v>138</v>
      </c>
    </row>
    <row r="3" spans="1:13" ht="15.75" thickBot="1" x14ac:dyDescent="0.3">
      <c r="A3" s="388"/>
      <c r="B3" s="389"/>
      <c r="C3" s="528" t="s">
        <v>69</v>
      </c>
      <c r="D3" s="530"/>
      <c r="E3" s="529" t="s">
        <v>67</v>
      </c>
      <c r="F3" s="528"/>
      <c r="G3" s="528"/>
      <c r="H3" s="530"/>
      <c r="I3" s="529" t="s">
        <v>68</v>
      </c>
      <c r="J3" s="530"/>
      <c r="K3" s="450" t="s">
        <v>70</v>
      </c>
      <c r="L3" s="297"/>
      <c r="M3" s="11"/>
    </row>
    <row r="4" spans="1:13" ht="44.25" customHeight="1" thickBot="1" x14ac:dyDescent="0.3">
      <c r="A4" s="391" t="s">
        <v>65</v>
      </c>
      <c r="B4" s="392" t="s">
        <v>64</v>
      </c>
      <c r="C4" s="393" t="s">
        <v>62</v>
      </c>
      <c r="D4" s="394" t="s">
        <v>6</v>
      </c>
      <c r="E4" s="395" t="s">
        <v>1</v>
      </c>
      <c r="F4" s="397" t="s">
        <v>157</v>
      </c>
      <c r="G4" s="451" t="s">
        <v>2</v>
      </c>
      <c r="H4" s="394" t="s">
        <v>3</v>
      </c>
      <c r="I4" s="395" t="s">
        <v>4</v>
      </c>
      <c r="J4" s="394" t="s">
        <v>5</v>
      </c>
      <c r="K4" s="398" t="s">
        <v>8</v>
      </c>
      <c r="L4" s="399" t="s">
        <v>0</v>
      </c>
      <c r="M4" s="11"/>
    </row>
    <row r="5" spans="1:13" ht="15" customHeight="1" x14ac:dyDescent="0.25">
      <c r="A5" s="368">
        <v>562.1</v>
      </c>
      <c r="B5" s="297" t="s">
        <v>9</v>
      </c>
      <c r="C5" s="351">
        <v>199691</v>
      </c>
      <c r="D5" s="352">
        <f>35729+10182</f>
        <v>45911</v>
      </c>
      <c r="E5" s="354"/>
      <c r="F5" s="371"/>
      <c r="G5" s="372">
        <v>209222</v>
      </c>
      <c r="H5" s="352"/>
      <c r="I5" s="354"/>
      <c r="J5" s="352"/>
      <c r="K5" s="401"/>
      <c r="L5" s="223">
        <f>SUM(C5:K5)</f>
        <v>454824</v>
      </c>
      <c r="M5" s="11"/>
    </row>
    <row r="6" spans="1:13" ht="15" customHeight="1" x14ac:dyDescent="0.25">
      <c r="A6" s="214">
        <v>562.11</v>
      </c>
      <c r="B6" s="309" t="s">
        <v>145</v>
      </c>
      <c r="C6" s="357"/>
      <c r="D6" s="312"/>
      <c r="E6" s="310"/>
      <c r="F6" s="299"/>
      <c r="G6" s="311"/>
      <c r="H6" s="312"/>
      <c r="I6" s="310"/>
      <c r="J6" s="312"/>
      <c r="K6" s="313"/>
      <c r="L6" s="223">
        <f t="shared" ref="L6:L10" si="0">SUM(C6:K6)</f>
        <v>0</v>
      </c>
      <c r="M6" s="11"/>
    </row>
    <row r="7" spans="1:13" ht="15" customHeight="1" x14ac:dyDescent="0.25">
      <c r="A7" s="214">
        <v>562.12</v>
      </c>
      <c r="B7" s="309" t="s">
        <v>146</v>
      </c>
      <c r="C7" s="357"/>
      <c r="D7" s="312"/>
      <c r="E7" s="310"/>
      <c r="F7" s="299"/>
      <c r="G7" s="311"/>
      <c r="H7" s="312"/>
      <c r="I7" s="310"/>
      <c r="J7" s="312"/>
      <c r="K7" s="313"/>
      <c r="L7" s="223">
        <f t="shared" si="0"/>
        <v>0</v>
      </c>
      <c r="M7" s="11"/>
    </row>
    <row r="8" spans="1:13" ht="15" customHeight="1" x14ac:dyDescent="0.25">
      <c r="A8" s="214">
        <v>562.13</v>
      </c>
      <c r="B8" s="309" t="s">
        <v>147</v>
      </c>
      <c r="C8" s="357"/>
      <c r="D8" s="312"/>
      <c r="E8" s="310"/>
      <c r="F8" s="299"/>
      <c r="G8" s="311"/>
      <c r="H8" s="312"/>
      <c r="I8" s="310"/>
      <c r="J8" s="312"/>
      <c r="K8" s="313"/>
      <c r="L8" s="223">
        <f t="shared" si="0"/>
        <v>0</v>
      </c>
      <c r="M8" s="11"/>
    </row>
    <row r="9" spans="1:13" ht="15" customHeight="1" x14ac:dyDescent="0.25">
      <c r="A9" s="214">
        <v>562.14</v>
      </c>
      <c r="B9" s="309" t="s">
        <v>148</v>
      </c>
      <c r="C9" s="357"/>
      <c r="D9" s="312"/>
      <c r="E9" s="310"/>
      <c r="F9" s="299"/>
      <c r="G9" s="311"/>
      <c r="H9" s="312"/>
      <c r="I9" s="310"/>
      <c r="J9" s="312"/>
      <c r="K9" s="313"/>
      <c r="L9" s="223">
        <f t="shared" si="0"/>
        <v>0</v>
      </c>
      <c r="M9" s="11"/>
    </row>
    <row r="10" spans="1:13" ht="15" customHeight="1" x14ac:dyDescent="0.25">
      <c r="A10" s="214">
        <v>562.15</v>
      </c>
      <c r="B10" s="309" t="s">
        <v>149</v>
      </c>
      <c r="C10" s="357"/>
      <c r="D10" s="312"/>
      <c r="E10" s="310"/>
      <c r="F10" s="299"/>
      <c r="G10" s="311"/>
      <c r="H10" s="312"/>
      <c r="I10" s="310"/>
      <c r="J10" s="312"/>
      <c r="K10" s="313"/>
      <c r="L10" s="223">
        <f t="shared" si="0"/>
        <v>0</v>
      </c>
      <c r="M10" s="11"/>
    </row>
    <row r="11" spans="1:13" ht="15" customHeight="1" x14ac:dyDescent="0.25">
      <c r="A11" s="214">
        <v>562.22</v>
      </c>
      <c r="B11" s="309" t="s">
        <v>51</v>
      </c>
      <c r="C11" s="216">
        <v>3436</v>
      </c>
      <c r="D11" s="217">
        <v>75</v>
      </c>
      <c r="E11" s="221"/>
      <c r="F11" s="219"/>
      <c r="G11" s="220">
        <v>3597</v>
      </c>
      <c r="H11" s="217"/>
      <c r="I11" s="221"/>
      <c r="J11" s="217">
        <v>2062</v>
      </c>
      <c r="K11" s="222"/>
      <c r="L11" s="223">
        <f t="shared" ref="L11:L47" si="1">SUM(C11:K11)</f>
        <v>9170</v>
      </c>
      <c r="M11" s="11"/>
    </row>
    <row r="12" spans="1:13" ht="15" customHeight="1" x14ac:dyDescent="0.25">
      <c r="A12" s="214">
        <v>562.24</v>
      </c>
      <c r="B12" s="309" t="s">
        <v>10</v>
      </c>
      <c r="C12" s="216"/>
      <c r="D12" s="217">
        <v>2142</v>
      </c>
      <c r="E12" s="221"/>
      <c r="F12" s="219"/>
      <c r="G12" s="220"/>
      <c r="H12" s="217">
        <v>18775</v>
      </c>
      <c r="I12" s="231"/>
      <c r="J12" s="217">
        <v>20423</v>
      </c>
      <c r="K12" s="222"/>
      <c r="L12" s="223">
        <f t="shared" si="1"/>
        <v>41340</v>
      </c>
      <c r="M12" s="11"/>
    </row>
    <row r="13" spans="1:13" ht="15" customHeight="1" x14ac:dyDescent="0.25">
      <c r="A13" s="214">
        <v>562.25</v>
      </c>
      <c r="B13" s="309" t="s">
        <v>52</v>
      </c>
      <c r="C13" s="216">
        <v>15273</v>
      </c>
      <c r="D13" s="217">
        <v>3777</v>
      </c>
      <c r="E13" s="221">
        <v>17478</v>
      </c>
      <c r="F13" s="219"/>
      <c r="G13" s="220">
        <v>15988</v>
      </c>
      <c r="H13" s="217"/>
      <c r="I13" s="221">
        <v>127731</v>
      </c>
      <c r="J13" s="217">
        <v>3102</v>
      </c>
      <c r="K13" s="222"/>
      <c r="L13" s="223">
        <f t="shared" si="1"/>
        <v>183349</v>
      </c>
      <c r="M13" s="11"/>
    </row>
    <row r="14" spans="1:13" ht="15" customHeight="1" x14ac:dyDescent="0.25">
      <c r="A14" s="214">
        <v>562.26</v>
      </c>
      <c r="B14" s="309" t="s">
        <v>43</v>
      </c>
      <c r="C14" s="216"/>
      <c r="D14" s="217"/>
      <c r="E14" s="221"/>
      <c r="F14" s="219"/>
      <c r="G14" s="220"/>
      <c r="H14" s="217"/>
      <c r="I14" s="221"/>
      <c r="J14" s="217"/>
      <c r="K14" s="222"/>
      <c r="L14" s="223">
        <f t="shared" si="1"/>
        <v>0</v>
      </c>
      <c r="M14" s="11"/>
    </row>
    <row r="15" spans="1:13" ht="15" customHeight="1" x14ac:dyDescent="0.25">
      <c r="A15" s="214">
        <v>562.27</v>
      </c>
      <c r="B15" s="309" t="s">
        <v>44</v>
      </c>
      <c r="C15" s="216"/>
      <c r="D15" s="217"/>
      <c r="E15" s="221"/>
      <c r="F15" s="219"/>
      <c r="G15" s="220"/>
      <c r="H15" s="217"/>
      <c r="I15" s="221"/>
      <c r="J15" s="217"/>
      <c r="K15" s="222"/>
      <c r="L15" s="223">
        <f t="shared" si="1"/>
        <v>0</v>
      </c>
      <c r="M15" s="11"/>
    </row>
    <row r="16" spans="1:13" ht="15" customHeight="1" x14ac:dyDescent="0.25">
      <c r="A16" s="214">
        <v>562.28</v>
      </c>
      <c r="B16" s="309" t="s">
        <v>53</v>
      </c>
      <c r="C16" s="216">
        <v>7255</v>
      </c>
      <c r="D16" s="217">
        <v>2605</v>
      </c>
      <c r="E16" s="221"/>
      <c r="F16" s="219"/>
      <c r="G16" s="220">
        <v>7593</v>
      </c>
      <c r="H16" s="217"/>
      <c r="I16" s="221">
        <v>184680</v>
      </c>
      <c r="J16" s="217">
        <v>1648</v>
      </c>
      <c r="K16" s="222"/>
      <c r="L16" s="223">
        <f t="shared" si="1"/>
        <v>203781</v>
      </c>
      <c r="M16" s="11"/>
    </row>
    <row r="17" spans="1:13" ht="15" customHeight="1" x14ac:dyDescent="0.25">
      <c r="A17" s="214">
        <v>562.29</v>
      </c>
      <c r="B17" s="309" t="s">
        <v>45</v>
      </c>
      <c r="C17" s="216"/>
      <c r="D17" s="217"/>
      <c r="E17" s="221"/>
      <c r="F17" s="219"/>
      <c r="G17" s="220"/>
      <c r="H17" s="217"/>
      <c r="I17" s="221"/>
      <c r="J17" s="217"/>
      <c r="K17" s="222"/>
      <c r="L17" s="223">
        <f t="shared" si="1"/>
        <v>0</v>
      </c>
      <c r="M17" s="11"/>
    </row>
    <row r="18" spans="1:13" ht="15" customHeight="1" x14ac:dyDescent="0.25">
      <c r="A18" s="214">
        <v>562.32000000000005</v>
      </c>
      <c r="B18" s="309" t="s">
        <v>11</v>
      </c>
      <c r="C18" s="216">
        <v>61091</v>
      </c>
      <c r="D18" s="217">
        <v>5850</v>
      </c>
      <c r="E18" s="221"/>
      <c r="F18" s="219"/>
      <c r="G18" s="220">
        <v>65735</v>
      </c>
      <c r="H18" s="217"/>
      <c r="I18" s="221">
        <v>16504</v>
      </c>
      <c r="J18" s="217">
        <v>26389</v>
      </c>
      <c r="K18" s="222"/>
      <c r="L18" s="223">
        <f t="shared" si="1"/>
        <v>175569</v>
      </c>
      <c r="M18" s="11"/>
    </row>
    <row r="19" spans="1:13" ht="15" customHeight="1" x14ac:dyDescent="0.25">
      <c r="A19" s="214">
        <v>562.33000000000004</v>
      </c>
      <c r="B19" s="309" t="s">
        <v>54</v>
      </c>
      <c r="C19" s="216"/>
      <c r="D19" s="217"/>
      <c r="E19" s="221"/>
      <c r="F19" s="219"/>
      <c r="G19" s="220"/>
      <c r="H19" s="217"/>
      <c r="I19" s="221"/>
      <c r="J19" s="217"/>
      <c r="K19" s="222"/>
      <c r="L19" s="223">
        <f t="shared" si="1"/>
        <v>0</v>
      </c>
      <c r="M19" s="11"/>
    </row>
    <row r="20" spans="1:13" ht="15" customHeight="1" x14ac:dyDescent="0.25">
      <c r="A20" s="214">
        <v>562.34</v>
      </c>
      <c r="B20" s="309" t="s">
        <v>12</v>
      </c>
      <c r="C20" s="216">
        <v>114182</v>
      </c>
      <c r="D20" s="217"/>
      <c r="E20" s="221"/>
      <c r="F20" s="219"/>
      <c r="G20" s="220">
        <v>39356</v>
      </c>
      <c r="H20" s="217"/>
      <c r="I20" s="221"/>
      <c r="J20" s="217">
        <v>4119</v>
      </c>
      <c r="K20" s="222"/>
      <c r="L20" s="223">
        <f t="shared" si="1"/>
        <v>157657</v>
      </c>
      <c r="M20" s="11"/>
    </row>
    <row r="21" spans="1:13" ht="15" customHeight="1" x14ac:dyDescent="0.25">
      <c r="A21" s="214">
        <v>562.35</v>
      </c>
      <c r="B21" s="309" t="s">
        <v>13</v>
      </c>
      <c r="C21" s="216"/>
      <c r="D21" s="217"/>
      <c r="E21" s="221"/>
      <c r="F21" s="219"/>
      <c r="G21" s="220"/>
      <c r="H21" s="217"/>
      <c r="I21" s="221"/>
      <c r="J21" s="217"/>
      <c r="K21" s="222"/>
      <c r="L21" s="223">
        <f t="shared" si="1"/>
        <v>0</v>
      </c>
      <c r="M21" s="11"/>
    </row>
    <row r="22" spans="1:13" ht="15" customHeight="1" x14ac:dyDescent="0.25">
      <c r="A22" s="214">
        <v>562.39</v>
      </c>
      <c r="B22" s="309" t="s">
        <v>14</v>
      </c>
      <c r="C22" s="216">
        <v>26345</v>
      </c>
      <c r="D22" s="217"/>
      <c r="E22" s="221"/>
      <c r="F22" s="219">
        <v>65679</v>
      </c>
      <c r="G22" s="220">
        <v>17774</v>
      </c>
      <c r="H22" s="217"/>
      <c r="I22" s="221"/>
      <c r="J22" s="217">
        <v>11686</v>
      </c>
      <c r="K22" s="222"/>
      <c r="L22" s="223">
        <f t="shared" si="1"/>
        <v>121484</v>
      </c>
      <c r="M22" s="11"/>
    </row>
    <row r="23" spans="1:13" ht="15" customHeight="1" x14ac:dyDescent="0.25">
      <c r="A23" s="214">
        <v>562.41</v>
      </c>
      <c r="B23" s="309" t="s">
        <v>15</v>
      </c>
      <c r="C23" s="216"/>
      <c r="D23" s="217"/>
      <c r="E23" s="221"/>
      <c r="F23" s="219"/>
      <c r="G23" s="220"/>
      <c r="H23" s="217"/>
      <c r="I23" s="221"/>
      <c r="J23" s="217">
        <v>28248</v>
      </c>
      <c r="K23" s="222"/>
      <c r="L23" s="223">
        <f t="shared" si="1"/>
        <v>28248</v>
      </c>
      <c r="M23" s="11"/>
    </row>
    <row r="24" spans="1:13" ht="15" customHeight="1" x14ac:dyDescent="0.25">
      <c r="A24" s="214">
        <v>562.41999999999996</v>
      </c>
      <c r="B24" s="309" t="s">
        <v>16</v>
      </c>
      <c r="C24" s="216"/>
      <c r="D24" s="217"/>
      <c r="E24" s="221"/>
      <c r="F24" s="219"/>
      <c r="G24" s="220"/>
      <c r="H24" s="217"/>
      <c r="I24" s="221"/>
      <c r="J24" s="217"/>
      <c r="K24" s="222"/>
      <c r="L24" s="223">
        <f t="shared" si="1"/>
        <v>0</v>
      </c>
      <c r="M24" s="11"/>
    </row>
    <row r="25" spans="1:13" ht="15" customHeight="1" x14ac:dyDescent="0.25">
      <c r="A25" s="214">
        <v>562.42999999999995</v>
      </c>
      <c r="B25" s="309" t="s">
        <v>55</v>
      </c>
      <c r="C25" s="216"/>
      <c r="D25" s="217"/>
      <c r="E25" s="221"/>
      <c r="F25" s="219"/>
      <c r="G25" s="220"/>
      <c r="H25" s="217"/>
      <c r="I25" s="221"/>
      <c r="J25" s="217"/>
      <c r="K25" s="222"/>
      <c r="L25" s="223">
        <f t="shared" si="1"/>
        <v>0</v>
      </c>
      <c r="M25" s="11"/>
    </row>
    <row r="26" spans="1:13" ht="15" customHeight="1" x14ac:dyDescent="0.25">
      <c r="A26" s="214">
        <v>562.44000000000005</v>
      </c>
      <c r="B26" s="309" t="s">
        <v>56</v>
      </c>
      <c r="C26" s="216"/>
      <c r="D26" s="217"/>
      <c r="E26" s="221"/>
      <c r="F26" s="219"/>
      <c r="G26" s="220"/>
      <c r="H26" s="217"/>
      <c r="I26" s="221"/>
      <c r="J26" s="217"/>
      <c r="K26" s="222"/>
      <c r="L26" s="223">
        <f t="shared" si="1"/>
        <v>0</v>
      </c>
      <c r="M26" s="11"/>
    </row>
    <row r="27" spans="1:13" ht="15" customHeight="1" x14ac:dyDescent="0.25">
      <c r="A27" s="214">
        <v>562.45000000000005</v>
      </c>
      <c r="B27" s="309" t="s">
        <v>57</v>
      </c>
      <c r="C27" s="216"/>
      <c r="D27" s="217"/>
      <c r="E27" s="221"/>
      <c r="F27" s="219"/>
      <c r="G27" s="220"/>
      <c r="H27" s="217"/>
      <c r="I27" s="221"/>
      <c r="J27" s="217"/>
      <c r="K27" s="222"/>
      <c r="L27" s="223">
        <f t="shared" si="1"/>
        <v>0</v>
      </c>
      <c r="M27" s="11"/>
    </row>
    <row r="28" spans="1:13" ht="15" customHeight="1" x14ac:dyDescent="0.25">
      <c r="A28" s="214">
        <v>562.49</v>
      </c>
      <c r="B28" s="309" t="s">
        <v>46</v>
      </c>
      <c r="C28" s="216">
        <v>19091</v>
      </c>
      <c r="D28" s="217"/>
      <c r="E28" s="221"/>
      <c r="F28" s="219"/>
      <c r="G28" s="220">
        <v>20772</v>
      </c>
      <c r="H28" s="217"/>
      <c r="I28" s="221"/>
      <c r="J28" s="217"/>
      <c r="K28" s="222"/>
      <c r="L28" s="223">
        <f t="shared" si="1"/>
        <v>39863</v>
      </c>
      <c r="M28" s="11"/>
    </row>
    <row r="29" spans="1:13" ht="15" customHeight="1" x14ac:dyDescent="0.25">
      <c r="A29" s="214">
        <v>562.52</v>
      </c>
      <c r="B29" s="309" t="s">
        <v>17</v>
      </c>
      <c r="C29" s="216"/>
      <c r="D29" s="217">
        <f>30322+15000</f>
        <v>45322</v>
      </c>
      <c r="E29" s="221">
        <v>5000</v>
      </c>
      <c r="F29" s="219"/>
      <c r="G29" s="220"/>
      <c r="H29" s="217"/>
      <c r="I29" s="221"/>
      <c r="J29" s="217"/>
      <c r="K29" s="222"/>
      <c r="L29" s="223">
        <f t="shared" si="1"/>
        <v>50322</v>
      </c>
      <c r="M29" s="11"/>
    </row>
    <row r="30" spans="1:13" ht="15" customHeight="1" x14ac:dyDescent="0.25">
      <c r="A30" s="214">
        <v>562.53</v>
      </c>
      <c r="B30" s="309" t="s">
        <v>58</v>
      </c>
      <c r="C30" s="216">
        <v>0</v>
      </c>
      <c r="D30" s="217">
        <f>17656+193611</f>
        <v>211267</v>
      </c>
      <c r="E30" s="221"/>
      <c r="F30" s="219"/>
      <c r="G30" s="220"/>
      <c r="H30" s="217"/>
      <c r="I30" s="221"/>
      <c r="J30" s="217"/>
      <c r="K30" s="222"/>
      <c r="L30" s="223">
        <f t="shared" si="1"/>
        <v>211267</v>
      </c>
      <c r="M30" s="11"/>
    </row>
    <row r="31" spans="1:13" ht="15" customHeight="1" x14ac:dyDescent="0.25">
      <c r="A31" s="214">
        <v>562.54</v>
      </c>
      <c r="B31" s="309" t="s">
        <v>59</v>
      </c>
      <c r="C31" s="216"/>
      <c r="D31" s="217">
        <f>291928+58533+500</f>
        <v>350961</v>
      </c>
      <c r="E31" s="221"/>
      <c r="F31" s="219"/>
      <c r="G31" s="220"/>
      <c r="H31" s="217"/>
      <c r="I31" s="221"/>
      <c r="J31" s="217"/>
      <c r="K31" s="222"/>
      <c r="L31" s="223">
        <f t="shared" si="1"/>
        <v>350961</v>
      </c>
      <c r="M31" s="11"/>
    </row>
    <row r="32" spans="1:13" ht="15" customHeight="1" x14ac:dyDescent="0.25">
      <c r="A32" s="214">
        <v>562.54999999999995</v>
      </c>
      <c r="B32" s="309" t="s">
        <v>18</v>
      </c>
      <c r="C32" s="216"/>
      <c r="D32" s="217"/>
      <c r="E32" s="221"/>
      <c r="F32" s="219"/>
      <c r="G32" s="220"/>
      <c r="H32" s="217"/>
      <c r="I32" s="221"/>
      <c r="J32" s="217"/>
      <c r="K32" s="222"/>
      <c r="L32" s="223">
        <f t="shared" si="1"/>
        <v>0</v>
      </c>
      <c r="M32" s="11"/>
    </row>
    <row r="33" spans="1:13" ht="15" customHeight="1" x14ac:dyDescent="0.25">
      <c r="A33" s="214">
        <v>562.55999999999995</v>
      </c>
      <c r="B33" s="309" t="s">
        <v>19</v>
      </c>
      <c r="C33" s="216"/>
      <c r="D33" s="217">
        <f>392329+52803+10200</f>
        <v>455332</v>
      </c>
      <c r="E33" s="221"/>
      <c r="F33" s="219"/>
      <c r="G33" s="220"/>
      <c r="H33" s="217"/>
      <c r="I33" s="221"/>
      <c r="J33" s="217"/>
      <c r="K33" s="222"/>
      <c r="L33" s="223">
        <f t="shared" si="1"/>
        <v>455332</v>
      </c>
      <c r="M33" s="11"/>
    </row>
    <row r="34" spans="1:13" ht="15" customHeight="1" x14ac:dyDescent="0.25">
      <c r="A34" s="214">
        <v>562.57000000000005</v>
      </c>
      <c r="B34" s="309" t="s">
        <v>60</v>
      </c>
      <c r="C34" s="216"/>
      <c r="D34" s="217">
        <v>5526</v>
      </c>
      <c r="E34" s="221"/>
      <c r="F34" s="219"/>
      <c r="G34" s="220"/>
      <c r="H34" s="217">
        <v>3290</v>
      </c>
      <c r="I34" s="221"/>
      <c r="J34" s="217"/>
      <c r="K34" s="222"/>
      <c r="L34" s="223">
        <f t="shared" si="1"/>
        <v>8816</v>
      </c>
      <c r="M34" s="11"/>
    </row>
    <row r="35" spans="1:13" ht="15" customHeight="1" x14ac:dyDescent="0.25">
      <c r="A35" s="214">
        <v>562.58000000000004</v>
      </c>
      <c r="B35" s="309" t="s">
        <v>47</v>
      </c>
      <c r="C35" s="216"/>
      <c r="D35" s="217">
        <v>58240</v>
      </c>
      <c r="E35" s="221"/>
      <c r="F35" s="219"/>
      <c r="G35" s="220"/>
      <c r="H35" s="217"/>
      <c r="I35" s="221"/>
      <c r="J35" s="217"/>
      <c r="K35" s="222"/>
      <c r="L35" s="223">
        <f t="shared" si="1"/>
        <v>58240</v>
      </c>
      <c r="M35" s="11"/>
    </row>
    <row r="36" spans="1:13" ht="15" customHeight="1" x14ac:dyDescent="0.25">
      <c r="A36" s="214">
        <v>562.59</v>
      </c>
      <c r="B36" s="309" t="s">
        <v>48</v>
      </c>
      <c r="C36" s="216"/>
      <c r="D36" s="217"/>
      <c r="E36" s="221"/>
      <c r="F36" s="219"/>
      <c r="G36" s="220"/>
      <c r="H36" s="217"/>
      <c r="I36" s="221"/>
      <c r="J36" s="217"/>
      <c r="K36" s="222"/>
      <c r="L36" s="223">
        <f t="shared" si="1"/>
        <v>0</v>
      </c>
      <c r="M36" s="11"/>
    </row>
    <row r="37" spans="1:13" ht="15" customHeight="1" x14ac:dyDescent="0.25">
      <c r="A37" s="214">
        <v>562.6</v>
      </c>
      <c r="B37" s="309" t="s">
        <v>20</v>
      </c>
      <c r="C37" s="216"/>
      <c r="D37" s="217"/>
      <c r="E37" s="221"/>
      <c r="F37" s="219"/>
      <c r="G37" s="220"/>
      <c r="H37" s="217"/>
      <c r="I37" s="221"/>
      <c r="J37" s="217"/>
      <c r="K37" s="222"/>
      <c r="L37" s="223">
        <f t="shared" si="1"/>
        <v>0</v>
      </c>
      <c r="M37" s="11"/>
    </row>
    <row r="38" spans="1:13" ht="15" customHeight="1" x14ac:dyDescent="0.25">
      <c r="A38" s="214">
        <v>562.71</v>
      </c>
      <c r="B38" s="309" t="s">
        <v>21</v>
      </c>
      <c r="C38" s="216"/>
      <c r="D38" s="217">
        <v>74111</v>
      </c>
      <c r="E38" s="221"/>
      <c r="F38" s="219"/>
      <c r="G38" s="220"/>
      <c r="H38" s="217"/>
      <c r="I38" s="221"/>
      <c r="J38" s="217"/>
      <c r="K38" s="222"/>
      <c r="L38" s="223">
        <f t="shared" si="1"/>
        <v>74111</v>
      </c>
      <c r="M38" s="11"/>
    </row>
    <row r="39" spans="1:13" ht="15" customHeight="1" x14ac:dyDescent="0.25">
      <c r="A39" s="214">
        <v>562.72</v>
      </c>
      <c r="B39" s="309" t="s">
        <v>22</v>
      </c>
      <c r="C39" s="216"/>
      <c r="D39" s="217"/>
      <c r="E39" s="221"/>
      <c r="F39" s="219"/>
      <c r="G39" s="220"/>
      <c r="H39" s="217"/>
      <c r="I39" s="221"/>
      <c r="J39" s="217"/>
      <c r="K39" s="222"/>
      <c r="L39" s="223">
        <f t="shared" si="1"/>
        <v>0</v>
      </c>
      <c r="M39" s="11"/>
    </row>
    <row r="40" spans="1:13" ht="15" customHeight="1" x14ac:dyDescent="0.25">
      <c r="A40" s="214">
        <v>562.73</v>
      </c>
      <c r="B40" s="309" t="s">
        <v>23</v>
      </c>
      <c r="C40" s="216"/>
      <c r="D40" s="217"/>
      <c r="E40" s="221"/>
      <c r="F40" s="219"/>
      <c r="G40" s="220"/>
      <c r="H40" s="217"/>
      <c r="I40" s="221"/>
      <c r="J40" s="217"/>
      <c r="K40" s="222"/>
      <c r="L40" s="223">
        <f t="shared" si="1"/>
        <v>0</v>
      </c>
      <c r="M40" s="11"/>
    </row>
    <row r="41" spans="1:13" ht="15" customHeight="1" x14ac:dyDescent="0.25">
      <c r="A41" s="214">
        <v>562.74</v>
      </c>
      <c r="B41" s="309" t="s">
        <v>49</v>
      </c>
      <c r="C41" s="216"/>
      <c r="D41" s="217"/>
      <c r="E41" s="221"/>
      <c r="F41" s="219"/>
      <c r="G41" s="220"/>
      <c r="H41" s="217"/>
      <c r="I41" s="221"/>
      <c r="J41" s="217"/>
      <c r="K41" s="222"/>
      <c r="L41" s="223">
        <f t="shared" si="1"/>
        <v>0</v>
      </c>
      <c r="M41" s="11"/>
    </row>
    <row r="42" spans="1:13" ht="15" customHeight="1" x14ac:dyDescent="0.25">
      <c r="A42" s="214">
        <v>562.78</v>
      </c>
      <c r="B42" s="309" t="s">
        <v>24</v>
      </c>
      <c r="C42" s="216"/>
      <c r="D42" s="217"/>
      <c r="E42" s="221"/>
      <c r="F42" s="219"/>
      <c r="G42" s="220"/>
      <c r="H42" s="217"/>
      <c r="I42" s="221"/>
      <c r="J42" s="217"/>
      <c r="K42" s="222"/>
      <c r="L42" s="223">
        <f t="shared" si="1"/>
        <v>0</v>
      </c>
      <c r="M42" s="11"/>
    </row>
    <row r="43" spans="1:13" ht="15" customHeight="1" x14ac:dyDescent="0.25">
      <c r="A43" s="214">
        <v>562.79</v>
      </c>
      <c r="B43" s="309" t="s">
        <v>25</v>
      </c>
      <c r="C43" s="216"/>
      <c r="D43" s="217"/>
      <c r="E43" s="221"/>
      <c r="F43" s="219"/>
      <c r="G43" s="220"/>
      <c r="H43" s="217"/>
      <c r="I43" s="221"/>
      <c r="J43" s="217"/>
      <c r="K43" s="222"/>
      <c r="L43" s="223">
        <f t="shared" si="1"/>
        <v>0</v>
      </c>
      <c r="M43" s="11"/>
    </row>
    <row r="44" spans="1:13" ht="15" customHeight="1" x14ac:dyDescent="0.25">
      <c r="A44" s="214">
        <v>562.79999999999995</v>
      </c>
      <c r="B44" s="309" t="s">
        <v>26</v>
      </c>
      <c r="C44" s="216">
        <v>11455</v>
      </c>
      <c r="D44" s="217"/>
      <c r="E44" s="221"/>
      <c r="F44" s="219"/>
      <c r="G44" s="220">
        <v>19596</v>
      </c>
      <c r="H44" s="217"/>
      <c r="I44" s="221"/>
      <c r="J44" s="217"/>
      <c r="K44" s="222"/>
      <c r="L44" s="223">
        <f t="shared" si="1"/>
        <v>31051</v>
      </c>
      <c r="M44" s="11"/>
    </row>
    <row r="45" spans="1:13" ht="15" customHeight="1" x14ac:dyDescent="0.25">
      <c r="A45" s="214">
        <v>562.88</v>
      </c>
      <c r="B45" s="309" t="s">
        <v>50</v>
      </c>
      <c r="C45" s="216"/>
      <c r="D45" s="217"/>
      <c r="E45" s="221"/>
      <c r="F45" s="219"/>
      <c r="G45" s="220"/>
      <c r="H45" s="217"/>
      <c r="I45" s="221">
        <v>248659</v>
      </c>
      <c r="J45" s="217"/>
      <c r="K45" s="222"/>
      <c r="L45" s="223">
        <f t="shared" si="1"/>
        <v>248659</v>
      </c>
      <c r="M45" s="11"/>
    </row>
    <row r="46" spans="1:13" ht="15" customHeight="1" x14ac:dyDescent="0.25">
      <c r="A46" s="214">
        <v>562.9</v>
      </c>
      <c r="B46" s="309" t="s">
        <v>27</v>
      </c>
      <c r="C46" s="216"/>
      <c r="D46" s="217"/>
      <c r="E46" s="221"/>
      <c r="F46" s="219"/>
      <c r="G46" s="220"/>
      <c r="H46" s="217"/>
      <c r="I46" s="221"/>
      <c r="J46" s="217">
        <v>60584</v>
      </c>
      <c r="K46" s="222"/>
      <c r="L46" s="223">
        <f t="shared" si="1"/>
        <v>60584</v>
      </c>
      <c r="M46" s="11"/>
    </row>
    <row r="47" spans="1:13" ht="15" customHeight="1" thickBot="1" x14ac:dyDescent="0.3">
      <c r="A47" s="214">
        <v>562.99</v>
      </c>
      <c r="B47" s="309" t="s">
        <v>28</v>
      </c>
      <c r="C47" s="216"/>
      <c r="D47" s="217"/>
      <c r="E47" s="221"/>
      <c r="F47" s="219"/>
      <c r="G47" s="220"/>
      <c r="H47" s="217"/>
      <c r="I47" s="221"/>
      <c r="J47" s="217"/>
      <c r="K47" s="222"/>
      <c r="L47" s="223">
        <f t="shared" si="1"/>
        <v>0</v>
      </c>
      <c r="M47" s="11"/>
    </row>
    <row r="48" spans="1:13" ht="15" customHeight="1" thickBot="1" x14ac:dyDescent="0.3">
      <c r="A48" s="359" t="s">
        <v>63</v>
      </c>
      <c r="B48" s="316" t="s">
        <v>29</v>
      </c>
      <c r="C48" s="361">
        <f t="shared" ref="C48:J48" si="2">SUM(C5:C47)</f>
        <v>457819</v>
      </c>
      <c r="D48" s="362">
        <f t="shared" si="2"/>
        <v>1261119</v>
      </c>
      <c r="E48" s="366">
        <f t="shared" si="2"/>
        <v>22478</v>
      </c>
      <c r="F48" s="364">
        <f t="shared" si="2"/>
        <v>65679</v>
      </c>
      <c r="G48" s="365">
        <f t="shared" si="2"/>
        <v>399633</v>
      </c>
      <c r="H48" s="362">
        <f t="shared" si="2"/>
        <v>22065</v>
      </c>
      <c r="I48" s="366">
        <f t="shared" si="2"/>
        <v>577574</v>
      </c>
      <c r="J48" s="362">
        <f t="shared" si="2"/>
        <v>158261</v>
      </c>
      <c r="K48" s="404" t="s">
        <v>154</v>
      </c>
      <c r="L48" s="405">
        <f>SUM(C48:K48)</f>
        <v>2964628</v>
      </c>
      <c r="M48" s="11"/>
    </row>
    <row r="49" spans="1:13" ht="15" customHeight="1" x14ac:dyDescent="0.25">
      <c r="A49" s="368">
        <v>523</v>
      </c>
      <c r="B49" s="297" t="s">
        <v>30</v>
      </c>
      <c r="C49" s="406">
        <v>0</v>
      </c>
      <c r="D49" s="371">
        <v>0</v>
      </c>
      <c r="E49" s="354"/>
      <c r="F49" s="371"/>
      <c r="G49" s="372"/>
      <c r="H49" s="352"/>
      <c r="I49" s="370"/>
      <c r="J49" s="371"/>
      <c r="K49" s="401"/>
      <c r="L49" s="407">
        <f t="shared" ref="L49:L59" si="3">SUM(C49:K49)</f>
        <v>0</v>
      </c>
      <c r="M49" s="11"/>
    </row>
    <row r="50" spans="1:13" ht="15" customHeight="1" x14ac:dyDescent="0.25">
      <c r="A50" s="214">
        <v>526</v>
      </c>
      <c r="B50" s="309" t="s">
        <v>31</v>
      </c>
      <c r="C50" s="400"/>
      <c r="D50" s="219"/>
      <c r="E50" s="221"/>
      <c r="F50" s="219"/>
      <c r="G50" s="220"/>
      <c r="H50" s="217"/>
      <c r="I50" s="218"/>
      <c r="J50" s="219"/>
      <c r="K50" s="222"/>
      <c r="L50" s="223">
        <f t="shared" si="3"/>
        <v>0</v>
      </c>
      <c r="M50" s="11"/>
    </row>
    <row r="51" spans="1:13" ht="15" customHeight="1" x14ac:dyDescent="0.25">
      <c r="A51" s="214">
        <v>527.70000000000005</v>
      </c>
      <c r="B51" s="309" t="s">
        <v>32</v>
      </c>
      <c r="C51" s="400">
        <v>0</v>
      </c>
      <c r="D51" s="219">
        <v>0</v>
      </c>
      <c r="E51" s="221"/>
      <c r="F51" s="219"/>
      <c r="G51" s="220"/>
      <c r="H51" s="217"/>
      <c r="I51" s="218"/>
      <c r="J51" s="219"/>
      <c r="K51" s="222"/>
      <c r="L51" s="223">
        <f t="shared" si="3"/>
        <v>0</v>
      </c>
      <c r="M51" s="11"/>
    </row>
    <row r="52" spans="1:13" ht="15" customHeight="1" x14ac:dyDescent="0.25">
      <c r="A52" s="214">
        <v>551.20000000000005</v>
      </c>
      <c r="B52" s="309" t="s">
        <v>33</v>
      </c>
      <c r="C52" s="400">
        <v>0</v>
      </c>
      <c r="D52" s="219">
        <v>0</v>
      </c>
      <c r="E52" s="221"/>
      <c r="F52" s="219"/>
      <c r="G52" s="220"/>
      <c r="H52" s="217"/>
      <c r="I52" s="218"/>
      <c r="J52" s="219"/>
      <c r="K52" s="222"/>
      <c r="L52" s="223">
        <f t="shared" si="3"/>
        <v>0</v>
      </c>
      <c r="M52" s="11"/>
    </row>
    <row r="53" spans="1:13" ht="15" customHeight="1" x14ac:dyDescent="0.25">
      <c r="A53" s="214">
        <v>554</v>
      </c>
      <c r="B53" s="309" t="s">
        <v>61</v>
      </c>
      <c r="C53" s="400">
        <v>0</v>
      </c>
      <c r="D53" s="219">
        <v>0</v>
      </c>
      <c r="E53" s="221"/>
      <c r="F53" s="219"/>
      <c r="G53" s="220"/>
      <c r="H53" s="217"/>
      <c r="I53" s="218"/>
      <c r="J53" s="219"/>
      <c r="K53" s="222"/>
      <c r="L53" s="223">
        <f t="shared" si="3"/>
        <v>0</v>
      </c>
      <c r="M53" s="11"/>
    </row>
    <row r="54" spans="1:13" ht="15" customHeight="1" x14ac:dyDescent="0.25">
      <c r="A54" s="214">
        <v>555</v>
      </c>
      <c r="B54" s="309" t="s">
        <v>34</v>
      </c>
      <c r="C54" s="400">
        <v>0</v>
      </c>
      <c r="D54" s="219">
        <v>0</v>
      </c>
      <c r="E54" s="221"/>
      <c r="F54" s="219"/>
      <c r="G54" s="220"/>
      <c r="H54" s="217"/>
      <c r="I54" s="218"/>
      <c r="J54" s="219"/>
      <c r="K54" s="222"/>
      <c r="L54" s="223">
        <f t="shared" si="3"/>
        <v>0</v>
      </c>
      <c r="M54" s="11"/>
    </row>
    <row r="55" spans="1:13" ht="15" customHeight="1" x14ac:dyDescent="0.25">
      <c r="A55" s="214">
        <v>563</v>
      </c>
      <c r="B55" s="309" t="s">
        <v>35</v>
      </c>
      <c r="C55" s="400">
        <v>0</v>
      </c>
      <c r="D55" s="219">
        <v>0</v>
      </c>
      <c r="E55" s="221"/>
      <c r="F55" s="219"/>
      <c r="G55" s="220"/>
      <c r="H55" s="217"/>
      <c r="I55" s="218"/>
      <c r="J55" s="219"/>
      <c r="K55" s="222"/>
      <c r="L55" s="223">
        <f t="shared" si="3"/>
        <v>0</v>
      </c>
      <c r="M55" s="11"/>
    </row>
    <row r="56" spans="1:13" ht="15" customHeight="1" x14ac:dyDescent="0.25">
      <c r="A56" s="214">
        <v>564</v>
      </c>
      <c r="B56" s="309" t="s">
        <v>36</v>
      </c>
      <c r="C56" s="400">
        <v>0</v>
      </c>
      <c r="D56" s="219">
        <v>0</v>
      </c>
      <c r="E56" s="221"/>
      <c r="F56" s="219"/>
      <c r="G56" s="220"/>
      <c r="H56" s="217"/>
      <c r="I56" s="218"/>
      <c r="J56" s="219"/>
      <c r="K56" s="222"/>
      <c r="L56" s="223">
        <f t="shared" si="3"/>
        <v>0</v>
      </c>
      <c r="M56" s="11"/>
    </row>
    <row r="57" spans="1:13" ht="15" customHeight="1" x14ac:dyDescent="0.25">
      <c r="A57" s="214">
        <v>566</v>
      </c>
      <c r="B57" s="309" t="s">
        <v>37</v>
      </c>
      <c r="C57" s="400">
        <v>0</v>
      </c>
      <c r="D57" s="219">
        <v>0</v>
      </c>
      <c r="E57" s="221"/>
      <c r="F57" s="219"/>
      <c r="G57" s="220"/>
      <c r="H57" s="217"/>
      <c r="I57" s="218"/>
      <c r="J57" s="219"/>
      <c r="K57" s="222"/>
      <c r="L57" s="223">
        <f t="shared" si="3"/>
        <v>0</v>
      </c>
      <c r="M57" s="11"/>
    </row>
    <row r="58" spans="1:13" ht="15" customHeight="1" x14ac:dyDescent="0.25">
      <c r="A58" s="214">
        <v>568</v>
      </c>
      <c r="B58" s="309" t="s">
        <v>38</v>
      </c>
      <c r="C58" s="400">
        <v>0</v>
      </c>
      <c r="D58" s="219">
        <v>0</v>
      </c>
      <c r="E58" s="221"/>
      <c r="F58" s="219"/>
      <c r="G58" s="220"/>
      <c r="H58" s="217"/>
      <c r="I58" s="218"/>
      <c r="J58" s="219"/>
      <c r="K58" s="222"/>
      <c r="L58" s="223">
        <f t="shared" si="3"/>
        <v>0</v>
      </c>
      <c r="M58" s="11"/>
    </row>
    <row r="59" spans="1:13" ht="15" customHeight="1" thickBot="1" x14ac:dyDescent="0.3">
      <c r="A59" s="214">
        <v>500</v>
      </c>
      <c r="B59" s="309" t="s">
        <v>66</v>
      </c>
      <c r="C59" s="400">
        <v>0</v>
      </c>
      <c r="D59" s="219">
        <v>0</v>
      </c>
      <c r="E59" s="221"/>
      <c r="F59" s="219"/>
      <c r="G59" s="220"/>
      <c r="H59" s="217"/>
      <c r="I59" s="218"/>
      <c r="J59" s="219"/>
      <c r="K59" s="222"/>
      <c r="L59" s="223">
        <f t="shared" si="3"/>
        <v>0</v>
      </c>
      <c r="M59" s="11"/>
    </row>
    <row r="60" spans="1:13" ht="15.75" thickBot="1" x14ac:dyDescent="0.3">
      <c r="A60" s="334"/>
      <c r="B60" s="335" t="s">
        <v>41</v>
      </c>
      <c r="C60" s="408">
        <f>SUM(C48:C59)</f>
        <v>457819</v>
      </c>
      <c r="D60" s="364">
        <f>SUM(D48:D59)</f>
        <v>1261119</v>
      </c>
      <c r="E60" s="366">
        <f t="shared" ref="E60:J60" si="4">SUM(E48:E59)</f>
        <v>22478</v>
      </c>
      <c r="F60" s="364">
        <f>SUM(F48:F59)</f>
        <v>65679</v>
      </c>
      <c r="G60" s="365">
        <f t="shared" si="4"/>
        <v>399633</v>
      </c>
      <c r="H60" s="362">
        <f t="shared" si="4"/>
        <v>22065</v>
      </c>
      <c r="I60" s="363">
        <f t="shared" si="4"/>
        <v>577574</v>
      </c>
      <c r="J60" s="364">
        <f t="shared" si="4"/>
        <v>158261</v>
      </c>
      <c r="K60" s="404" t="s">
        <v>154</v>
      </c>
      <c r="L60" s="409">
        <f>SUM(C60:K60)</f>
        <v>2964628</v>
      </c>
      <c r="M60" s="11"/>
    </row>
    <row r="62" spans="1:13" ht="15.75" thickBot="1" x14ac:dyDescent="0.3"/>
    <row r="63" spans="1:13" ht="15.75" thickBot="1" x14ac:dyDescent="0.3">
      <c r="B63" s="411" t="s">
        <v>71</v>
      </c>
      <c r="C63" s="412"/>
      <c r="D63" s="413"/>
      <c r="E63" s="410"/>
      <c r="F63" s="410"/>
      <c r="G63" s="410"/>
      <c r="I63" s="381"/>
      <c r="J63" s="381"/>
      <c r="K63" s="410"/>
      <c r="M63" s="11"/>
    </row>
    <row r="64" spans="1:13" ht="15.75" thickTop="1" x14ac:dyDescent="0.25">
      <c r="B64" s="414"/>
      <c r="C64" s="415" t="s">
        <v>42</v>
      </c>
      <c r="D64" s="416" t="s">
        <v>39</v>
      </c>
      <c r="E64" s="410"/>
      <c r="F64" s="410"/>
      <c r="G64" s="410"/>
      <c r="I64" s="381"/>
      <c r="J64" s="381"/>
      <c r="K64" s="410"/>
      <c r="M64" s="11"/>
    </row>
    <row r="65" spans="2:13" x14ac:dyDescent="0.25">
      <c r="B65" s="417" t="s">
        <v>69</v>
      </c>
      <c r="C65" s="418"/>
      <c r="D65" s="419"/>
      <c r="E65" s="410"/>
      <c r="F65" s="410"/>
      <c r="G65" s="410"/>
      <c r="I65" s="381"/>
      <c r="J65" s="381"/>
      <c r="K65" s="410"/>
      <c r="M65" s="11"/>
    </row>
    <row r="66" spans="2:13" x14ac:dyDescent="0.25">
      <c r="B66" s="420" t="s">
        <v>62</v>
      </c>
      <c r="C66" s="421">
        <f>C60</f>
        <v>457819</v>
      </c>
      <c r="D66" s="422">
        <f>C60/L60</f>
        <v>0.15442713217307533</v>
      </c>
      <c r="E66" s="410"/>
      <c r="F66" s="410"/>
      <c r="G66" s="410"/>
      <c r="I66" s="381"/>
      <c r="J66" s="381"/>
      <c r="K66" s="410"/>
      <c r="M66" s="11"/>
    </row>
    <row r="67" spans="2:13" x14ac:dyDescent="0.25">
      <c r="B67" s="423" t="s">
        <v>6</v>
      </c>
      <c r="C67" s="424">
        <f>D60</f>
        <v>1261119</v>
      </c>
      <c r="D67" s="425">
        <f>D60/L60</f>
        <v>0.4253886153675942</v>
      </c>
      <c r="E67" s="410"/>
      <c r="F67" s="410"/>
      <c r="G67" s="410"/>
      <c r="I67" s="381"/>
      <c r="J67" s="381"/>
      <c r="K67" s="410"/>
      <c r="M67" s="11"/>
    </row>
    <row r="68" spans="2:13" ht="15.75" thickBot="1" x14ac:dyDescent="0.3">
      <c r="B68" s="426" t="s">
        <v>158</v>
      </c>
      <c r="C68" s="427">
        <f>SUM(C66:C67)</f>
        <v>1718938</v>
      </c>
      <c r="D68" s="428">
        <f>SUM(D66:D67)</f>
        <v>0.57981574754066956</v>
      </c>
      <c r="E68" s="410"/>
      <c r="F68" s="410"/>
      <c r="G68" s="410"/>
      <c r="I68" s="381"/>
      <c r="J68" s="381"/>
      <c r="K68" s="410"/>
      <c r="M68" s="11"/>
    </row>
    <row r="69" spans="2:13" x14ac:dyDescent="0.25">
      <c r="B69" s="429" t="s">
        <v>67</v>
      </c>
      <c r="C69" s="430"/>
      <c r="D69" s="431"/>
      <c r="E69" s="410"/>
      <c r="F69" s="410"/>
      <c r="G69" s="410"/>
      <c r="I69" s="381"/>
      <c r="J69" s="381"/>
      <c r="K69" s="410"/>
      <c r="M69" s="11"/>
    </row>
    <row r="70" spans="2:13" x14ac:dyDescent="0.25">
      <c r="B70" s="432" t="s">
        <v>1</v>
      </c>
      <c r="C70" s="433">
        <f>E60</f>
        <v>22478</v>
      </c>
      <c r="D70" s="434">
        <f>E60/$L60</f>
        <v>7.5820642589896608E-3</v>
      </c>
      <c r="E70" s="410"/>
      <c r="F70" s="410"/>
      <c r="G70" s="410"/>
      <c r="I70" s="381"/>
      <c r="J70" s="381"/>
      <c r="K70" s="410"/>
      <c r="M70" s="11"/>
    </row>
    <row r="71" spans="2:13" x14ac:dyDescent="0.25">
      <c r="B71" s="432" t="s">
        <v>157</v>
      </c>
      <c r="C71" s="433">
        <f>F60</f>
        <v>65679</v>
      </c>
      <c r="D71" s="434">
        <f>F60/L60</f>
        <v>2.2154212940038345E-2</v>
      </c>
      <c r="E71" s="410"/>
      <c r="F71" s="410"/>
      <c r="G71" s="410"/>
      <c r="I71" s="381"/>
      <c r="J71" s="381"/>
      <c r="K71" s="410"/>
      <c r="M71" s="11"/>
    </row>
    <row r="72" spans="2:13" x14ac:dyDescent="0.25">
      <c r="B72" s="432" t="s">
        <v>2</v>
      </c>
      <c r="C72" s="433">
        <f>G60</f>
        <v>399633</v>
      </c>
      <c r="D72" s="434">
        <f>G60/$L60</f>
        <v>0.13480038642284967</v>
      </c>
      <c r="E72" s="410"/>
      <c r="F72" s="410"/>
      <c r="G72" s="410"/>
      <c r="I72" s="381"/>
      <c r="J72" s="381"/>
      <c r="K72" s="410"/>
      <c r="M72" s="11"/>
    </row>
    <row r="73" spans="2:13" x14ac:dyDescent="0.25">
      <c r="B73" s="435" t="s">
        <v>40</v>
      </c>
      <c r="C73" s="436">
        <f>H60</f>
        <v>22065</v>
      </c>
      <c r="D73" s="437">
        <f>H60/$L60</f>
        <v>7.4427550438031344E-3</v>
      </c>
      <c r="E73" s="410"/>
      <c r="F73" s="410"/>
      <c r="G73" s="410"/>
      <c r="I73" s="381"/>
      <c r="J73" s="381"/>
      <c r="K73" s="410"/>
      <c r="M73" s="11"/>
    </row>
    <row r="74" spans="2:13" ht="15.75" thickBot="1" x14ac:dyDescent="0.3">
      <c r="B74" s="426" t="s">
        <v>159</v>
      </c>
      <c r="C74" s="438">
        <f>SUM(C70:C73)</f>
        <v>509855</v>
      </c>
      <c r="D74" s="428">
        <f>SUM(D70:D73)</f>
        <v>0.17197941866568081</v>
      </c>
      <c r="E74" s="410"/>
      <c r="F74" s="410"/>
      <c r="G74" s="410"/>
      <c r="I74" s="381"/>
      <c r="J74" s="381"/>
      <c r="K74" s="410"/>
      <c r="M74" s="11"/>
    </row>
    <row r="75" spans="2:13" x14ac:dyDescent="0.25">
      <c r="B75" s="417" t="s">
        <v>68</v>
      </c>
      <c r="C75" s="439"/>
      <c r="D75" s="440"/>
      <c r="E75" s="410"/>
      <c r="F75" s="410"/>
      <c r="G75" s="410"/>
      <c r="I75" s="381"/>
      <c r="J75" s="381"/>
      <c r="K75" s="410"/>
      <c r="M75" s="11"/>
    </row>
    <row r="76" spans="2:13" x14ac:dyDescent="0.25">
      <c r="B76" s="420" t="s">
        <v>4</v>
      </c>
      <c r="C76" s="421">
        <f>I60</f>
        <v>577574</v>
      </c>
      <c r="D76" s="422">
        <f>I60/L60</f>
        <v>0.19482174492044196</v>
      </c>
      <c r="E76" s="410"/>
      <c r="F76" s="410"/>
      <c r="G76" s="410"/>
      <c r="I76" s="381"/>
      <c r="J76" s="381"/>
      <c r="K76" s="410"/>
      <c r="M76" s="11"/>
    </row>
    <row r="77" spans="2:13" x14ac:dyDescent="0.25">
      <c r="B77" s="423" t="s">
        <v>5</v>
      </c>
      <c r="C77" s="424">
        <f>J60</f>
        <v>158261</v>
      </c>
      <c r="D77" s="425">
        <f>J60/L60</f>
        <v>5.3383088873207703E-2</v>
      </c>
      <c r="E77" s="410"/>
      <c r="F77" s="410"/>
      <c r="G77" s="410"/>
      <c r="I77" s="381"/>
      <c r="J77" s="381"/>
      <c r="K77" s="410"/>
      <c r="M77" s="11"/>
    </row>
    <row r="78" spans="2:13" ht="15.75" thickBot="1" x14ac:dyDescent="0.3">
      <c r="B78" s="426" t="s">
        <v>160</v>
      </c>
      <c r="C78" s="438">
        <f>SUM(C76:C77)</f>
        <v>735835</v>
      </c>
      <c r="D78" s="428">
        <f>SUM(D76:D77)</f>
        <v>0.24820483379364966</v>
      </c>
      <c r="E78" s="410"/>
      <c r="F78" s="410"/>
      <c r="G78" s="410"/>
      <c r="I78" s="381"/>
      <c r="J78" s="381"/>
      <c r="K78" s="410"/>
      <c r="M78" s="11"/>
    </row>
    <row r="79" spans="2:13" x14ac:dyDescent="0.25">
      <c r="B79" s="432" t="s">
        <v>108</v>
      </c>
      <c r="C79" s="441"/>
      <c r="D79" s="442"/>
      <c r="E79" s="410"/>
      <c r="F79" s="410"/>
      <c r="G79" s="410"/>
      <c r="I79" s="381"/>
      <c r="J79" s="381"/>
      <c r="K79" s="410"/>
      <c r="M79" s="11"/>
    </row>
    <row r="80" spans="2:13" ht="15.75" thickBot="1" x14ac:dyDescent="0.3">
      <c r="B80" s="443" t="s">
        <v>161</v>
      </c>
      <c r="C80" s="444" t="str">
        <f>K60</f>
        <v>0</v>
      </c>
      <c r="D80" s="445" t="s">
        <v>155</v>
      </c>
      <c r="E80" s="410"/>
      <c r="F80" s="410"/>
      <c r="G80" s="410"/>
      <c r="I80" s="381"/>
      <c r="J80" s="381"/>
      <c r="K80" s="410"/>
      <c r="M80" s="11"/>
    </row>
    <row r="81" spans="2:13" ht="15.75" thickBot="1" x14ac:dyDescent="0.3">
      <c r="B81" s="446" t="s">
        <v>41</v>
      </c>
      <c r="C81" s="447">
        <f>C74+C78+C68+C80</f>
        <v>2964628</v>
      </c>
      <c r="D81" s="448">
        <f>D74+D78+D68+D80</f>
        <v>1</v>
      </c>
    </row>
    <row r="90" spans="2:13" x14ac:dyDescent="0.25">
      <c r="M90" s="20"/>
    </row>
    <row r="91" spans="2:13" x14ac:dyDescent="0.25">
      <c r="M91" s="20"/>
    </row>
    <row r="92" spans="2:13" x14ac:dyDescent="0.25">
      <c r="M92" s="20"/>
    </row>
  </sheetData>
  <mergeCells count="4">
    <mergeCell ref="E3:H3"/>
    <mergeCell ref="I3:J3"/>
    <mergeCell ref="C3:D3"/>
    <mergeCell ref="J2:K2"/>
  </mergeCells>
  <conditionalFormatting sqref="J12 E11:J11 E13:J47 E12:H12 C11:D47 A5:K5 C48:J59 K11:K59 A11:B59 L11:L48">
    <cfRule type="expression" dxfId="122" priority="5">
      <formula>ROW()=EVEN(ROW())</formula>
    </cfRule>
  </conditionalFormatting>
  <conditionalFormatting sqref="L49:L59">
    <cfRule type="expression" dxfId="121" priority="3">
      <formula>ROW()=EVEN(ROW())</formula>
    </cfRule>
  </conditionalFormatting>
  <conditionalFormatting sqref="L5:L10">
    <cfRule type="expression" dxfId="120" priority="4">
      <formula>ROW()=EVEN(ROW())</formula>
    </cfRule>
  </conditionalFormatting>
  <conditionalFormatting sqref="A6:K10">
    <cfRule type="expression" dxfId="119" priority="2">
      <formula>ROW()=EVEN(ROW())</formula>
    </cfRule>
  </conditionalFormatting>
  <printOptions horizontalCentered="1"/>
  <pageMargins left="0" right="0" top="0.98" bottom="0.6" header="0.3" footer="0.3"/>
  <pageSetup scale="65" firstPageNumber="14" fitToHeight="2" orientation="landscape" useFirstPageNumber="1" r:id="rId1"/>
  <headerFooter>
    <oddHeader>&amp;C&amp;"Arial,Bold"&amp;16Expenditures by Expenditure Code and Revenue Source
2017
CHELAN-DOUGLAS</oddHead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77</vt:i4>
      </vt:variant>
    </vt:vector>
  </HeadingPairs>
  <TitlesOfParts>
    <vt:vector size="120" baseType="lpstr">
      <vt:lpstr>LHJ Summary Pg 3-Do Not Input</vt:lpstr>
      <vt:lpstr>PIE Aggregate Pg 4-Do Not Input</vt:lpstr>
      <vt:lpstr>Exp Code Ag Pgs 4&amp;5 Do Not Inpt</vt:lpstr>
      <vt:lpstr>PIE Aggregate Pg 6-DO NOT I (2</vt:lpstr>
      <vt:lpstr>PIE Detail Pg 7-Do Not Input</vt:lpstr>
      <vt:lpstr>Adams Pgs 8-9</vt:lpstr>
      <vt:lpstr>Asotin Pgs 10-11</vt:lpstr>
      <vt:lpstr>Benton-Franklin Pgs 12-13</vt:lpstr>
      <vt:lpstr>Chelan-Douglas Pgs 14-15</vt:lpstr>
      <vt:lpstr>Clallam Pgs 16-17</vt:lpstr>
      <vt:lpstr>Clark Pgs 18-19</vt:lpstr>
      <vt:lpstr>Columbia Pgs 20-21</vt:lpstr>
      <vt:lpstr>Cowlitz Pgs 22-23</vt:lpstr>
      <vt:lpstr>Garfield Pgs 24-25</vt:lpstr>
      <vt:lpstr>Grant Pgs 26-27</vt:lpstr>
      <vt:lpstr>Grays Harbor Pgs 28-29</vt:lpstr>
      <vt:lpstr>Island Pgs 30-31</vt:lpstr>
      <vt:lpstr>Jefferson Pgs 32-33</vt:lpstr>
      <vt:lpstr>Kitsap Pgs 34-35</vt:lpstr>
      <vt:lpstr>Kittitas Pgs 36-37</vt:lpstr>
      <vt:lpstr>Klickitat Pgs 38-39</vt:lpstr>
      <vt:lpstr>Lewis Pgs 40-41</vt:lpstr>
      <vt:lpstr>Lincoln Pgs 42-43</vt:lpstr>
      <vt:lpstr>Mason Pgs 44-45</vt:lpstr>
      <vt:lpstr>Northeast Tri Pgs 46-47</vt:lpstr>
      <vt:lpstr>Okanogan Pgs 48-49</vt:lpstr>
      <vt:lpstr>Pacific Pgs 50-51</vt:lpstr>
      <vt:lpstr>San Juan Pgs 52-53</vt:lpstr>
      <vt:lpstr>Seattle-King Pgs 54-55</vt:lpstr>
      <vt:lpstr>Skagit Pgs 56-57</vt:lpstr>
      <vt:lpstr>Skamania Pgs 58-59</vt:lpstr>
      <vt:lpstr>Snohomish Pgs 60-61</vt:lpstr>
      <vt:lpstr>Spokane Pgs 62-63</vt:lpstr>
      <vt:lpstr>Tacoma-Pierce Pgs 64-65</vt:lpstr>
      <vt:lpstr>Thurston Pgs 66-67</vt:lpstr>
      <vt:lpstr>Wahkiakum Pgs 68-69</vt:lpstr>
      <vt:lpstr>Walla Walla Pgs 70-71</vt:lpstr>
      <vt:lpstr>Whatcom Pgs 72-73</vt:lpstr>
      <vt:lpstr>Whitman Pgs 74-75</vt:lpstr>
      <vt:lpstr>Yakima Pgs 76-77</vt:lpstr>
      <vt:lpstr>Revenue Matrix Pg 78</vt:lpstr>
      <vt:lpstr>Per Capita Expenditures Pg 79</vt:lpstr>
      <vt:lpstr>Sheet1</vt:lpstr>
      <vt:lpstr>'Adams Pgs 8-9'!Print_Area</vt:lpstr>
      <vt:lpstr>'Asotin Pgs 10-11'!Print_Area</vt:lpstr>
      <vt:lpstr>'Benton-Franklin Pgs 12-13'!Print_Area</vt:lpstr>
      <vt:lpstr>'Chelan-Douglas Pgs 14-15'!Print_Area</vt:lpstr>
      <vt:lpstr>'Clallam Pgs 16-17'!Print_Area</vt:lpstr>
      <vt:lpstr>'Clark Pgs 18-19'!Print_Area</vt:lpstr>
      <vt:lpstr>'Columbia Pgs 20-21'!Print_Area</vt:lpstr>
      <vt:lpstr>'Cowlitz Pgs 22-23'!Print_Area</vt:lpstr>
      <vt:lpstr>'Exp Code Ag Pgs 4&amp;5 Do Not Inpt'!Print_Area</vt:lpstr>
      <vt:lpstr>'Garfield Pgs 24-25'!Print_Area</vt:lpstr>
      <vt:lpstr>'Grant Pgs 26-27'!Print_Area</vt:lpstr>
      <vt:lpstr>'Grays Harbor Pgs 28-29'!Print_Area</vt:lpstr>
      <vt:lpstr>'Island Pgs 30-31'!Print_Area</vt:lpstr>
      <vt:lpstr>'Jefferson Pgs 32-33'!Print_Area</vt:lpstr>
      <vt:lpstr>'Kitsap Pgs 34-35'!Print_Area</vt:lpstr>
      <vt:lpstr>'Kittitas Pgs 36-37'!Print_Area</vt:lpstr>
      <vt:lpstr>'Klickitat Pgs 38-39'!Print_Area</vt:lpstr>
      <vt:lpstr>'Lewis Pgs 40-41'!Print_Area</vt:lpstr>
      <vt:lpstr>'LHJ Summary Pg 3-Do Not Input'!Print_Area</vt:lpstr>
      <vt:lpstr>'Lincoln Pgs 42-43'!Print_Area</vt:lpstr>
      <vt:lpstr>'Mason Pgs 44-45'!Print_Area</vt:lpstr>
      <vt:lpstr>'Northeast Tri Pgs 46-47'!Print_Area</vt:lpstr>
      <vt:lpstr>'Okanogan Pgs 48-49'!Print_Area</vt:lpstr>
      <vt:lpstr>'Pacific Pgs 50-51'!Print_Area</vt:lpstr>
      <vt:lpstr>'Per Capita Expenditures Pg 79'!Print_Area</vt:lpstr>
      <vt:lpstr>'PIE Aggregate Pg 6-DO NOT I (2'!Print_Area</vt:lpstr>
      <vt:lpstr>'PIE Detail Pg 7-Do Not Input'!Print_Area</vt:lpstr>
      <vt:lpstr>'San Juan Pgs 52-53'!Print_Area</vt:lpstr>
      <vt:lpstr>'Seattle-King Pgs 54-55'!Print_Area</vt:lpstr>
      <vt:lpstr>'Skagit Pgs 56-57'!Print_Area</vt:lpstr>
      <vt:lpstr>'Skamania Pgs 58-59'!Print_Area</vt:lpstr>
      <vt:lpstr>'Snohomish Pgs 60-61'!Print_Area</vt:lpstr>
      <vt:lpstr>'Spokane Pgs 62-63'!Print_Area</vt:lpstr>
      <vt:lpstr>'Tacoma-Pierce Pgs 64-65'!Print_Area</vt:lpstr>
      <vt:lpstr>'Thurston Pgs 66-67'!Print_Area</vt:lpstr>
      <vt:lpstr>'Wahkiakum Pgs 68-69'!Print_Area</vt:lpstr>
      <vt:lpstr>'Walla Walla Pgs 70-71'!Print_Area</vt:lpstr>
      <vt:lpstr>'Whatcom Pgs 72-73'!Print_Area</vt:lpstr>
      <vt:lpstr>'Whitman Pgs 74-75'!Print_Area</vt:lpstr>
      <vt:lpstr>'Yakima Pgs 76-77'!Print_Area</vt:lpstr>
      <vt:lpstr>'Adams Pgs 8-9'!Print_Titles</vt:lpstr>
      <vt:lpstr>'Asotin Pgs 10-11'!Print_Titles</vt:lpstr>
      <vt:lpstr>'Benton-Franklin Pgs 12-13'!Print_Titles</vt:lpstr>
      <vt:lpstr>'Chelan-Douglas Pgs 14-15'!Print_Titles</vt:lpstr>
      <vt:lpstr>'Clallam Pgs 16-17'!Print_Titles</vt:lpstr>
      <vt:lpstr>'Clark Pgs 18-19'!Print_Titles</vt:lpstr>
      <vt:lpstr>'Columbia Pgs 20-21'!Print_Titles</vt:lpstr>
      <vt:lpstr>'Cowlitz Pgs 22-23'!Print_Titles</vt:lpstr>
      <vt:lpstr>'Exp Code Ag Pgs 4&amp;5 Do Not Inpt'!Print_Titles</vt:lpstr>
      <vt:lpstr>'Garfield Pgs 24-25'!Print_Titles</vt:lpstr>
      <vt:lpstr>'Grant Pgs 26-27'!Print_Titles</vt:lpstr>
      <vt:lpstr>'Grays Harbor Pgs 28-29'!Print_Titles</vt:lpstr>
      <vt:lpstr>'Island Pgs 30-31'!Print_Titles</vt:lpstr>
      <vt:lpstr>'Jefferson Pgs 32-33'!Print_Titles</vt:lpstr>
      <vt:lpstr>'Kitsap Pgs 34-35'!Print_Titles</vt:lpstr>
      <vt:lpstr>'Kittitas Pgs 36-37'!Print_Titles</vt:lpstr>
      <vt:lpstr>'Klickitat Pgs 38-39'!Print_Titles</vt:lpstr>
      <vt:lpstr>'Lewis Pgs 40-41'!Print_Titles</vt:lpstr>
      <vt:lpstr>'LHJ Summary Pg 3-Do Not Input'!Print_Titles</vt:lpstr>
      <vt:lpstr>'Lincoln Pgs 42-43'!Print_Titles</vt:lpstr>
      <vt:lpstr>'Mason Pgs 44-45'!Print_Titles</vt:lpstr>
      <vt:lpstr>'Northeast Tri Pgs 46-47'!Print_Titles</vt:lpstr>
      <vt:lpstr>'Okanogan Pgs 48-49'!Print_Titles</vt:lpstr>
      <vt:lpstr>'Pacific Pgs 50-51'!Print_Titles</vt:lpstr>
      <vt:lpstr>'San Juan Pgs 52-53'!Print_Titles</vt:lpstr>
      <vt:lpstr>'Seattle-King Pgs 54-55'!Print_Titles</vt:lpstr>
      <vt:lpstr>'Skagit Pgs 56-57'!Print_Titles</vt:lpstr>
      <vt:lpstr>'Skamania Pgs 58-59'!Print_Titles</vt:lpstr>
      <vt:lpstr>'Snohomish Pgs 60-61'!Print_Titles</vt:lpstr>
      <vt:lpstr>'Spokane Pgs 62-63'!Print_Titles</vt:lpstr>
      <vt:lpstr>'Tacoma-Pierce Pgs 64-65'!Print_Titles</vt:lpstr>
      <vt:lpstr>'Thurston Pgs 66-67'!Print_Titles</vt:lpstr>
      <vt:lpstr>'Wahkiakum Pgs 68-69'!Print_Titles</vt:lpstr>
      <vt:lpstr>'Walla Walla Pgs 70-71'!Print_Titles</vt:lpstr>
      <vt:lpstr>'Whatcom Pgs 72-73'!Print_Titles</vt:lpstr>
      <vt:lpstr>'Whitman Pgs 74-75'!Print_Titles</vt:lpstr>
      <vt:lpstr>'Yakima Pgs 76-77'!Print_Titles</vt:lpstr>
    </vt:vector>
  </TitlesOfParts>
  <Company>Washington State Department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 Local Health Jurisdiction Funding Report</dc:title>
  <dc:subject>Funding of Local Health Jurisdictions</dc:subject>
  <dc:creator>Rogers, Tom / FS (DOH)/Charles Messer</dc:creator>
  <cp:keywords>BARS, LHJ Federal funding, LHJ State funding, LHJ Local Funding, Local Health Jurisdictions</cp:keywords>
  <cp:lastModifiedBy>Winans, Joby  (DOH)</cp:lastModifiedBy>
  <cp:lastPrinted>2018-10-26T21:02:05Z</cp:lastPrinted>
  <dcterms:created xsi:type="dcterms:W3CDTF">2014-05-09T19:53:21Z</dcterms:created>
  <dcterms:modified xsi:type="dcterms:W3CDTF">2018-10-26T21:02:35Z</dcterms:modified>
  <cp:category>Washington State</cp:category>
  <cp:contentStatus>Final</cp:contentStatus>
</cp:coreProperties>
</file>