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New PS" sheetId="12" state="hidden" r:id="rId2"/>
    <sheet name="SE Data" sheetId="11" r:id="rId3"/>
    <sheet name="Sheet1" sheetId="13" r:id="rId4"/>
    <sheet name="Transmittal" sheetId="2" r:id="rId5"/>
    <sheet name="INFO_PG1" sheetId="3" r:id="rId6"/>
    <sheet name="INFO_PG2" sheetId="4" r:id="rId7"/>
    <sheet name="SS2_3_5_6" sheetId="5" r:id="rId8"/>
    <sheet name="SS4" sheetId="6" r:id="rId9"/>
    <sheet name="SS8" sheetId="7" r:id="rId10"/>
    <sheet name="FS" sheetId="8" r:id="rId11"/>
    <sheet name="CC's" sheetId="9" r:id="rId12"/>
    <sheet name="Prior Year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>#REF!</definedName>
    <definedName name="_Fill" localSheetId="12" hidden="1">'Prior Year'!$DR$819:$DR$864</definedName>
    <definedName name="_Fill" hidden="1">data!$DR$823:$DR$868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12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#REF!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12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12">'Prior Year'!#REF!</definedName>
    <definedName name="Funds">data!#REF!</definedName>
    <definedName name="george">#REF!</definedName>
    <definedName name="glor">#REF!</definedName>
    <definedName name="gloria">#REF!</definedName>
    <definedName name="HeaderRange">#REF!</definedName>
    <definedName name="HELP">#REF!</definedName>
    <definedName name="Hospital" localSheetId="12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ris">#REF!</definedName>
    <definedName name="Liabilities">#REF!</definedName>
    <definedName name="liz">#REF!</definedName>
    <definedName name="look">#REF!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11">'CC''s'!$A$1:$I$384</definedName>
    <definedName name="_xlnm.Print_Area" localSheetId="0">data!$A$192:$E$218</definedName>
    <definedName name="_xlnm.Print_Area" localSheetId="10">FS!$A$1:$D$153</definedName>
    <definedName name="_xlnm.Print_Area" localSheetId="5">INFO_PG1!$A$1:$G$40</definedName>
    <definedName name="_xlnm.Print_Area" localSheetId="6">INFO_PG2!$A$1:$G$33</definedName>
    <definedName name="_xlnm.Print_Area" localSheetId="12">'Prior Year'!$A$410:$E$477</definedName>
    <definedName name="_xlnm.Print_Area" localSheetId="7">SS2_3_5_6!$A$1:$C$40</definedName>
    <definedName name="_xlnm.Print_Area" localSheetId="8">'SS4'!$A$1:$F$32</definedName>
    <definedName name="_xlnm.Print_Area" localSheetId="9">'SS8'!$A$1:$D$34</definedName>
    <definedName name="PRINT_AREA_MI">#REF!</definedName>
    <definedName name="PrintArea">#REF!</definedName>
    <definedName name="Prior">#REF!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#REF!</definedName>
    <definedName name="SourceCode">#REF!</definedName>
    <definedName name="Spec">#REF!</definedName>
    <definedName name="stev">[6]MC!#REF!</definedName>
    <definedName name="steve">#REF!</definedName>
    <definedName name="sue">#REF!</definedName>
    <definedName name="SUM">#REF!</definedName>
    <definedName name="Support" localSheetId="12">'Prior Year'!#REF!</definedName>
    <definedName name="Support">data!#REF!</definedName>
    <definedName name="System">#REF!</definedName>
    <definedName name="Tables_AutoReverse">[7]Tables!$E$5:$E$6</definedName>
    <definedName name="Tables_DescDefault">[7]Tables!$B$5:$B$6</definedName>
    <definedName name="Tables_JEType">[7]Tables!$H$5:$H$6</definedName>
    <definedName name="Titles">#REF!</definedName>
    <definedName name="TopSection">#REF!</definedName>
    <definedName name="Z_71E024E8_30E9_4800_A5BD_86FF6413DD82_.wvu.PrintArea" hidden="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59" i="1" l="1"/>
  <c r="BR76" i="1"/>
  <c r="CC69" i="1" l="1"/>
  <c r="CC70" i="1"/>
  <c r="CD69" i="1"/>
  <c r="C324" i="1"/>
  <c r="CF80" i="1" l="1"/>
  <c r="C171" i="1" l="1"/>
  <c r="C170" i="1"/>
  <c r="C169" i="1"/>
  <c r="C168" i="1"/>
  <c r="C167" i="1"/>
  <c r="AB76" i="1" l="1"/>
  <c r="O76" i="1"/>
  <c r="AY76" i="1"/>
  <c r="BF76" i="1"/>
  <c r="C281" i="1" l="1"/>
  <c r="B199" i="1" l="1"/>
  <c r="C271" i="1"/>
  <c r="CC66" i="1"/>
  <c r="CC68" i="1"/>
  <c r="Y51" i="1"/>
  <c r="Z51" i="1"/>
  <c r="M60" i="11" l="1"/>
  <c r="M61" i="11" s="1"/>
  <c r="C51" i="11" l="1"/>
  <c r="D51" i="11"/>
  <c r="E51" i="11"/>
  <c r="F51" i="11"/>
  <c r="G51" i="11"/>
  <c r="H51" i="11"/>
  <c r="I51" i="11"/>
  <c r="J51" i="11"/>
  <c r="K51" i="11"/>
  <c r="L51" i="11"/>
  <c r="N51" i="11"/>
  <c r="O51" i="11"/>
  <c r="P51" i="11"/>
  <c r="Q51" i="11"/>
  <c r="U51" i="11"/>
  <c r="T51" i="11"/>
  <c r="S51" i="11"/>
  <c r="R51" i="11"/>
  <c r="U10" i="11"/>
  <c r="S10" i="11"/>
  <c r="M10" i="11"/>
  <c r="M51" i="11"/>
  <c r="C203" i="1" l="1"/>
  <c r="B52" i="1" l="1"/>
  <c r="R53" i="11" l="1"/>
  <c r="M53" i="11" l="1"/>
  <c r="C389" i="1"/>
  <c r="C383" i="1"/>
  <c r="F66" i="1" l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D66" i="1"/>
  <c r="E66" i="1"/>
  <c r="C66" i="1"/>
  <c r="C70" i="1"/>
  <c r="C54" i="11"/>
  <c r="E72" i="12" l="1"/>
  <c r="D72" i="12"/>
  <c r="C252" i="1" l="1"/>
  <c r="D328" i="1" l="1"/>
  <c r="C313" i="1"/>
  <c r="D329" i="1"/>
  <c r="D330" i="1" l="1"/>
  <c r="C276" i="1"/>
  <c r="C258" i="1"/>
  <c r="C257" i="1"/>
  <c r="C255" i="1"/>
  <c r="C253" i="1"/>
  <c r="D260" i="1" s="1"/>
  <c r="C250" i="1"/>
  <c r="Y64" i="1" l="1"/>
  <c r="C49" i="12" l="1"/>
  <c r="B203" i="1" l="1"/>
  <c r="D200" i="1"/>
  <c r="C200" i="1"/>
  <c r="B200" i="1"/>
  <c r="C199" i="1"/>
  <c r="C202" i="1"/>
  <c r="B202" i="1"/>
  <c r="C197" i="1"/>
  <c r="B197" i="1"/>
  <c r="D213" i="1"/>
  <c r="C213" i="1"/>
  <c r="C211" i="1"/>
  <c r="C215" i="1"/>
  <c r="C210" i="1"/>
  <c r="B213" i="1"/>
  <c r="B211" i="1"/>
  <c r="B210" i="1"/>
  <c r="B215" i="1"/>
  <c r="C332" i="1"/>
  <c r="C318" i="1"/>
  <c r="C306" i="1"/>
  <c r="C274" i="1"/>
  <c r="C272" i="1"/>
  <c r="C273" i="1"/>
  <c r="C269" i="1"/>
  <c r="C289" i="1"/>
  <c r="C286" i="1"/>
  <c r="C166" i="1" l="1"/>
  <c r="AY51" i="1" l="1"/>
  <c r="CD70" i="1" l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D142" i="1"/>
  <c r="C142" i="1"/>
  <c r="B142" i="1"/>
  <c r="D141" i="1"/>
  <c r="D139" i="1" l="1"/>
  <c r="C139" i="1"/>
  <c r="B139" i="1"/>
  <c r="D138" i="1"/>
  <c r="C138" i="1"/>
  <c r="B138" i="1"/>
  <c r="AV74" i="1" l="1"/>
  <c r="AV73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4" i="1"/>
  <c r="C73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9" i="1"/>
  <c r="C68" i="1"/>
  <c r="CC64" i="1"/>
  <c r="CC63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5" i="1"/>
  <c r="C64" i="1"/>
  <c r="C63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J53" i="11" l="1"/>
  <c r="H53" i="11"/>
  <c r="H54" i="11" s="1"/>
  <c r="G53" i="11"/>
  <c r="E53" i="11"/>
  <c r="D53" i="11"/>
  <c r="D54" i="11" s="1"/>
  <c r="P54" i="11"/>
  <c r="L54" i="11"/>
  <c r="K54" i="11"/>
  <c r="U54" i="11"/>
  <c r="T54" i="11"/>
  <c r="S54" i="11"/>
  <c r="R54" i="11"/>
  <c r="Q54" i="11"/>
  <c r="O54" i="11"/>
  <c r="N54" i="11"/>
  <c r="M54" i="11"/>
  <c r="I54" i="11"/>
  <c r="F54" i="11"/>
  <c r="J54" i="11" l="1"/>
  <c r="G54" i="11"/>
  <c r="E54" i="11"/>
  <c r="C184" i="1"/>
  <c r="C180" i="1"/>
  <c r="C179" i="1"/>
  <c r="C176" i="1"/>
  <c r="C175" i="1"/>
  <c r="C227" i="1"/>
  <c r="C226" i="1"/>
  <c r="C228" i="1"/>
  <c r="C224" i="1"/>
  <c r="C223" i="1"/>
  <c r="C234" i="1"/>
  <c r="C392" i="1"/>
  <c r="C387" i="1"/>
  <c r="C378" i="1"/>
  <c r="C370" i="1"/>
  <c r="C360" i="1"/>
  <c r="O817" i="10" l="1"/>
  <c r="M817" i="10"/>
  <c r="K817" i="10"/>
  <c r="J817" i="10"/>
  <c r="H817" i="10"/>
  <c r="G817" i="10"/>
  <c r="F817" i="10"/>
  <c r="E817" i="10"/>
  <c r="X813" i="10"/>
  <c r="X815" i="10" s="1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T815" i="10" s="1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O730" i="10"/>
  <c r="BN730" i="10"/>
  <c r="BM730" i="10"/>
  <c r="BL730" i="10"/>
  <c r="BJ730" i="10"/>
  <c r="BF730" i="10"/>
  <c r="BE730" i="10"/>
  <c r="BB730" i="10"/>
  <c r="BA730" i="10"/>
  <c r="AZ730" i="10"/>
  <c r="AX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P730" i="10"/>
  <c r="O730" i="10"/>
  <c r="N730" i="10"/>
  <c r="M730" i="10"/>
  <c r="L730" i="10"/>
  <c r="K730" i="10"/>
  <c r="J730" i="10"/>
  <c r="I730" i="10"/>
  <c r="H730" i="10"/>
  <c r="G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X722" i="10"/>
  <c r="AW722" i="10"/>
  <c r="AV722" i="10"/>
  <c r="AR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C722" i="10"/>
  <c r="B722" i="10"/>
  <c r="A722" i="10"/>
  <c r="G612" i="10"/>
  <c r="F550" i="10"/>
  <c r="E550" i="10"/>
  <c r="F546" i="10"/>
  <c r="E546" i="10"/>
  <c r="E545" i="10"/>
  <c r="F545" i="10"/>
  <c r="E544" i="10"/>
  <c r="H540" i="10"/>
  <c r="E540" i="10"/>
  <c r="F540" i="10"/>
  <c r="H539" i="10"/>
  <c r="F539" i="10"/>
  <c r="E539" i="10"/>
  <c r="H538" i="10"/>
  <c r="F538" i="10"/>
  <c r="E538" i="10"/>
  <c r="F537" i="10"/>
  <c r="E537" i="10"/>
  <c r="H537" i="10"/>
  <c r="F536" i="10"/>
  <c r="E536" i="10"/>
  <c r="H536" i="10"/>
  <c r="E535" i="10"/>
  <c r="H534" i="10"/>
  <c r="E534" i="10"/>
  <c r="F534" i="10"/>
  <c r="E533" i="10"/>
  <c r="F533" i="10"/>
  <c r="E532" i="10"/>
  <c r="F531" i="10"/>
  <c r="E531" i="10"/>
  <c r="E530" i="10"/>
  <c r="F530" i="10"/>
  <c r="F529" i="10"/>
  <c r="E529" i="10"/>
  <c r="E528" i="10"/>
  <c r="E527" i="10"/>
  <c r="H527" i="10"/>
  <c r="E526" i="10"/>
  <c r="F526" i="10"/>
  <c r="E525" i="10"/>
  <c r="F524" i="10"/>
  <c r="E524" i="10"/>
  <c r="H523" i="10"/>
  <c r="F523" i="10"/>
  <c r="E523" i="10"/>
  <c r="E522" i="10"/>
  <c r="F522" i="10"/>
  <c r="F521" i="10"/>
  <c r="E520" i="10"/>
  <c r="F520" i="10"/>
  <c r="E519" i="10"/>
  <c r="F518" i="10"/>
  <c r="E518" i="10"/>
  <c r="F517" i="10"/>
  <c r="E517" i="10"/>
  <c r="E516" i="10"/>
  <c r="F516" i="10"/>
  <c r="F515" i="10"/>
  <c r="E515" i="10"/>
  <c r="H515" i="10"/>
  <c r="E514" i="10"/>
  <c r="F512" i="10"/>
  <c r="F511" i="10"/>
  <c r="E511" i="10"/>
  <c r="E510" i="10"/>
  <c r="E509" i="10"/>
  <c r="E508" i="10"/>
  <c r="F508" i="10"/>
  <c r="E507" i="10"/>
  <c r="F506" i="10"/>
  <c r="E506" i="10"/>
  <c r="H506" i="10"/>
  <c r="H505" i="10"/>
  <c r="F505" i="10"/>
  <c r="E505" i="10"/>
  <c r="H504" i="10"/>
  <c r="E504" i="10"/>
  <c r="F504" i="10"/>
  <c r="F503" i="10"/>
  <c r="E503" i="10"/>
  <c r="E502" i="10"/>
  <c r="H502" i="10"/>
  <c r="E501" i="10"/>
  <c r="H501" i="10"/>
  <c r="H500" i="10"/>
  <c r="E500" i="10"/>
  <c r="F500" i="10"/>
  <c r="E499" i="10"/>
  <c r="F498" i="10"/>
  <c r="E498" i="10"/>
  <c r="H497" i="10"/>
  <c r="F497" i="10"/>
  <c r="E497" i="10"/>
  <c r="H496" i="10"/>
  <c r="F496" i="10"/>
  <c r="E496" i="10"/>
  <c r="G493" i="10"/>
  <c r="E493" i="10"/>
  <c r="C493" i="10"/>
  <c r="A493" i="10"/>
  <c r="B478" i="10"/>
  <c r="B474" i="10"/>
  <c r="B473" i="10"/>
  <c r="B472" i="10"/>
  <c r="B471" i="10"/>
  <c r="B469" i="10"/>
  <c r="B468" i="10"/>
  <c r="B463" i="10"/>
  <c r="C459" i="10"/>
  <c r="B459" i="10"/>
  <c r="B458" i="10"/>
  <c r="B455" i="10"/>
  <c r="B454" i="10"/>
  <c r="B453" i="10"/>
  <c r="C447" i="10"/>
  <c r="C446" i="10"/>
  <c r="C445" i="10"/>
  <c r="C444" i="10"/>
  <c r="B437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C730" i="10" s="1"/>
  <c r="C387" i="10"/>
  <c r="B436" i="10" s="1"/>
  <c r="C383" i="10"/>
  <c r="C378" i="10"/>
  <c r="D372" i="10"/>
  <c r="D367" i="10"/>
  <c r="C448" i="10" s="1"/>
  <c r="C360" i="10"/>
  <c r="BK730" i="10" s="1"/>
  <c r="D329" i="10"/>
  <c r="D328" i="10"/>
  <c r="C326" i="10"/>
  <c r="AY730" i="10" s="1"/>
  <c r="C324" i="10"/>
  <c r="AW730" i="10" s="1"/>
  <c r="D319" i="10"/>
  <c r="D314" i="10"/>
  <c r="C307" i="10"/>
  <c r="AJ730" i="10" s="1"/>
  <c r="D290" i="10"/>
  <c r="D283" i="10"/>
  <c r="C274" i="10"/>
  <c r="V730" i="10" s="1"/>
  <c r="C269" i="10"/>
  <c r="D265" i="10"/>
  <c r="C253" i="10"/>
  <c r="E730" i="10" s="1"/>
  <c r="C252" i="10"/>
  <c r="D730" i="10" s="1"/>
  <c r="D240" i="10"/>
  <c r="B447" i="10" s="1"/>
  <c r="C234" i="10"/>
  <c r="C228" i="10"/>
  <c r="BY722" i="10" s="1"/>
  <c r="C227" i="10"/>
  <c r="BX722" i="10" s="1"/>
  <c r="C226" i="10"/>
  <c r="BW722" i="10" s="1"/>
  <c r="C224" i="10"/>
  <c r="BU722" i="10" s="1"/>
  <c r="C223" i="10"/>
  <c r="BT722" i="10" s="1"/>
  <c r="D221" i="10"/>
  <c r="CD722" i="10" s="1"/>
  <c r="D217" i="10"/>
  <c r="E216" i="10"/>
  <c r="E215" i="10"/>
  <c r="E214" i="10"/>
  <c r="C213" i="10"/>
  <c r="E212" i="10"/>
  <c r="E211" i="10"/>
  <c r="C210" i="10"/>
  <c r="AZ722" i="10" s="1"/>
  <c r="B210" i="10"/>
  <c r="AY722" i="10" s="1"/>
  <c r="E209" i="10"/>
  <c r="D204" i="10"/>
  <c r="B204" i="10"/>
  <c r="C203" i="10"/>
  <c r="AQ722" i="10" s="1"/>
  <c r="E202" i="10"/>
  <c r="C474" i="10" s="1"/>
  <c r="E201" i="10"/>
  <c r="C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C180" i="10"/>
  <c r="L722" i="10" s="1"/>
  <c r="C179" i="10"/>
  <c r="K722" i="10" s="1"/>
  <c r="C176" i="10"/>
  <c r="J722" i="10" s="1"/>
  <c r="C172" i="10"/>
  <c r="H722" i="10" s="1"/>
  <c r="C170" i="10"/>
  <c r="G722" i="10" s="1"/>
  <c r="C169" i="10"/>
  <c r="F722" i="10" s="1"/>
  <c r="C168" i="10"/>
  <c r="E722" i="10" s="1"/>
  <c r="C167" i="10"/>
  <c r="D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CE80" i="10"/>
  <c r="CF79" i="10"/>
  <c r="CE79" i="10"/>
  <c r="S816" i="10" s="1"/>
  <c r="E78" i="10"/>
  <c r="R736" i="10" s="1"/>
  <c r="CF77" i="10"/>
  <c r="CE77" i="10"/>
  <c r="Q816" i="10" s="1"/>
  <c r="CE76" i="10"/>
  <c r="AT75" i="10"/>
  <c r="N777" i="10" s="1"/>
  <c r="AS75" i="10"/>
  <c r="N776" i="10" s="1"/>
  <c r="AP75" i="10"/>
  <c r="N773" i="10" s="1"/>
  <c r="AL75" i="10"/>
  <c r="N769" i="10" s="1"/>
  <c r="AK75" i="10"/>
  <c r="N768" i="10" s="1"/>
  <c r="AD75" i="10"/>
  <c r="N761" i="10" s="1"/>
  <c r="AC75" i="10"/>
  <c r="N760" i="10" s="1"/>
  <c r="V75" i="10"/>
  <c r="N753" i="10" s="1"/>
  <c r="N75" i="10"/>
  <c r="N745" i="10" s="1"/>
  <c r="M75" i="10"/>
  <c r="N744" i="10" s="1"/>
  <c r="F75" i="10"/>
  <c r="N737" i="10" s="1"/>
  <c r="E75" i="10"/>
  <c r="N736" i="10" s="1"/>
  <c r="AH75" i="10"/>
  <c r="N765" i="10" s="1"/>
  <c r="Z75" i="10"/>
  <c r="N757" i="10" s="1"/>
  <c r="U75" i="10"/>
  <c r="N752" i="10" s="1"/>
  <c r="R75" i="10"/>
  <c r="N749" i="10" s="1"/>
  <c r="J75" i="10"/>
  <c r="N741" i="10" s="1"/>
  <c r="O777" i="10"/>
  <c r="O776" i="10"/>
  <c r="O773" i="10"/>
  <c r="O769" i="10"/>
  <c r="O768" i="10"/>
  <c r="O765" i="10"/>
  <c r="O761" i="10"/>
  <c r="O760" i="10"/>
  <c r="O757" i="10"/>
  <c r="O753" i="10"/>
  <c r="O752" i="10"/>
  <c r="O749" i="10"/>
  <c r="O745" i="10"/>
  <c r="O744" i="10"/>
  <c r="O741" i="10"/>
  <c r="O737" i="10"/>
  <c r="O736" i="10"/>
  <c r="V813" i="10"/>
  <c r="V815" i="10" s="1"/>
  <c r="M812" i="10"/>
  <c r="M811" i="10"/>
  <c r="M808" i="10"/>
  <c r="M807" i="10"/>
  <c r="M805" i="10"/>
  <c r="M804" i="10"/>
  <c r="M803" i="10"/>
  <c r="M800" i="10"/>
  <c r="M799" i="10"/>
  <c r="M797" i="10"/>
  <c r="M796" i="10"/>
  <c r="M795" i="10"/>
  <c r="M792" i="10"/>
  <c r="M791" i="10"/>
  <c r="M789" i="10"/>
  <c r="M788" i="10"/>
  <c r="M787" i="10"/>
  <c r="M784" i="10"/>
  <c r="M783" i="10"/>
  <c r="M781" i="10"/>
  <c r="M780" i="10"/>
  <c r="M779" i="10"/>
  <c r="M776" i="10"/>
  <c r="M775" i="10"/>
  <c r="M773" i="10"/>
  <c r="M772" i="10"/>
  <c r="M771" i="10"/>
  <c r="M768" i="10"/>
  <c r="M767" i="10"/>
  <c r="M765" i="10"/>
  <c r="M764" i="10"/>
  <c r="M763" i="10"/>
  <c r="M761" i="10"/>
  <c r="M760" i="10"/>
  <c r="M759" i="10"/>
  <c r="M757" i="10"/>
  <c r="M756" i="10"/>
  <c r="M755" i="10"/>
  <c r="M753" i="10"/>
  <c r="M752" i="10"/>
  <c r="M751" i="10"/>
  <c r="M749" i="10"/>
  <c r="M748" i="10"/>
  <c r="M747" i="10"/>
  <c r="M745" i="10"/>
  <c r="M744" i="10"/>
  <c r="M743" i="10"/>
  <c r="M741" i="10"/>
  <c r="M740" i="10"/>
  <c r="M739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E60" i="10"/>
  <c r="CE51" i="10"/>
  <c r="B53" i="10"/>
  <c r="B49" i="10"/>
  <c r="CE47" i="10"/>
  <c r="D181" i="10" l="1"/>
  <c r="E203" i="10"/>
  <c r="C475" i="10" s="1"/>
  <c r="E210" i="10"/>
  <c r="C815" i="10"/>
  <c r="D330" i="10"/>
  <c r="B439" i="10"/>
  <c r="J612" i="10"/>
  <c r="D177" i="10"/>
  <c r="D434" i="10" s="1"/>
  <c r="B217" i="10"/>
  <c r="B464" i="10"/>
  <c r="C816" i="10"/>
  <c r="BI730" i="10"/>
  <c r="H612" i="10"/>
  <c r="CE68" i="10"/>
  <c r="U813" i="10"/>
  <c r="U815" i="10" s="1"/>
  <c r="C615" i="10"/>
  <c r="C438" i="10"/>
  <c r="CD71" i="10"/>
  <c r="C575" i="10" s="1"/>
  <c r="H532" i="10"/>
  <c r="F532" i="10"/>
  <c r="CE65" i="10"/>
  <c r="AK52" i="10"/>
  <c r="AK67" i="10" s="1"/>
  <c r="J768" i="10" s="1"/>
  <c r="D815" i="10"/>
  <c r="F815" i="10"/>
  <c r="G815" i="10"/>
  <c r="H815" i="10"/>
  <c r="I815" i="10"/>
  <c r="K815" i="10"/>
  <c r="L734" i="10"/>
  <c r="C439" i="10"/>
  <c r="CE69" i="10"/>
  <c r="O734" i="10"/>
  <c r="C75" i="10"/>
  <c r="O742" i="10"/>
  <c r="K75" i="10"/>
  <c r="N742" i="10" s="1"/>
  <c r="O750" i="10"/>
  <c r="S75" i="10"/>
  <c r="N750" i="10" s="1"/>
  <c r="O758" i="10"/>
  <c r="AA75" i="10"/>
  <c r="N758" i="10" s="1"/>
  <c r="O766" i="10"/>
  <c r="AI75" i="10"/>
  <c r="N766" i="10" s="1"/>
  <c r="O774" i="10"/>
  <c r="AQ75" i="10"/>
  <c r="N774" i="10" s="1"/>
  <c r="CE74" i="10"/>
  <c r="C464" i="10" s="1"/>
  <c r="CB722" i="10"/>
  <c r="D236" i="10"/>
  <c r="B446" i="10" s="1"/>
  <c r="H499" i="10"/>
  <c r="F499" i="10"/>
  <c r="H507" i="10"/>
  <c r="F507" i="10"/>
  <c r="F519" i="10"/>
  <c r="CE63" i="10"/>
  <c r="BZ52" i="10"/>
  <c r="BZ67" i="10" s="1"/>
  <c r="J809" i="10" s="1"/>
  <c r="M742" i="10"/>
  <c r="M750" i="10"/>
  <c r="M758" i="10"/>
  <c r="M766" i="10"/>
  <c r="M774" i="10"/>
  <c r="M782" i="10"/>
  <c r="M790" i="10"/>
  <c r="M798" i="10"/>
  <c r="M806" i="10"/>
  <c r="CE70" i="10"/>
  <c r="O735" i="10"/>
  <c r="D75" i="10"/>
  <c r="N735" i="10" s="1"/>
  <c r="O743" i="10"/>
  <c r="L75" i="10"/>
  <c r="N743" i="10" s="1"/>
  <c r="O751" i="10"/>
  <c r="T75" i="10"/>
  <c r="N751" i="10" s="1"/>
  <c r="O759" i="10"/>
  <c r="AB75" i="10"/>
  <c r="N759" i="10" s="1"/>
  <c r="O767" i="10"/>
  <c r="AJ75" i="10"/>
  <c r="N767" i="10" s="1"/>
  <c r="O775" i="10"/>
  <c r="AR75" i="10"/>
  <c r="N775" i="10" s="1"/>
  <c r="AK726" i="10"/>
  <c r="E141" i="10"/>
  <c r="D463" i="10" s="1"/>
  <c r="D465" i="10" s="1"/>
  <c r="CE66" i="10"/>
  <c r="BC52" i="10"/>
  <c r="BC67" i="10" s="1"/>
  <c r="J786" i="10" s="1"/>
  <c r="D339" i="10"/>
  <c r="C482" i="10" s="1"/>
  <c r="CE61" i="10"/>
  <c r="CE64" i="10"/>
  <c r="BT52" i="10"/>
  <c r="BT67" i="10" s="1"/>
  <c r="J803" i="10" s="1"/>
  <c r="BI722" i="10"/>
  <c r="C217" i="10"/>
  <c r="D433" i="10" s="1"/>
  <c r="E213" i="10"/>
  <c r="E217" i="10" s="1"/>
  <c r="C478" i="10" s="1"/>
  <c r="H513" i="10"/>
  <c r="F513" i="10"/>
  <c r="BM52" i="10"/>
  <c r="BM67" i="10" s="1"/>
  <c r="J796" i="10" s="1"/>
  <c r="M769" i="10"/>
  <c r="M777" i="10"/>
  <c r="M785" i="10"/>
  <c r="M793" i="10"/>
  <c r="M801" i="10"/>
  <c r="M809" i="10"/>
  <c r="O738" i="10"/>
  <c r="G75" i="10"/>
  <c r="N738" i="10" s="1"/>
  <c r="O746" i="10"/>
  <c r="O75" i="10"/>
  <c r="N746" i="10" s="1"/>
  <c r="O754" i="10"/>
  <c r="W75" i="10"/>
  <c r="N754" i="10" s="1"/>
  <c r="O762" i="10"/>
  <c r="AE75" i="10"/>
  <c r="N762" i="10" s="1"/>
  <c r="O770" i="10"/>
  <c r="AM75" i="10"/>
  <c r="N770" i="10" s="1"/>
  <c r="O778" i="10"/>
  <c r="AU75" i="10"/>
  <c r="N778" i="10" s="1"/>
  <c r="AH52" i="10"/>
  <c r="AH67" i="10" s="1"/>
  <c r="J765" i="10" s="1"/>
  <c r="M738" i="10"/>
  <c r="M746" i="10"/>
  <c r="M754" i="10"/>
  <c r="M762" i="10"/>
  <c r="M770" i="10"/>
  <c r="M778" i="10"/>
  <c r="M786" i="10"/>
  <c r="M794" i="10"/>
  <c r="M802" i="10"/>
  <c r="M810" i="10"/>
  <c r="O739" i="10"/>
  <c r="H75" i="10"/>
  <c r="N739" i="10" s="1"/>
  <c r="O747" i="10"/>
  <c r="P75" i="10"/>
  <c r="N747" i="10" s="1"/>
  <c r="O755" i="10"/>
  <c r="X75" i="10"/>
  <c r="N755" i="10" s="1"/>
  <c r="O763" i="10"/>
  <c r="AF75" i="10"/>
  <c r="N763" i="10" s="1"/>
  <c r="O771" i="10"/>
  <c r="AN75" i="10"/>
  <c r="N771" i="10" s="1"/>
  <c r="O779" i="10"/>
  <c r="AV75" i="10"/>
  <c r="N779" i="10" s="1"/>
  <c r="Q730" i="10"/>
  <c r="B470" i="10"/>
  <c r="D275" i="10"/>
  <c r="I817" i="10"/>
  <c r="BV730" i="10"/>
  <c r="B432" i="10"/>
  <c r="AI52" i="10"/>
  <c r="AI67" i="10" s="1"/>
  <c r="J766" i="10" s="1"/>
  <c r="O740" i="10"/>
  <c r="I75" i="10"/>
  <c r="N740" i="10" s="1"/>
  <c r="O748" i="10"/>
  <c r="Q75" i="10"/>
  <c r="N748" i="10" s="1"/>
  <c r="O756" i="10"/>
  <c r="Y75" i="10"/>
  <c r="N756" i="10" s="1"/>
  <c r="O764" i="10"/>
  <c r="AG75" i="10"/>
  <c r="N764" i="10" s="1"/>
  <c r="O772" i="10"/>
  <c r="AO75" i="10"/>
  <c r="N772" i="10" s="1"/>
  <c r="CE73" i="10"/>
  <c r="D435" i="10"/>
  <c r="D438" i="10"/>
  <c r="AH722" i="10"/>
  <c r="E200" i="10"/>
  <c r="C473" i="10" s="1"/>
  <c r="C204" i="10"/>
  <c r="H525" i="10"/>
  <c r="F525" i="10"/>
  <c r="D229" i="10"/>
  <c r="B445" i="10" s="1"/>
  <c r="D817" i="10"/>
  <c r="BQ730" i="10"/>
  <c r="F544" i="10"/>
  <c r="L817" i="10"/>
  <c r="BZ730" i="10"/>
  <c r="F502" i="10"/>
  <c r="F510" i="10"/>
  <c r="F514" i="10"/>
  <c r="F528" i="10"/>
  <c r="H535" i="10"/>
  <c r="F535" i="10"/>
  <c r="CE78" i="10"/>
  <c r="E138" i="10"/>
  <c r="C414" i="10" s="1"/>
  <c r="D361" i="10"/>
  <c r="B427" i="10"/>
  <c r="F501" i="10"/>
  <c r="F509" i="10"/>
  <c r="F527" i="10"/>
  <c r="E142" i="10"/>
  <c r="D464" i="10" s="1"/>
  <c r="D173" i="10"/>
  <c r="D428" i="10" s="1"/>
  <c r="D390" i="10"/>
  <c r="B441" i="10" s="1"/>
  <c r="B438" i="10"/>
  <c r="H533" i="10"/>
  <c r="B444" i="10"/>
  <c r="B475" i="10"/>
  <c r="P816" i="10"/>
  <c r="D612" i="10"/>
  <c r="T816" i="10"/>
  <c r="L612" i="10"/>
  <c r="CF76" i="10"/>
  <c r="E52" i="10" s="1"/>
  <c r="E67" i="10" s="1"/>
  <c r="J736" i="10" s="1"/>
  <c r="E139" i="10"/>
  <c r="C415" i="10" s="1"/>
  <c r="D260" i="10"/>
  <c r="Q815" i="10"/>
  <c r="S815" i="10"/>
  <c r="R815" i="10"/>
  <c r="P815" i="10"/>
  <c r="B440" i="10" l="1"/>
  <c r="BF52" i="10"/>
  <c r="BF67" i="10" s="1"/>
  <c r="J789" i="10" s="1"/>
  <c r="I52" i="10"/>
  <c r="I67" i="10" s="1"/>
  <c r="J740" i="10" s="1"/>
  <c r="X52" i="10"/>
  <c r="X67" i="10" s="1"/>
  <c r="J755" i="10" s="1"/>
  <c r="G52" i="10"/>
  <c r="G67" i="10" s="1"/>
  <c r="J738" i="10" s="1"/>
  <c r="V52" i="10"/>
  <c r="V67" i="10" s="1"/>
  <c r="J753" i="10" s="1"/>
  <c r="BI52" i="10"/>
  <c r="BI67" i="10" s="1"/>
  <c r="J792" i="10" s="1"/>
  <c r="AY52" i="10"/>
  <c r="AY67" i="10" s="1"/>
  <c r="J782" i="10" s="1"/>
  <c r="AP52" i="10"/>
  <c r="AP67" i="10" s="1"/>
  <c r="J773" i="10" s="1"/>
  <c r="M815" i="10"/>
  <c r="BU52" i="10"/>
  <c r="BU67" i="10" s="1"/>
  <c r="J804" i="10" s="1"/>
  <c r="H52" i="10"/>
  <c r="H67" i="10" s="1"/>
  <c r="J739" i="10" s="1"/>
  <c r="BS52" i="10"/>
  <c r="BS67" i="10" s="1"/>
  <c r="J802" i="10" s="1"/>
  <c r="N52" i="10"/>
  <c r="N67" i="10" s="1"/>
  <c r="J745" i="10" s="1"/>
  <c r="AS52" i="10"/>
  <c r="AS67" i="10" s="1"/>
  <c r="J776" i="10" s="1"/>
  <c r="BW52" i="10"/>
  <c r="BW67" i="10" s="1"/>
  <c r="J806" i="10" s="1"/>
  <c r="AA52" i="10"/>
  <c r="AA67" i="10" s="1"/>
  <c r="J758" i="10" s="1"/>
  <c r="Y52" i="10"/>
  <c r="Y67" i="10" s="1"/>
  <c r="J756" i="10" s="1"/>
  <c r="BL52" i="10"/>
  <c r="BL67" i="10" s="1"/>
  <c r="J795" i="10" s="1"/>
  <c r="AU52" i="10"/>
  <c r="AU67" i="10" s="1"/>
  <c r="J778" i="10" s="1"/>
  <c r="AL52" i="10"/>
  <c r="AL67" i="10" s="1"/>
  <c r="J769" i="10" s="1"/>
  <c r="N734" i="10"/>
  <c r="N815" i="10" s="1"/>
  <c r="CE75" i="10"/>
  <c r="G816" i="10"/>
  <c r="F612" i="10"/>
  <c r="C430" i="10"/>
  <c r="D242" i="10"/>
  <c r="B448" i="10" s="1"/>
  <c r="O816" i="10"/>
  <c r="C463" i="10"/>
  <c r="S52" i="10"/>
  <c r="S67" i="10" s="1"/>
  <c r="J750" i="10" s="1"/>
  <c r="B476" i="10"/>
  <c r="D277" i="10"/>
  <c r="Z52" i="10"/>
  <c r="Z67" i="10" s="1"/>
  <c r="J757" i="10" s="1"/>
  <c r="BE52" i="10"/>
  <c r="BE67" i="10" s="1"/>
  <c r="J788" i="10" s="1"/>
  <c r="BD52" i="10"/>
  <c r="BD67" i="10" s="1"/>
  <c r="J787" i="10" s="1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Q48" i="10"/>
  <c r="BQ62" i="10" s="1"/>
  <c r="BA48" i="10"/>
  <c r="BA62" i="10" s="1"/>
  <c r="AK48" i="10"/>
  <c r="AK62" i="10" s="1"/>
  <c r="U48" i="10"/>
  <c r="U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G48" i="10"/>
  <c r="AG62" i="10" s="1"/>
  <c r="Y48" i="10"/>
  <c r="Y62" i="10" s="1"/>
  <c r="I48" i="10"/>
  <c r="I62" i="10" s="1"/>
  <c r="AO48" i="10"/>
  <c r="AO62" i="10" s="1"/>
  <c r="Q48" i="10"/>
  <c r="Q62" i="10" s="1"/>
  <c r="M48" i="10"/>
  <c r="M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Y48" i="10"/>
  <c r="BY62" i="10" s="1"/>
  <c r="BI48" i="10"/>
  <c r="BI62" i="10" s="1"/>
  <c r="AS48" i="10"/>
  <c r="AS62" i="10" s="1"/>
  <c r="AC48" i="10"/>
  <c r="AC62" i="10" s="1"/>
  <c r="E48" i="10"/>
  <c r="E62" i="10" s="1"/>
  <c r="AM52" i="10"/>
  <c r="AM67" i="10" s="1"/>
  <c r="J770" i="10" s="1"/>
  <c r="BR52" i="10"/>
  <c r="BR67" i="10" s="1"/>
  <c r="J801" i="10" s="1"/>
  <c r="F52" i="10"/>
  <c r="F67" i="10" s="1"/>
  <c r="J737" i="10" s="1"/>
  <c r="AC52" i="10"/>
  <c r="AC67" i="10" s="1"/>
  <c r="J760" i="10" s="1"/>
  <c r="K816" i="10"/>
  <c r="C434" i="10"/>
  <c r="L816" i="10"/>
  <c r="C440" i="10"/>
  <c r="O815" i="10"/>
  <c r="R816" i="10"/>
  <c r="I612" i="10"/>
  <c r="K52" i="10"/>
  <c r="K67" i="10" s="1"/>
  <c r="J742" i="10" s="1"/>
  <c r="R52" i="10"/>
  <c r="R67" i="10" s="1"/>
  <c r="J749" i="10" s="1"/>
  <c r="AW52" i="10"/>
  <c r="AW67" i="10" s="1"/>
  <c r="J780" i="10" s="1"/>
  <c r="AV52" i="10"/>
  <c r="AV67" i="10" s="1"/>
  <c r="J779" i="10" s="1"/>
  <c r="AE52" i="10"/>
  <c r="AE67" i="10" s="1"/>
  <c r="J762" i="10" s="1"/>
  <c r="BJ52" i="10"/>
  <c r="BJ67" i="10" s="1"/>
  <c r="J793" i="10" s="1"/>
  <c r="F816" i="10"/>
  <c r="C429" i="10"/>
  <c r="L815" i="10"/>
  <c r="U52" i="10"/>
  <c r="U67" i="10" s="1"/>
  <c r="J752" i="10" s="1"/>
  <c r="N817" i="10"/>
  <c r="D368" i="10"/>
  <c r="D373" i="10" s="1"/>
  <c r="D391" i="10" s="1"/>
  <c r="D393" i="10" s="1"/>
  <c r="D396" i="10" s="1"/>
  <c r="B465" i="10"/>
  <c r="E204" i="10"/>
  <c r="C476" i="10" s="1"/>
  <c r="BO52" i="10"/>
  <c r="BO67" i="10" s="1"/>
  <c r="J798" i="10" s="1"/>
  <c r="C52" i="10"/>
  <c r="BV52" i="10"/>
  <c r="BV67" i="10" s="1"/>
  <c r="J805" i="10" s="1"/>
  <c r="J52" i="10"/>
  <c r="J67" i="10" s="1"/>
  <c r="J741" i="10" s="1"/>
  <c r="AO52" i="10"/>
  <c r="AO67" i="10" s="1"/>
  <c r="J772" i="10" s="1"/>
  <c r="AN52" i="10"/>
  <c r="AN67" i="10" s="1"/>
  <c r="J771" i="10" s="1"/>
  <c r="W52" i="10"/>
  <c r="W67" i="10" s="1"/>
  <c r="J754" i="10" s="1"/>
  <c r="BB52" i="10"/>
  <c r="BB67" i="10" s="1"/>
  <c r="J785" i="10" s="1"/>
  <c r="BY52" i="10"/>
  <c r="BY67" i="10" s="1"/>
  <c r="J808" i="10" s="1"/>
  <c r="M52" i="10"/>
  <c r="M67" i="10" s="1"/>
  <c r="J744" i="10" s="1"/>
  <c r="D292" i="10"/>
  <c r="D341" i="10" s="1"/>
  <c r="C481" i="10" s="1"/>
  <c r="BG52" i="10"/>
  <c r="BG67" i="10" s="1"/>
  <c r="J790" i="10" s="1"/>
  <c r="BN52" i="10"/>
  <c r="BN67" i="10" s="1"/>
  <c r="J797" i="10" s="1"/>
  <c r="AG52" i="10"/>
  <c r="AG67" i="10" s="1"/>
  <c r="J764" i="10" s="1"/>
  <c r="AF52" i="10"/>
  <c r="AF67" i="10" s="1"/>
  <c r="J763" i="10" s="1"/>
  <c r="CA52" i="10"/>
  <c r="CA67" i="10" s="1"/>
  <c r="J810" i="10" s="1"/>
  <c r="O52" i="10"/>
  <c r="O67" i="10" s="1"/>
  <c r="J746" i="10" s="1"/>
  <c r="M816" i="10"/>
  <c r="C458" i="10"/>
  <c r="AT52" i="10"/>
  <c r="AT67" i="10" s="1"/>
  <c r="J777" i="10" s="1"/>
  <c r="BQ52" i="10"/>
  <c r="BQ67" i="10" s="1"/>
  <c r="J800" i="10" s="1"/>
  <c r="H816" i="10"/>
  <c r="C431" i="10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B52" i="10"/>
  <c r="AB67" i="10" s="1"/>
  <c r="J759" i="10" s="1"/>
  <c r="L52" i="10"/>
  <c r="L67" i="10" s="1"/>
  <c r="J743" i="10" s="1"/>
  <c r="AJ52" i="10"/>
  <c r="AJ67" i="10" s="1"/>
  <c r="J767" i="10" s="1"/>
  <c r="D52" i="10"/>
  <c r="D67" i="10" s="1"/>
  <c r="J735" i="10" s="1"/>
  <c r="T52" i="10"/>
  <c r="T67" i="10" s="1"/>
  <c r="J751" i="10" s="1"/>
  <c r="AQ52" i="10"/>
  <c r="AQ67" i="10" s="1"/>
  <c r="J774" i="10" s="1"/>
  <c r="AX52" i="10"/>
  <c r="AX67" i="10" s="1"/>
  <c r="J781" i="10" s="1"/>
  <c r="CC52" i="10"/>
  <c r="CC67" i="10" s="1"/>
  <c r="J812" i="10" s="1"/>
  <c r="Q52" i="10"/>
  <c r="Q67" i="10" s="1"/>
  <c r="J748" i="10" s="1"/>
  <c r="CB52" i="10"/>
  <c r="CB67" i="10" s="1"/>
  <c r="J811" i="10" s="1"/>
  <c r="P52" i="10"/>
  <c r="P67" i="10" s="1"/>
  <c r="J747" i="10" s="1"/>
  <c r="BK52" i="10"/>
  <c r="BK67" i="10" s="1"/>
  <c r="J794" i="10" s="1"/>
  <c r="I816" i="10"/>
  <c r="C432" i="10"/>
  <c r="AD52" i="10"/>
  <c r="AD67" i="10" s="1"/>
  <c r="J761" i="10" s="1"/>
  <c r="BA52" i="10"/>
  <c r="BA67" i="10" s="1"/>
  <c r="J784" i="10" s="1"/>
  <c r="E811" i="10" l="1"/>
  <c r="CB71" i="10"/>
  <c r="E773" i="10"/>
  <c r="AP71" i="10"/>
  <c r="E800" i="10"/>
  <c r="BQ71" i="10"/>
  <c r="E794" i="10"/>
  <c r="BK71" i="10"/>
  <c r="E774" i="10"/>
  <c r="AQ71" i="10"/>
  <c r="E745" i="10"/>
  <c r="N71" i="10"/>
  <c r="E809" i="10"/>
  <c r="BZ71" i="10"/>
  <c r="E755" i="10"/>
  <c r="X71" i="10"/>
  <c r="E744" i="10"/>
  <c r="M71" i="10"/>
  <c r="E796" i="10"/>
  <c r="BM71" i="10"/>
  <c r="E781" i="10"/>
  <c r="AX71" i="10"/>
  <c r="E738" i="10"/>
  <c r="G71" i="10"/>
  <c r="E802" i="10"/>
  <c r="BS71" i="10"/>
  <c r="E782" i="10"/>
  <c r="AY71" i="10"/>
  <c r="E767" i="10"/>
  <c r="AJ71" i="10"/>
  <c r="E753" i="10"/>
  <c r="V71" i="10"/>
  <c r="E748" i="10"/>
  <c r="Q71" i="10"/>
  <c r="E804" i="10"/>
  <c r="BU71" i="10"/>
  <c r="E789" i="10"/>
  <c r="BF71" i="10"/>
  <c r="E746" i="10"/>
  <c r="O71" i="10"/>
  <c r="E810" i="10"/>
  <c r="CA71" i="10"/>
  <c r="E790" i="10"/>
  <c r="BG71" i="10"/>
  <c r="E775" i="10"/>
  <c r="AR71" i="10"/>
  <c r="E761" i="10"/>
  <c r="AD71" i="10"/>
  <c r="E760" i="10"/>
  <c r="AC71" i="10"/>
  <c r="E771" i="10"/>
  <c r="AN71" i="10"/>
  <c r="E772" i="10"/>
  <c r="AO71" i="10"/>
  <c r="E812" i="10"/>
  <c r="CC71" i="10"/>
  <c r="E797" i="10"/>
  <c r="BN71" i="10"/>
  <c r="E754" i="10"/>
  <c r="W71" i="10"/>
  <c r="CE48" i="10"/>
  <c r="C62" i="10"/>
  <c r="E798" i="10"/>
  <c r="BO71" i="10"/>
  <c r="E783" i="10"/>
  <c r="AZ71" i="10"/>
  <c r="E769" i="10"/>
  <c r="AL71" i="10"/>
  <c r="E747" i="10"/>
  <c r="P71" i="10"/>
  <c r="E763" i="10"/>
  <c r="AF71" i="10"/>
  <c r="E776" i="10"/>
  <c r="AS71" i="10"/>
  <c r="E741" i="10"/>
  <c r="J71" i="10"/>
  <c r="E742" i="10"/>
  <c r="K71" i="10"/>
  <c r="E791" i="10"/>
  <c r="BH71" i="10"/>
  <c r="E792" i="10"/>
  <c r="BI71" i="10"/>
  <c r="E787" i="10"/>
  <c r="BD71" i="10"/>
  <c r="E756" i="10"/>
  <c r="Y71" i="10"/>
  <c r="E749" i="10"/>
  <c r="R71" i="10"/>
  <c r="E752" i="10"/>
  <c r="U71" i="10"/>
  <c r="E770" i="10"/>
  <c r="AM71" i="10"/>
  <c r="E750" i="10"/>
  <c r="S71" i="10"/>
  <c r="E735" i="10"/>
  <c r="D71" i="10"/>
  <c r="E799" i="10"/>
  <c r="BP71" i="10"/>
  <c r="E785" i="10"/>
  <c r="BB71" i="10"/>
  <c r="E740" i="10"/>
  <c r="I71" i="10"/>
  <c r="E762" i="10"/>
  <c r="AE71" i="10"/>
  <c r="E808" i="10"/>
  <c r="BY71" i="10"/>
  <c r="E795" i="10"/>
  <c r="BL71" i="10"/>
  <c r="E764" i="10"/>
  <c r="AG71" i="10"/>
  <c r="E757" i="10"/>
  <c r="Z71" i="10"/>
  <c r="E768" i="10"/>
  <c r="AK71" i="10"/>
  <c r="E778" i="10"/>
  <c r="AU71" i="10"/>
  <c r="E758" i="10"/>
  <c r="AA71" i="10"/>
  <c r="E743" i="10"/>
  <c r="L71" i="10"/>
  <c r="E807" i="10"/>
  <c r="BX71" i="10"/>
  <c r="E793" i="10"/>
  <c r="BJ71" i="10"/>
  <c r="E736" i="10"/>
  <c r="E71" i="10"/>
  <c r="E779" i="10"/>
  <c r="AV71" i="10"/>
  <c r="E805" i="10"/>
  <c r="BV71" i="10"/>
  <c r="E806" i="10"/>
  <c r="BW71" i="10"/>
  <c r="E777" i="10"/>
  <c r="AT71" i="10"/>
  <c r="CE52" i="10"/>
  <c r="C67" i="10"/>
  <c r="E739" i="10"/>
  <c r="H71" i="10"/>
  <c r="E803" i="10"/>
  <c r="BT71" i="10"/>
  <c r="E780" i="10"/>
  <c r="AW71" i="10"/>
  <c r="E765" i="10"/>
  <c r="AH71" i="10"/>
  <c r="E784" i="10"/>
  <c r="BA71" i="10"/>
  <c r="E786" i="10"/>
  <c r="BC71" i="10"/>
  <c r="E766" i="10"/>
  <c r="AI71" i="10"/>
  <c r="E751" i="10"/>
  <c r="T71" i="10"/>
  <c r="E737" i="10"/>
  <c r="F71" i="10"/>
  <c r="E801" i="10"/>
  <c r="BR71" i="10"/>
  <c r="N816" i="10"/>
  <c r="C465" i="10"/>
  <c r="K612" i="10"/>
  <c r="E788" i="10"/>
  <c r="BE71" i="10"/>
  <c r="E759" i="10"/>
  <c r="AB71" i="10"/>
  <c r="C685" i="10" l="1"/>
  <c r="C513" i="10"/>
  <c r="G513" i="10" s="1"/>
  <c r="C713" i="10"/>
  <c r="C541" i="10"/>
  <c r="C497" i="10"/>
  <c r="G497" i="10" s="1"/>
  <c r="C669" i="10"/>
  <c r="C697" i="10"/>
  <c r="C525" i="10"/>
  <c r="G525" i="10" s="1"/>
  <c r="C695" i="10"/>
  <c r="C523" i="10"/>
  <c r="G523" i="10" s="1"/>
  <c r="C517" i="10"/>
  <c r="C689" i="10"/>
  <c r="C711" i="10"/>
  <c r="C539" i="10"/>
  <c r="G539" i="10" s="1"/>
  <c r="C670" i="10"/>
  <c r="C498" i="10"/>
  <c r="C692" i="10"/>
  <c r="C520" i="10"/>
  <c r="C698" i="10"/>
  <c r="C526" i="10"/>
  <c r="C674" i="10"/>
  <c r="C502" i="10"/>
  <c r="G502" i="10" s="1"/>
  <c r="C684" i="10"/>
  <c r="C512" i="10"/>
  <c r="C690" i="10"/>
  <c r="C518" i="10"/>
  <c r="C676" i="10"/>
  <c r="C504" i="10"/>
  <c r="G504" i="10" s="1"/>
  <c r="C681" i="10"/>
  <c r="C509" i="10"/>
  <c r="E734" i="10"/>
  <c r="E815" i="10" s="1"/>
  <c r="CE62" i="10"/>
  <c r="C71" i="10"/>
  <c r="C706" i="10"/>
  <c r="C534" i="10"/>
  <c r="G534" i="10" s="1"/>
  <c r="C709" i="10"/>
  <c r="C537" i="10"/>
  <c r="G537" i="10" s="1"/>
  <c r="C629" i="10"/>
  <c r="C551" i="10"/>
  <c r="C527" i="10"/>
  <c r="G527" i="10" s="1"/>
  <c r="C699" i="10"/>
  <c r="C691" i="10"/>
  <c r="C519" i="10"/>
  <c r="C553" i="10"/>
  <c r="C636" i="10"/>
  <c r="C560" i="10"/>
  <c r="C627" i="10"/>
  <c r="C680" i="10"/>
  <c r="C508" i="10"/>
  <c r="C672" i="10"/>
  <c r="C500" i="10"/>
  <c r="G500" i="10" s="1"/>
  <c r="C542" i="10"/>
  <c r="C631" i="10"/>
  <c r="C701" i="10"/>
  <c r="C529" i="10"/>
  <c r="C543" i="10"/>
  <c r="C616" i="10"/>
  <c r="C646" i="10"/>
  <c r="C571" i="10"/>
  <c r="C623" i="10"/>
  <c r="C562" i="10"/>
  <c r="J734" i="10"/>
  <c r="J815" i="10" s="1"/>
  <c r="CE67" i="10"/>
  <c r="C677" i="10"/>
  <c r="C505" i="10"/>
  <c r="G505" i="10" s="1"/>
  <c r="C683" i="10"/>
  <c r="C511" i="10"/>
  <c r="C574" i="10"/>
  <c r="C620" i="10"/>
  <c r="C556" i="10"/>
  <c r="C635" i="10"/>
  <c r="C626" i="10"/>
  <c r="C563" i="10"/>
  <c r="C633" i="10"/>
  <c r="C548" i="10"/>
  <c r="C640" i="10"/>
  <c r="C565" i="10"/>
  <c r="C568" i="10"/>
  <c r="C643" i="10"/>
  <c r="C617" i="10"/>
  <c r="C555" i="10"/>
  <c r="C712" i="10"/>
  <c r="C540" i="10"/>
  <c r="G540" i="10" s="1"/>
  <c r="C637" i="10"/>
  <c r="C557" i="10"/>
  <c r="C547" i="10"/>
  <c r="C632" i="10"/>
  <c r="C704" i="10"/>
  <c r="C532" i="10"/>
  <c r="G532" i="10" s="1"/>
  <c r="C624" i="10"/>
  <c r="C549" i="10"/>
  <c r="C675" i="10"/>
  <c r="C503" i="10"/>
  <c r="C703" i="10"/>
  <c r="C531" i="10"/>
  <c r="C688" i="10"/>
  <c r="C516" i="10"/>
  <c r="C705" i="10"/>
  <c r="C533" i="10"/>
  <c r="G533" i="10" s="1"/>
  <c r="C552" i="10"/>
  <c r="C618" i="10"/>
  <c r="C566" i="10"/>
  <c r="C641" i="10"/>
  <c r="C524" i="10"/>
  <c r="C696" i="10"/>
  <c r="C687" i="10"/>
  <c r="C515" i="10"/>
  <c r="G515" i="10" s="1"/>
  <c r="C700" i="10"/>
  <c r="C528" i="10"/>
  <c r="C693" i="10"/>
  <c r="C521" i="10"/>
  <c r="C625" i="10"/>
  <c r="C544" i="10"/>
  <c r="C558" i="10"/>
  <c r="C638" i="10"/>
  <c r="C679" i="10"/>
  <c r="C507" i="10"/>
  <c r="G507" i="10" s="1"/>
  <c r="C707" i="10"/>
  <c r="C535" i="10"/>
  <c r="G535" i="10" s="1"/>
  <c r="C671" i="10"/>
  <c r="C499" i="10"/>
  <c r="G499" i="10" s="1"/>
  <c r="C630" i="10"/>
  <c r="C546" i="10"/>
  <c r="C673" i="10"/>
  <c r="C501" i="10"/>
  <c r="G501" i="10" s="1"/>
  <c r="C642" i="10"/>
  <c r="C567" i="10"/>
  <c r="C644" i="10"/>
  <c r="C569" i="10"/>
  <c r="C530" i="10"/>
  <c r="C702" i="10"/>
  <c r="C645" i="10"/>
  <c r="C570" i="10"/>
  <c r="C561" i="10"/>
  <c r="C621" i="10"/>
  <c r="C686" i="10"/>
  <c r="C514" i="10"/>
  <c r="C634" i="10"/>
  <c r="C554" i="10"/>
  <c r="C710" i="10"/>
  <c r="C538" i="10"/>
  <c r="G538" i="10" s="1"/>
  <c r="C628" i="10"/>
  <c r="C545" i="10"/>
  <c r="C619" i="10"/>
  <c r="C559" i="10"/>
  <c r="C694" i="10"/>
  <c r="C522" i="10"/>
  <c r="C647" i="10"/>
  <c r="C572" i="10"/>
  <c r="C682" i="10"/>
  <c r="C510" i="10"/>
  <c r="C614" i="10"/>
  <c r="C550" i="10"/>
  <c r="C564" i="10"/>
  <c r="C639" i="10"/>
  <c r="C678" i="10"/>
  <c r="C506" i="10"/>
  <c r="G506" i="10" s="1"/>
  <c r="C536" i="10"/>
  <c r="G536" i="10" s="1"/>
  <c r="C708" i="10"/>
  <c r="C622" i="10"/>
  <c r="C573" i="10"/>
  <c r="G550" i="10" l="1"/>
  <c r="H550" i="10"/>
  <c r="C648" i="10"/>
  <c r="M716" i="10" s="1"/>
  <c r="Y816" i="10" s="1"/>
  <c r="D615" i="10"/>
  <c r="G512" i="10"/>
  <c r="H512" i="10"/>
  <c r="G498" i="10"/>
  <c r="H498" i="10" s="1"/>
  <c r="G545" i="10"/>
  <c r="H545" i="10" s="1"/>
  <c r="G521" i="10"/>
  <c r="H521" i="10"/>
  <c r="G531" i="10"/>
  <c r="H531" i="10"/>
  <c r="J816" i="10"/>
  <c r="C433" i="10"/>
  <c r="G529" i="10"/>
  <c r="H529" i="10"/>
  <c r="G514" i="10"/>
  <c r="H514" i="10" s="1"/>
  <c r="H516" i="10"/>
  <c r="G516" i="10"/>
  <c r="C668" i="10"/>
  <c r="C715" i="10" s="1"/>
  <c r="C496" i="10"/>
  <c r="G496" i="10" s="1"/>
  <c r="E816" i="10"/>
  <c r="C428" i="10"/>
  <c r="C441" i="10" s="1"/>
  <c r="CE71" i="10"/>
  <c r="C716" i="10" s="1"/>
  <c r="G510" i="10"/>
  <c r="H510" i="10"/>
  <c r="G509" i="10"/>
  <c r="H509" i="10"/>
  <c r="G524" i="10"/>
  <c r="H524" i="10"/>
  <c r="G528" i="10"/>
  <c r="H528" i="10"/>
  <c r="G526" i="10"/>
  <c r="H526" i="10" s="1"/>
  <c r="G503" i="10"/>
  <c r="H503" i="10"/>
  <c r="G522" i="10"/>
  <c r="H522" i="10" s="1"/>
  <c r="G546" i="10"/>
  <c r="H546" i="10"/>
  <c r="G511" i="10"/>
  <c r="H511" i="10" s="1"/>
  <c r="G519" i="10"/>
  <c r="H519" i="10" s="1"/>
  <c r="G517" i="10"/>
  <c r="H517" i="10"/>
  <c r="G544" i="10"/>
  <c r="H544" i="10" s="1"/>
  <c r="H508" i="10"/>
  <c r="G508" i="10"/>
  <c r="H530" i="10"/>
  <c r="G530" i="10"/>
  <c r="G518" i="10"/>
  <c r="H518" i="10"/>
  <c r="G520" i="10"/>
  <c r="H520" i="10" s="1"/>
  <c r="D706" i="10" l="1"/>
  <c r="D711" i="10"/>
  <c r="D703" i="10"/>
  <c r="D708" i="10"/>
  <c r="D700" i="10"/>
  <c r="D710" i="10"/>
  <c r="D709" i="10"/>
  <c r="D695" i="10"/>
  <c r="D687" i="10"/>
  <c r="D679" i="10"/>
  <c r="D671" i="10"/>
  <c r="D702" i="10"/>
  <c r="D692" i="10"/>
  <c r="D684" i="10"/>
  <c r="D676" i="10"/>
  <c r="D691" i="10"/>
  <c r="D683" i="10"/>
  <c r="D675" i="10"/>
  <c r="D644" i="10"/>
  <c r="D643" i="10"/>
  <c r="D642" i="10"/>
  <c r="D716" i="10"/>
  <c r="D713" i="10"/>
  <c r="D699" i="10"/>
  <c r="D688" i="10"/>
  <c r="D681" i="10"/>
  <c r="D690" i="10"/>
  <c r="D668" i="10"/>
  <c r="D646" i="10"/>
  <c r="D625" i="10"/>
  <c r="D677" i="10"/>
  <c r="D647" i="10"/>
  <c r="D628" i="10"/>
  <c r="D622" i="10"/>
  <c r="D618" i="10"/>
  <c r="D712" i="10"/>
  <c r="D685" i="10"/>
  <c r="D678" i="10"/>
  <c r="D701" i="10"/>
  <c r="D698" i="10"/>
  <c r="D693" i="10"/>
  <c r="D686" i="10"/>
  <c r="D637" i="10"/>
  <c r="D617" i="10"/>
  <c r="D704" i="10"/>
  <c r="D673" i="10"/>
  <c r="D670" i="10"/>
  <c r="D640" i="10"/>
  <c r="D632" i="10"/>
  <c r="D626" i="10"/>
  <c r="D635" i="10"/>
  <c r="D623" i="10"/>
  <c r="D616" i="10"/>
  <c r="D697" i="10"/>
  <c r="D645" i="10"/>
  <c r="D638" i="10"/>
  <c r="D630" i="10"/>
  <c r="D621" i="10"/>
  <c r="D707" i="10"/>
  <c r="D641" i="10"/>
  <c r="D633" i="10"/>
  <c r="D694" i="10"/>
  <c r="D680" i="10"/>
  <c r="D674" i="10"/>
  <c r="D636" i="10"/>
  <c r="D620" i="10"/>
  <c r="D705" i="10"/>
  <c r="D682" i="10"/>
  <c r="D634" i="10"/>
  <c r="D629" i="10"/>
  <c r="D627" i="10"/>
  <c r="D624" i="10"/>
  <c r="D619" i="10"/>
  <c r="D669" i="10"/>
  <c r="D696" i="10"/>
  <c r="D631" i="10"/>
  <c r="D689" i="10"/>
  <c r="D672" i="10"/>
  <c r="D639" i="10"/>
  <c r="E612" i="10" l="1"/>
  <c r="D715" i="10"/>
  <c r="E623" i="10"/>
  <c r="E711" i="10" l="1"/>
  <c r="E708" i="10"/>
  <c r="E700" i="10"/>
  <c r="E713" i="10"/>
  <c r="E705" i="10"/>
  <c r="E697" i="10"/>
  <c r="E702" i="10"/>
  <c r="E692" i="10"/>
  <c r="E684" i="10"/>
  <c r="E676" i="10"/>
  <c r="E704" i="10"/>
  <c r="E703" i="10"/>
  <c r="E701" i="10"/>
  <c r="E699" i="10"/>
  <c r="E689" i="10"/>
  <c r="E681" i="10"/>
  <c r="E707" i="10"/>
  <c r="E706" i="10"/>
  <c r="E696" i="10"/>
  <c r="E688" i="10"/>
  <c r="E680" i="10"/>
  <c r="E672" i="10"/>
  <c r="E695" i="10"/>
  <c r="E691" i="10"/>
  <c r="E677" i="10"/>
  <c r="E647" i="10"/>
  <c r="E628" i="10"/>
  <c r="E712" i="10"/>
  <c r="E685" i="10"/>
  <c r="E678" i="10"/>
  <c r="E710" i="10"/>
  <c r="E698" i="10"/>
  <c r="E693" i="10"/>
  <c r="E686" i="10"/>
  <c r="E629" i="10"/>
  <c r="E626" i="10"/>
  <c r="E679" i="10"/>
  <c r="E675" i="10"/>
  <c r="E673" i="10"/>
  <c r="E670" i="10"/>
  <c r="E640" i="10"/>
  <c r="E632" i="10"/>
  <c r="E709" i="10"/>
  <c r="E635" i="10"/>
  <c r="E645" i="10"/>
  <c r="E638" i="10"/>
  <c r="E630" i="10"/>
  <c r="E690" i="10"/>
  <c r="E683" i="10"/>
  <c r="E671" i="10"/>
  <c r="E643" i="10"/>
  <c r="E641" i="10"/>
  <c r="E633" i="10"/>
  <c r="E694" i="10"/>
  <c r="E674" i="10"/>
  <c r="E668" i="10"/>
  <c r="E636" i="10"/>
  <c r="E687" i="10"/>
  <c r="E669" i="10"/>
  <c r="E639" i="10"/>
  <c r="E631" i="10"/>
  <c r="E625" i="10"/>
  <c r="E716" i="10"/>
  <c r="E644" i="10"/>
  <c r="E642" i="10"/>
  <c r="E637" i="10"/>
  <c r="E682" i="10"/>
  <c r="E634" i="10"/>
  <c r="E646" i="10"/>
  <c r="E627" i="10"/>
  <c r="E624" i="10"/>
  <c r="E715" i="10" l="1"/>
  <c r="F624" i="10"/>
  <c r="F708" i="10" l="1"/>
  <c r="F713" i="10"/>
  <c r="F705" i="10"/>
  <c r="F697" i="10"/>
  <c r="F710" i="10"/>
  <c r="F702" i="10"/>
  <c r="F704" i="10"/>
  <c r="F703" i="10"/>
  <c r="F701" i="10"/>
  <c r="F699" i="10"/>
  <c r="F689" i="10"/>
  <c r="F681" i="10"/>
  <c r="F673" i="10"/>
  <c r="F712" i="10"/>
  <c r="F711" i="10"/>
  <c r="F700" i="10"/>
  <c r="F698" i="10"/>
  <c r="F694" i="10"/>
  <c r="F686" i="10"/>
  <c r="F678" i="10"/>
  <c r="F716" i="10"/>
  <c r="F693" i="10"/>
  <c r="F685" i="10"/>
  <c r="F677" i="10"/>
  <c r="F669" i="10"/>
  <c r="F696" i="10"/>
  <c r="F682" i="10"/>
  <c r="F709" i="10"/>
  <c r="F707" i="10"/>
  <c r="F684" i="10"/>
  <c r="F692" i="10"/>
  <c r="F629" i="10"/>
  <c r="F626" i="10"/>
  <c r="F679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95" i="10"/>
  <c r="F688" i="10"/>
  <c r="F647" i="10"/>
  <c r="F645" i="10"/>
  <c r="F690" i="10"/>
  <c r="F683" i="10"/>
  <c r="F671" i="10"/>
  <c r="F643" i="10"/>
  <c r="F674" i="10"/>
  <c r="F668" i="10"/>
  <c r="F628" i="10"/>
  <c r="F687" i="10"/>
  <c r="F680" i="10"/>
  <c r="F676" i="10"/>
  <c r="F625" i="10"/>
  <c r="F706" i="10"/>
  <c r="F672" i="10"/>
  <c r="F646" i="10"/>
  <c r="F627" i="10"/>
  <c r="F691" i="10"/>
  <c r="F675" i="10"/>
  <c r="F670" i="10"/>
  <c r="F644" i="10"/>
  <c r="F642" i="10"/>
  <c r="F715" i="10" l="1"/>
  <c r="G625" i="10"/>
  <c r="G713" i="10" l="1"/>
  <c r="G705" i="10"/>
  <c r="G710" i="10"/>
  <c r="G702" i="10"/>
  <c r="G716" i="10"/>
  <c r="G707" i="10"/>
  <c r="G699" i="10"/>
  <c r="G712" i="10"/>
  <c r="G711" i="10"/>
  <c r="G700" i="10"/>
  <c r="G698" i="10"/>
  <c r="G694" i="10"/>
  <c r="G686" i="10"/>
  <c r="G678" i="10"/>
  <c r="G670" i="10"/>
  <c r="G697" i="10"/>
  <c r="G691" i="10"/>
  <c r="G683" i="10"/>
  <c r="G675" i="10"/>
  <c r="G690" i="10"/>
  <c r="G682" i="10"/>
  <c r="G674" i="10"/>
  <c r="G709" i="10"/>
  <c r="G689" i="10"/>
  <c r="G703" i="10"/>
  <c r="G692" i="10"/>
  <c r="G685" i="10"/>
  <c r="G629" i="10"/>
  <c r="G626" i="10"/>
  <c r="G693" i="10"/>
  <c r="G679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8" i="10"/>
  <c r="G706" i="10"/>
  <c r="G701" i="10"/>
  <c r="G687" i="10"/>
  <c r="G680" i="10"/>
  <c r="G642" i="10"/>
  <c r="G704" i="10"/>
  <c r="G695" i="10"/>
  <c r="G688" i="10"/>
  <c r="G647" i="10"/>
  <c r="G645" i="10"/>
  <c r="G681" i="10"/>
  <c r="G671" i="10"/>
  <c r="G643" i="10"/>
  <c r="G668" i="10"/>
  <c r="G628" i="10"/>
  <c r="G676" i="10"/>
  <c r="G672" i="10"/>
  <c r="G669" i="10"/>
  <c r="G646" i="10"/>
  <c r="G627" i="10"/>
  <c r="G696" i="10"/>
  <c r="G644" i="10"/>
  <c r="G684" i="10"/>
  <c r="G677" i="10"/>
  <c r="G673" i="10"/>
  <c r="G715" i="10" l="1"/>
  <c r="H628" i="10"/>
  <c r="H710" i="10" l="1"/>
  <c r="H716" i="10"/>
  <c r="H707" i="10"/>
  <c r="H699" i="10"/>
  <c r="H712" i="10"/>
  <c r="H704" i="10"/>
  <c r="H697" i="10"/>
  <c r="H691" i="10"/>
  <c r="H683" i="10"/>
  <c r="H675" i="10"/>
  <c r="H706" i="10"/>
  <c r="H705" i="10"/>
  <c r="H696" i="10"/>
  <c r="H688" i="10"/>
  <c r="H680" i="10"/>
  <c r="H709" i="10"/>
  <c r="H708" i="10"/>
  <c r="H695" i="10"/>
  <c r="H687" i="10"/>
  <c r="H679" i="10"/>
  <c r="H671" i="10"/>
  <c r="H711" i="10"/>
  <c r="H702" i="10"/>
  <c r="H690" i="10"/>
  <c r="H693" i="10"/>
  <c r="H678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98" i="10"/>
  <c r="H686" i="10"/>
  <c r="H642" i="10"/>
  <c r="H694" i="10"/>
  <c r="H673" i="10"/>
  <c r="H672" i="10"/>
  <c r="H643" i="10"/>
  <c r="H681" i="10"/>
  <c r="H668" i="10"/>
  <c r="H713" i="10"/>
  <c r="H676" i="10"/>
  <c r="H674" i="10"/>
  <c r="H703" i="10"/>
  <c r="H700" i="10"/>
  <c r="H692" i="10"/>
  <c r="H685" i="10"/>
  <c r="H669" i="10"/>
  <c r="H646" i="10"/>
  <c r="H644" i="10"/>
  <c r="H689" i="10"/>
  <c r="H682" i="10"/>
  <c r="H647" i="10"/>
  <c r="H645" i="10"/>
  <c r="H684" i="10"/>
  <c r="H677" i="10"/>
  <c r="H629" i="10"/>
  <c r="H670" i="10"/>
  <c r="H715" i="10" l="1"/>
  <c r="I629" i="10"/>
  <c r="I716" i="10" l="1"/>
  <c r="I707" i="10"/>
  <c r="I712" i="10"/>
  <c r="I704" i="10"/>
  <c r="I709" i="10"/>
  <c r="I701" i="10"/>
  <c r="I706" i="10"/>
  <c r="I705" i="10"/>
  <c r="I696" i="10"/>
  <c r="I688" i="10"/>
  <c r="I680" i="10"/>
  <c r="I672" i="10"/>
  <c r="I713" i="10"/>
  <c r="I693" i="10"/>
  <c r="I685" i="10"/>
  <c r="I677" i="10"/>
  <c r="I692" i="10"/>
  <c r="I684" i="10"/>
  <c r="I676" i="10"/>
  <c r="I668" i="10"/>
  <c r="I683" i="10"/>
  <c r="I698" i="10"/>
  <c r="I686" i="10"/>
  <c r="I679" i="10"/>
  <c r="I642" i="10"/>
  <c r="I710" i="10"/>
  <c r="I708" i="10"/>
  <c r="I694" i="10"/>
  <c r="I687" i="10"/>
  <c r="I673" i="10"/>
  <c r="I643" i="10"/>
  <c r="I695" i="10"/>
  <c r="I681" i="10"/>
  <c r="I674" i="10"/>
  <c r="I671" i="10"/>
  <c r="I670" i="10"/>
  <c r="I669" i="10"/>
  <c r="I645" i="10"/>
  <c r="I644" i="10"/>
  <c r="I635" i="10"/>
  <c r="I690" i="10"/>
  <c r="I638" i="10"/>
  <c r="I630" i="10"/>
  <c r="I703" i="10"/>
  <c r="I700" i="10"/>
  <c r="I697" i="10"/>
  <c r="I646" i="10"/>
  <c r="I641" i="10"/>
  <c r="I633" i="10"/>
  <c r="I678" i="10"/>
  <c r="I636" i="10"/>
  <c r="I689" i="10"/>
  <c r="I682" i="10"/>
  <c r="I639" i="10"/>
  <c r="I631" i="10"/>
  <c r="I711" i="10"/>
  <c r="I702" i="10"/>
  <c r="I699" i="10"/>
  <c r="I634" i="10"/>
  <c r="I640" i="10"/>
  <c r="I632" i="10"/>
  <c r="I647" i="10"/>
  <c r="I675" i="10"/>
  <c r="I691" i="10"/>
  <c r="I637" i="10"/>
  <c r="I715" i="10" l="1"/>
  <c r="J630" i="10"/>
  <c r="J712" i="10" l="1"/>
  <c r="J704" i="10"/>
  <c r="J709" i="10"/>
  <c r="J701" i="10"/>
  <c r="J706" i="10"/>
  <c r="J698" i="10"/>
  <c r="J713" i="10"/>
  <c r="J693" i="10"/>
  <c r="J685" i="10"/>
  <c r="J677" i="10"/>
  <c r="J669" i="10"/>
  <c r="J690" i="10"/>
  <c r="J682" i="10"/>
  <c r="J674" i="10"/>
  <c r="J703" i="10"/>
  <c r="J689" i="10"/>
  <c r="J681" i="10"/>
  <c r="J673" i="10"/>
  <c r="J707" i="10"/>
  <c r="J700" i="10"/>
  <c r="J697" i="10"/>
  <c r="J691" i="10"/>
  <c r="J684" i="10"/>
  <c r="J705" i="10"/>
  <c r="J710" i="10"/>
  <c r="J708" i="10"/>
  <c r="J694" i="10"/>
  <c r="J687" i="10"/>
  <c r="J643" i="10"/>
  <c r="J695" i="10"/>
  <c r="J680" i="10"/>
  <c r="J672" i="10"/>
  <c r="J671" i="10"/>
  <c r="J670" i="10"/>
  <c r="J645" i="10"/>
  <c r="J644" i="10"/>
  <c r="J688" i="10"/>
  <c r="J646" i="10"/>
  <c r="J668" i="10"/>
  <c r="J638" i="10"/>
  <c r="J683" i="10"/>
  <c r="J676" i="10"/>
  <c r="J641" i="10"/>
  <c r="J633" i="10"/>
  <c r="J692" i="10"/>
  <c r="J678" i="10"/>
  <c r="J636" i="10"/>
  <c r="J639" i="10"/>
  <c r="J631" i="10"/>
  <c r="J711" i="10"/>
  <c r="J702" i="10"/>
  <c r="J699" i="10"/>
  <c r="J696" i="10"/>
  <c r="J634" i="10"/>
  <c r="J675" i="10"/>
  <c r="J647" i="10"/>
  <c r="L647" i="10" s="1"/>
  <c r="J642" i="10"/>
  <c r="J637" i="10"/>
  <c r="J686" i="10"/>
  <c r="J679" i="10"/>
  <c r="J635" i="10"/>
  <c r="J632" i="10"/>
  <c r="J640" i="10"/>
  <c r="J716" i="10"/>
  <c r="L706" i="10" l="1"/>
  <c r="L711" i="10"/>
  <c r="L703" i="10"/>
  <c r="L708" i="10"/>
  <c r="L700" i="10"/>
  <c r="L707" i="10"/>
  <c r="L695" i="10"/>
  <c r="L687" i="10"/>
  <c r="L679" i="10"/>
  <c r="L671" i="10"/>
  <c r="L716" i="10"/>
  <c r="L692" i="10"/>
  <c r="L684" i="10"/>
  <c r="L676" i="10"/>
  <c r="L701" i="10"/>
  <c r="L699" i="10"/>
  <c r="L697" i="10"/>
  <c r="L691" i="10"/>
  <c r="L683" i="10"/>
  <c r="L675" i="10"/>
  <c r="L685" i="10"/>
  <c r="L678" i="10"/>
  <c r="L688" i="10"/>
  <c r="L681" i="10"/>
  <c r="L670" i="10"/>
  <c r="L669" i="10"/>
  <c r="L704" i="10"/>
  <c r="L696" i="10"/>
  <c r="L689" i="10"/>
  <c r="L674" i="10"/>
  <c r="L668" i="10"/>
  <c r="L713" i="10"/>
  <c r="L702" i="10"/>
  <c r="L682" i="10"/>
  <c r="L709" i="10"/>
  <c r="L690" i="10"/>
  <c r="L712" i="10"/>
  <c r="L694" i="10"/>
  <c r="L680" i="10"/>
  <c r="L672" i="10"/>
  <c r="L677" i="10"/>
  <c r="L698" i="10"/>
  <c r="L705" i="10"/>
  <c r="L693" i="10"/>
  <c r="L673" i="10"/>
  <c r="L710" i="10"/>
  <c r="L686" i="10"/>
  <c r="K644" i="10"/>
  <c r="J715" i="10"/>
  <c r="L715" i="10" l="1"/>
  <c r="K709" i="10"/>
  <c r="M709" i="10" s="1"/>
  <c r="Y775" i="10" s="1"/>
  <c r="K706" i="10"/>
  <c r="K698" i="10"/>
  <c r="K711" i="10"/>
  <c r="K703" i="10"/>
  <c r="K690" i="10"/>
  <c r="M690" i="10" s="1"/>
  <c r="Y756" i="10" s="1"/>
  <c r="K682" i="10"/>
  <c r="M682" i="10" s="1"/>
  <c r="Y748" i="10" s="1"/>
  <c r="K674" i="10"/>
  <c r="M674" i="10" s="1"/>
  <c r="Y740" i="10" s="1"/>
  <c r="K708" i="10"/>
  <c r="M708" i="10" s="1"/>
  <c r="Y774" i="10" s="1"/>
  <c r="K707" i="10"/>
  <c r="M707" i="10" s="1"/>
  <c r="Y773" i="10" s="1"/>
  <c r="K695" i="10"/>
  <c r="M695" i="10" s="1"/>
  <c r="Y761" i="10" s="1"/>
  <c r="K687" i="10"/>
  <c r="M687" i="10" s="1"/>
  <c r="Y753" i="10" s="1"/>
  <c r="K679" i="10"/>
  <c r="K710" i="10"/>
  <c r="M710" i="10" s="1"/>
  <c r="Y776" i="10" s="1"/>
  <c r="K702" i="10"/>
  <c r="M702" i="10" s="1"/>
  <c r="Y768" i="10" s="1"/>
  <c r="K700" i="10"/>
  <c r="M700" i="10" s="1"/>
  <c r="Y766" i="10" s="1"/>
  <c r="K694" i="10"/>
  <c r="M694" i="10" s="1"/>
  <c r="Y760" i="10" s="1"/>
  <c r="K686" i="10"/>
  <c r="K678" i="10"/>
  <c r="M678" i="10" s="1"/>
  <c r="Y744" i="10" s="1"/>
  <c r="K670" i="10"/>
  <c r="K705" i="10"/>
  <c r="M705" i="10" s="1"/>
  <c r="Y771" i="10" s="1"/>
  <c r="K692" i="10"/>
  <c r="M692" i="10" s="1"/>
  <c r="Y758" i="10" s="1"/>
  <c r="K677" i="10"/>
  <c r="M677" i="10" s="1"/>
  <c r="Y743" i="10" s="1"/>
  <c r="K712" i="10"/>
  <c r="K701" i="10"/>
  <c r="M701" i="10" s="1"/>
  <c r="Y767" i="10" s="1"/>
  <c r="K680" i="10"/>
  <c r="K673" i="10"/>
  <c r="M673" i="10" s="1"/>
  <c r="Y739" i="10" s="1"/>
  <c r="K672" i="10"/>
  <c r="K671" i="10"/>
  <c r="M671" i="10" s="1"/>
  <c r="Y737" i="10" s="1"/>
  <c r="K688" i="10"/>
  <c r="M688" i="10" s="1"/>
  <c r="Y754" i="10" s="1"/>
  <c r="K681" i="10"/>
  <c r="M681" i="10" s="1"/>
  <c r="Y747" i="10" s="1"/>
  <c r="K669" i="10"/>
  <c r="M669" i="10" s="1"/>
  <c r="Y735" i="10" s="1"/>
  <c r="K716" i="10"/>
  <c r="K704" i="10"/>
  <c r="K699" i="10"/>
  <c r="M699" i="10" s="1"/>
  <c r="Y765" i="10" s="1"/>
  <c r="K696" i="10"/>
  <c r="M696" i="10" s="1"/>
  <c r="Y762" i="10" s="1"/>
  <c r="K689" i="10"/>
  <c r="M689" i="10" s="1"/>
  <c r="Y755" i="10" s="1"/>
  <c r="K675" i="10"/>
  <c r="M675" i="10" s="1"/>
  <c r="Y741" i="10" s="1"/>
  <c r="K668" i="10"/>
  <c r="M668" i="10" s="1"/>
  <c r="K683" i="10"/>
  <c r="M683" i="10" s="1"/>
  <c r="Y749" i="10" s="1"/>
  <c r="K676" i="10"/>
  <c r="M676" i="10" s="1"/>
  <c r="Y742" i="10" s="1"/>
  <c r="K713" i="10"/>
  <c r="K697" i="10"/>
  <c r="M697" i="10" s="1"/>
  <c r="Y763" i="10" s="1"/>
  <c r="K685" i="10"/>
  <c r="M685" i="10" s="1"/>
  <c r="Y751" i="10" s="1"/>
  <c r="K691" i="10"/>
  <c r="M691" i="10" s="1"/>
  <c r="Y757" i="10" s="1"/>
  <c r="K684" i="10"/>
  <c r="M684" i="10" s="1"/>
  <c r="Y750" i="10" s="1"/>
  <c r="K693" i="10"/>
  <c r="M693" i="10" s="1"/>
  <c r="Y759" i="10" s="1"/>
  <c r="M680" i="10"/>
  <c r="Y746" i="10" s="1"/>
  <c r="M712" i="10"/>
  <c r="Y778" i="10" s="1"/>
  <c r="M704" i="10"/>
  <c r="Y770" i="10" s="1"/>
  <c r="M703" i="10"/>
  <c r="Y769" i="10" s="1"/>
  <c r="M672" i="10"/>
  <c r="Y738" i="10" s="1"/>
  <c r="M698" i="10"/>
  <c r="Y764" i="10" s="1"/>
  <c r="M711" i="10"/>
  <c r="Y777" i="10" s="1"/>
  <c r="M713" i="10"/>
  <c r="Y779" i="10" s="1"/>
  <c r="M686" i="10"/>
  <c r="Y752" i="10" s="1"/>
  <c r="M670" i="10"/>
  <c r="Y736" i="10" s="1"/>
  <c r="M679" i="10"/>
  <c r="Y745" i="10" s="1"/>
  <c r="M706" i="10"/>
  <c r="Y772" i="10" s="1"/>
  <c r="K715" i="10" l="1"/>
  <c r="M715" i="10"/>
  <c r="Y734" i="10"/>
  <c r="Y815" i="10" s="1"/>
  <c r="F493" i="1" l="1"/>
  <c r="D493" i="1"/>
  <c r="B493" i="1"/>
  <c r="B575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431" i="1" s="1"/>
  <c r="CE63" i="1"/>
  <c r="I365" i="9" s="1"/>
  <c r="CE66" i="1"/>
  <c r="G49" i="12" s="1"/>
  <c r="G50" i="12" s="1"/>
  <c r="CE68" i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CE69" i="1"/>
  <c r="D361" i="1"/>
  <c r="D372" i="1"/>
  <c r="C125" i="8" s="1"/>
  <c r="D265" i="1"/>
  <c r="D275" i="1"/>
  <c r="D277" i="1" s="1"/>
  <c r="C35" i="8" s="1"/>
  <c r="D290" i="1"/>
  <c r="C49" i="8" s="1"/>
  <c r="D314" i="1"/>
  <c r="C68" i="8" s="1"/>
  <c r="D319" i="1"/>
  <c r="C74" i="8" s="1"/>
  <c r="C84" i="8"/>
  <c r="C85" i="8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F9" i="6" s="1"/>
  <c r="E198" i="1"/>
  <c r="E199" i="1"/>
  <c r="C472" i="1" s="1"/>
  <c r="E200" i="1"/>
  <c r="C473" i="1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B440" i="1" s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F12" i="6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E373" i="9" s="1"/>
  <c r="C615" i="1"/>
  <c r="E372" i="9"/>
  <c r="C469" i="1" l="1"/>
  <c r="D5" i="7"/>
  <c r="E217" i="1"/>
  <c r="D368" i="1"/>
  <c r="C120" i="8" s="1"/>
  <c r="I371" i="9"/>
  <c r="D612" i="1"/>
  <c r="I370" i="9"/>
  <c r="P55" i="11"/>
  <c r="P56" i="11" s="1"/>
  <c r="C429" i="1"/>
  <c r="G122" i="9"/>
  <c r="C218" i="9"/>
  <c r="F90" i="9"/>
  <c r="C432" i="1"/>
  <c r="D292" i="1"/>
  <c r="C464" i="1"/>
  <c r="C434" i="1"/>
  <c r="AS48" i="1"/>
  <c r="AS62" i="1" s="1"/>
  <c r="G90" i="9"/>
  <c r="I372" i="9"/>
  <c r="G10" i="4"/>
  <c r="E10" i="4"/>
  <c r="B10" i="4"/>
  <c r="E58" i="9"/>
  <c r="D186" i="9"/>
  <c r="C575" i="1"/>
  <c r="H575" i="1" s="1"/>
  <c r="C440" i="1"/>
  <c r="C430" i="1"/>
  <c r="I366" i="9"/>
  <c r="AP48" i="1"/>
  <c r="AP62" i="1" s="1"/>
  <c r="E48" i="1"/>
  <c r="E62" i="1" s="1"/>
  <c r="E12" i="9" s="1"/>
  <c r="I362" i="9"/>
  <c r="C14" i="5"/>
  <c r="C33" i="8"/>
  <c r="B476" i="1"/>
  <c r="C141" i="8"/>
  <c r="C119" i="8"/>
  <c r="B465" i="1"/>
  <c r="C470" i="1"/>
  <c r="I380" i="9"/>
  <c r="CF76" i="1"/>
  <c r="BH52" i="1" s="1"/>
  <c r="BH67" i="1" s="1"/>
  <c r="H58" i="9"/>
  <c r="BK48" i="1"/>
  <c r="BK62" i="1" s="1"/>
  <c r="W48" i="1"/>
  <c r="W62" i="1" s="1"/>
  <c r="I76" i="9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AQ48" i="1"/>
  <c r="AQ62" i="1" s="1"/>
  <c r="S48" i="1"/>
  <c r="S62" i="1" s="1"/>
  <c r="CB48" i="1"/>
  <c r="CB62" i="1" s="1"/>
  <c r="C364" i="9" s="1"/>
  <c r="CA48" i="1"/>
  <c r="CA62" i="1" s="1"/>
  <c r="BR48" i="1"/>
  <c r="BR62" i="1" s="1"/>
  <c r="BL48" i="1"/>
  <c r="BL62" i="1" s="1"/>
  <c r="BB48" i="1"/>
  <c r="BB62" i="1" s="1"/>
  <c r="E236" i="9" s="1"/>
  <c r="AV48" i="1"/>
  <c r="AV62" i="1" s="1"/>
  <c r="AL48" i="1"/>
  <c r="AL62" i="1" s="1"/>
  <c r="C172" i="9" s="1"/>
  <c r="AF48" i="1"/>
  <c r="AF62" i="1" s="1"/>
  <c r="N48" i="1"/>
  <c r="N62" i="1" s="1"/>
  <c r="I363" i="9"/>
  <c r="T48" i="1"/>
  <c r="T62" i="1" s="1"/>
  <c r="H48" i="1"/>
  <c r="H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Y48" i="1"/>
  <c r="BY62" i="1" s="1"/>
  <c r="G332" i="9" s="1"/>
  <c r="BT48" i="1"/>
  <c r="BT62" i="1" s="1"/>
  <c r="BJ48" i="1"/>
  <c r="BJ62" i="1" s="1"/>
  <c r="F268" i="9" s="1"/>
  <c r="BD48" i="1"/>
  <c r="BD62" i="1" s="1"/>
  <c r="AT48" i="1"/>
  <c r="AT62" i="1" s="1"/>
  <c r="AN48" i="1"/>
  <c r="AN62" i="1" s="1"/>
  <c r="AD48" i="1"/>
  <c r="AD62" i="1" s="1"/>
  <c r="R48" i="1"/>
  <c r="R62" i="1" s="1"/>
  <c r="X48" i="1"/>
  <c r="X62" i="1" s="1"/>
  <c r="AE48" i="1"/>
  <c r="AE62" i="1" s="1"/>
  <c r="AK48" i="1"/>
  <c r="AK62" i="1" s="1"/>
  <c r="BG48" i="1"/>
  <c r="BG62" i="1" s="1"/>
  <c r="BX48" i="1"/>
  <c r="BX62" i="1" s="1"/>
  <c r="BN48" i="1"/>
  <c r="BN62" i="1" s="1"/>
  <c r="AR48" i="1"/>
  <c r="AR62" i="1" s="1"/>
  <c r="AH48" i="1"/>
  <c r="AH62" i="1" s="1"/>
  <c r="AU48" i="1"/>
  <c r="AU62" i="1" s="1"/>
  <c r="BW48" i="1"/>
  <c r="BW62" i="1" s="1"/>
  <c r="BP48" i="1"/>
  <c r="BP62" i="1" s="1"/>
  <c r="BF48" i="1"/>
  <c r="BF62" i="1" s="1"/>
  <c r="AJ48" i="1"/>
  <c r="AJ62" i="1" s="1"/>
  <c r="V48" i="1"/>
  <c r="V62" i="1" s="1"/>
  <c r="H76" i="9" s="1"/>
  <c r="BV48" i="1"/>
  <c r="BV62" i="1" s="1"/>
  <c r="AZ48" i="1"/>
  <c r="AZ62" i="1" s="1"/>
  <c r="I48" i="1"/>
  <c r="I62" i="1" s="1"/>
  <c r="AX48" i="1"/>
  <c r="AX62" i="1" s="1"/>
  <c r="H204" i="9" s="1"/>
  <c r="Z48" i="1"/>
  <c r="Z62" i="1" s="1"/>
  <c r="L48" i="1"/>
  <c r="L62" i="1" s="1"/>
  <c r="BM48" i="1"/>
  <c r="BM62" i="1" s="1"/>
  <c r="BH48" i="1"/>
  <c r="BH62" i="1" s="1"/>
  <c r="F48" i="1"/>
  <c r="F62" i="1" s="1"/>
  <c r="F12" i="9" s="1"/>
  <c r="I381" i="9"/>
  <c r="CF77" i="1"/>
  <c r="J48" i="1"/>
  <c r="J62" i="1" s="1"/>
  <c r="AI48" i="1"/>
  <c r="AI62" i="1" s="1"/>
  <c r="I186" i="9"/>
  <c r="G186" i="9"/>
  <c r="I368" i="9"/>
  <c r="I612" i="1"/>
  <c r="I382" i="9"/>
  <c r="C154" i="9"/>
  <c r="E218" i="9"/>
  <c r="C86" i="8"/>
  <c r="F11" i="6"/>
  <c r="I90" i="9"/>
  <c r="C415" i="1"/>
  <c r="C10" i="4"/>
  <c r="G19" i="4"/>
  <c r="F19" i="4"/>
  <c r="E28" i="4"/>
  <c r="D463" i="1"/>
  <c r="D436" i="1"/>
  <c r="C34" i="5"/>
  <c r="C475" i="1"/>
  <c r="F15" i="6"/>
  <c r="D433" i="1"/>
  <c r="D32" i="6"/>
  <c r="E186" i="9"/>
  <c r="G28" i="4"/>
  <c r="D12" i="9"/>
  <c r="G44" i="9"/>
  <c r="B446" i="1"/>
  <c r="D242" i="1"/>
  <c r="C418" i="1"/>
  <c r="D438" i="1"/>
  <c r="F14" i="6"/>
  <c r="C471" i="1"/>
  <c r="F10" i="6"/>
  <c r="D26" i="9"/>
  <c r="CE75" i="1"/>
  <c r="C465" i="1" s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I384" i="9"/>
  <c r="L612" i="1"/>
  <c r="F218" i="9"/>
  <c r="D90" i="9"/>
  <c r="D464" i="1"/>
  <c r="H154" i="9"/>
  <c r="I367" i="9"/>
  <c r="D373" i="1"/>
  <c r="D434" i="1"/>
  <c r="C58" i="9"/>
  <c r="D465" i="1" l="1"/>
  <c r="E52" i="1"/>
  <c r="E67" i="1" s="1"/>
  <c r="E71" i="1" s="1"/>
  <c r="C204" i="9"/>
  <c r="Y62" i="1"/>
  <c r="F140" i="9"/>
  <c r="I236" i="9"/>
  <c r="D204" i="9"/>
  <c r="H44" i="9"/>
  <c r="G172" i="9"/>
  <c r="I204" i="9"/>
  <c r="G300" i="9"/>
  <c r="E332" i="9"/>
  <c r="D364" i="9"/>
  <c r="D332" i="9"/>
  <c r="I108" i="9"/>
  <c r="H172" i="9"/>
  <c r="E204" i="9"/>
  <c r="C108" i="9"/>
  <c r="G140" i="9"/>
  <c r="C300" i="9"/>
  <c r="D339" i="1"/>
  <c r="BU52" i="1"/>
  <c r="BU67" i="1" s="1"/>
  <c r="C337" i="9" s="1"/>
  <c r="BR52" i="1"/>
  <c r="BR67" i="1" s="1"/>
  <c r="G305" i="9" s="1"/>
  <c r="BD52" i="1"/>
  <c r="BD67" i="1" s="1"/>
  <c r="T52" i="1"/>
  <c r="T67" i="1" s="1"/>
  <c r="F81" i="9" s="1"/>
  <c r="R52" i="1"/>
  <c r="R67" i="1" s="1"/>
  <c r="D81" i="9" s="1"/>
  <c r="CB52" i="1"/>
  <c r="CB67" i="1" s="1"/>
  <c r="AA52" i="1"/>
  <c r="AA67" i="1" s="1"/>
  <c r="F52" i="1"/>
  <c r="F67" i="1" s="1"/>
  <c r="AJ52" i="1"/>
  <c r="AJ67" i="1" s="1"/>
  <c r="H145" i="9" s="1"/>
  <c r="M52" i="1"/>
  <c r="M67" i="1" s="1"/>
  <c r="BF52" i="1"/>
  <c r="BF67" i="1" s="1"/>
  <c r="BT52" i="1"/>
  <c r="BT67" i="1" s="1"/>
  <c r="BG52" i="1"/>
  <c r="BG67" i="1" s="1"/>
  <c r="AX52" i="1"/>
  <c r="AX67" i="1" s="1"/>
  <c r="BP52" i="1"/>
  <c r="BP67" i="1" s="1"/>
  <c r="E305" i="9" s="1"/>
  <c r="AP52" i="1"/>
  <c r="AP67" i="1" s="1"/>
  <c r="BK52" i="1"/>
  <c r="BK67" i="1" s="1"/>
  <c r="G273" i="9" s="1"/>
  <c r="BV52" i="1"/>
  <c r="BV67" i="1" s="1"/>
  <c r="AY52" i="1"/>
  <c r="AY67" i="1" s="1"/>
  <c r="C52" i="1"/>
  <c r="C67" i="1" s="1"/>
  <c r="BZ52" i="1"/>
  <c r="BZ67" i="1" s="1"/>
  <c r="H337" i="9" s="1"/>
  <c r="P52" i="1"/>
  <c r="P67" i="1" s="1"/>
  <c r="K52" i="1"/>
  <c r="K67" i="1" s="1"/>
  <c r="BI52" i="1"/>
  <c r="BI67" i="1" s="1"/>
  <c r="V52" i="1"/>
  <c r="V67" i="1" s="1"/>
  <c r="V71" i="1" s="1"/>
  <c r="C515" i="1" s="1"/>
  <c r="G515" i="1" s="1"/>
  <c r="AZ52" i="1"/>
  <c r="AZ67" i="1" s="1"/>
  <c r="C241" i="9" s="1"/>
  <c r="BE52" i="1"/>
  <c r="BE67" i="1" s="1"/>
  <c r="AK52" i="1"/>
  <c r="AK67" i="1" s="1"/>
  <c r="I145" i="9" s="1"/>
  <c r="AW52" i="1"/>
  <c r="AW67" i="1" s="1"/>
  <c r="G209" i="9" s="1"/>
  <c r="BY52" i="1"/>
  <c r="BY67" i="1" s="1"/>
  <c r="AM52" i="1"/>
  <c r="AM67" i="1" s="1"/>
  <c r="D177" i="9" s="1"/>
  <c r="BO52" i="1"/>
  <c r="BO67" i="1" s="1"/>
  <c r="D305" i="9" s="1"/>
  <c r="X52" i="1"/>
  <c r="X67" i="1" s="1"/>
  <c r="C113" i="9" s="1"/>
  <c r="BC52" i="1"/>
  <c r="BC67" i="1" s="1"/>
  <c r="F241" i="9" s="1"/>
  <c r="AV52" i="1"/>
  <c r="AV67" i="1" s="1"/>
  <c r="AV71" i="1" s="1"/>
  <c r="Q52" i="1"/>
  <c r="Q67" i="1" s="1"/>
  <c r="J52" i="1"/>
  <c r="J67" i="1" s="1"/>
  <c r="J71" i="1" s="1"/>
  <c r="G52" i="1"/>
  <c r="G67" i="1" s="1"/>
  <c r="D52" i="1"/>
  <c r="D67" i="1" s="1"/>
  <c r="D17" i="9" s="1"/>
  <c r="BN52" i="1"/>
  <c r="BN67" i="1" s="1"/>
  <c r="BM52" i="1"/>
  <c r="BM67" i="1" s="1"/>
  <c r="I273" i="9" s="1"/>
  <c r="BQ52" i="1"/>
  <c r="BQ67" i="1" s="1"/>
  <c r="F305" i="9" s="1"/>
  <c r="BX52" i="1"/>
  <c r="BX67" i="1" s="1"/>
  <c r="F337" i="9" s="1"/>
  <c r="BW52" i="1"/>
  <c r="BW67" i="1" s="1"/>
  <c r="AE52" i="1"/>
  <c r="AE67" i="1" s="1"/>
  <c r="AE71" i="1" s="1"/>
  <c r="O52" i="1"/>
  <c r="O67" i="1" s="1"/>
  <c r="AB52" i="1"/>
  <c r="AB67" i="1" s="1"/>
  <c r="G113" i="9" s="1"/>
  <c r="N52" i="1"/>
  <c r="N67" i="1" s="1"/>
  <c r="N71" i="1" s="1"/>
  <c r="C679" i="1" s="1"/>
  <c r="AH52" i="1"/>
  <c r="AH67" i="1" s="1"/>
  <c r="AH71" i="1" s="1"/>
  <c r="F149" i="9" s="1"/>
  <c r="AG52" i="1"/>
  <c r="AG67" i="1" s="1"/>
  <c r="AG71" i="1" s="1"/>
  <c r="AF52" i="1"/>
  <c r="AF67" i="1" s="1"/>
  <c r="D145" i="9" s="1"/>
  <c r="AD52" i="1"/>
  <c r="AD67" i="1" s="1"/>
  <c r="I113" i="9" s="1"/>
  <c r="AI52" i="1"/>
  <c r="AI67" i="1" s="1"/>
  <c r="G145" i="9" s="1"/>
  <c r="AO52" i="1"/>
  <c r="AO67" i="1" s="1"/>
  <c r="AO71" i="1" s="1"/>
  <c r="AL52" i="1"/>
  <c r="AL67" i="1" s="1"/>
  <c r="BJ52" i="1"/>
  <c r="BJ67" i="1" s="1"/>
  <c r="BJ71" i="1" s="1"/>
  <c r="I52" i="1"/>
  <c r="I67" i="1" s="1"/>
  <c r="I71" i="1" s="1"/>
  <c r="S52" i="1"/>
  <c r="S67" i="1" s="1"/>
  <c r="S71" i="1" s="1"/>
  <c r="BL52" i="1"/>
  <c r="BL67" i="1" s="1"/>
  <c r="BL71" i="1" s="1"/>
  <c r="Z52" i="1"/>
  <c r="Z67" i="1" s="1"/>
  <c r="Z71" i="1" s="1"/>
  <c r="AC52" i="1"/>
  <c r="AC67" i="1" s="1"/>
  <c r="AC71" i="1" s="1"/>
  <c r="Y52" i="1"/>
  <c r="Y67" i="1" s="1"/>
  <c r="AN52" i="1"/>
  <c r="AN67" i="1" s="1"/>
  <c r="AN71" i="1" s="1"/>
  <c r="CA52" i="1"/>
  <c r="CA67" i="1" s="1"/>
  <c r="CA71" i="1" s="1"/>
  <c r="U52" i="1"/>
  <c r="U67" i="1" s="1"/>
  <c r="U71" i="1" s="1"/>
  <c r="AT52" i="1"/>
  <c r="AT67" i="1" s="1"/>
  <c r="AT71" i="1" s="1"/>
  <c r="C711" i="1" s="1"/>
  <c r="CC52" i="1"/>
  <c r="CC67" i="1" s="1"/>
  <c r="CC71" i="1" s="1"/>
  <c r="C620" i="1" s="1"/>
  <c r="BB52" i="1"/>
  <c r="BB67" i="1" s="1"/>
  <c r="BB71" i="1" s="1"/>
  <c r="BA52" i="1"/>
  <c r="BA67" i="1" s="1"/>
  <c r="BA71" i="1" s="1"/>
  <c r="BS52" i="1"/>
  <c r="BS67" i="1" s="1"/>
  <c r="BS71" i="1" s="1"/>
  <c r="L52" i="1"/>
  <c r="L67" i="1" s="1"/>
  <c r="L71" i="1" s="1"/>
  <c r="H52" i="1"/>
  <c r="H67" i="1" s="1"/>
  <c r="H71" i="1" s="1"/>
  <c r="AU52" i="1"/>
  <c r="AU67" i="1" s="1"/>
  <c r="AU71" i="1" s="1"/>
  <c r="W52" i="1"/>
  <c r="W67" i="1" s="1"/>
  <c r="W71" i="1" s="1"/>
  <c r="AR52" i="1"/>
  <c r="AR67" i="1" s="1"/>
  <c r="AR71" i="1" s="1"/>
  <c r="AQ52" i="1"/>
  <c r="AQ67" i="1" s="1"/>
  <c r="AQ71" i="1" s="1"/>
  <c r="C708" i="1" s="1"/>
  <c r="AS52" i="1"/>
  <c r="AS67" i="1" s="1"/>
  <c r="AS71" i="1" s="1"/>
  <c r="C538" i="1" s="1"/>
  <c r="G538" i="1" s="1"/>
  <c r="I268" i="9"/>
  <c r="I12" i="9"/>
  <c r="H140" i="9"/>
  <c r="F332" i="9"/>
  <c r="E140" i="9"/>
  <c r="F204" i="9"/>
  <c r="I332" i="9"/>
  <c r="C62" i="1"/>
  <c r="CE48" i="1"/>
  <c r="F172" i="9"/>
  <c r="D236" i="9"/>
  <c r="D273" i="9"/>
  <c r="E44" i="9"/>
  <c r="C236" i="9"/>
  <c r="C268" i="9"/>
  <c r="D76" i="9"/>
  <c r="G236" i="9"/>
  <c r="D44" i="9"/>
  <c r="H236" i="9"/>
  <c r="H300" i="9"/>
  <c r="G268" i="9"/>
  <c r="C44" i="9"/>
  <c r="E108" i="9"/>
  <c r="E300" i="9"/>
  <c r="I172" i="9"/>
  <c r="I140" i="9"/>
  <c r="F300" i="9"/>
  <c r="H12" i="9"/>
  <c r="D140" i="9"/>
  <c r="H268" i="9"/>
  <c r="E76" i="9"/>
  <c r="D172" i="9"/>
  <c r="H332" i="9"/>
  <c r="D300" i="9"/>
  <c r="C332" i="9"/>
  <c r="D268" i="9"/>
  <c r="BH71" i="1"/>
  <c r="C140" i="9"/>
  <c r="E172" i="9"/>
  <c r="I300" i="9"/>
  <c r="C76" i="9"/>
  <c r="E268" i="9"/>
  <c r="F76" i="9"/>
  <c r="F236" i="9"/>
  <c r="I44" i="9"/>
  <c r="G76" i="9"/>
  <c r="G108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H534" i="1" s="1"/>
  <c r="B501" i="1"/>
  <c r="B519" i="1"/>
  <c r="B498" i="1"/>
  <c r="B515" i="1"/>
  <c r="B565" i="1"/>
  <c r="B526" i="1"/>
  <c r="B560" i="1"/>
  <c r="B572" i="1"/>
  <c r="B562" i="1"/>
  <c r="H562" i="1" s="1"/>
  <c r="B558" i="1"/>
  <c r="H558" i="1" s="1"/>
  <c r="B574" i="1"/>
  <c r="B573" i="1"/>
  <c r="B527" i="1"/>
  <c r="B540" i="1"/>
  <c r="H540" i="1" s="1"/>
  <c r="D27" i="7"/>
  <c r="B448" i="1"/>
  <c r="D341" i="1"/>
  <c r="C481" i="1" s="1"/>
  <c r="C50" i="8"/>
  <c r="I378" i="9"/>
  <c r="K612" i="1"/>
  <c r="C126" i="8"/>
  <c r="D391" i="1"/>
  <c r="F32" i="6"/>
  <c r="C478" i="1"/>
  <c r="C476" i="1"/>
  <c r="F16" i="6"/>
  <c r="I305" i="9" l="1"/>
  <c r="G177" i="9"/>
  <c r="C102" i="8"/>
  <c r="AB71" i="1"/>
  <c r="G117" i="9" s="1"/>
  <c r="BZ71" i="1"/>
  <c r="C646" i="1" s="1"/>
  <c r="AJ71" i="1"/>
  <c r="C529" i="1" s="1"/>
  <c r="C213" i="9"/>
  <c r="BT71" i="1"/>
  <c r="C565" i="1" s="1"/>
  <c r="H565" i="1" s="1"/>
  <c r="Y71" i="1"/>
  <c r="C690" i="1" s="1"/>
  <c r="BI71" i="1"/>
  <c r="E277" i="9" s="1"/>
  <c r="C710" i="1"/>
  <c r="AK71" i="1"/>
  <c r="C702" i="1" s="1"/>
  <c r="D108" i="9"/>
  <c r="C699" i="1"/>
  <c r="C507" i="1"/>
  <c r="G507" i="1" s="1"/>
  <c r="C482" i="1"/>
  <c r="BE71" i="1"/>
  <c r="C614" i="1" s="1"/>
  <c r="K71" i="1"/>
  <c r="D53" i="9" s="1"/>
  <c r="BQ71" i="1"/>
  <c r="C562" i="1" s="1"/>
  <c r="AP71" i="1"/>
  <c r="C535" i="1" s="1"/>
  <c r="G535" i="1" s="1"/>
  <c r="C632" i="1"/>
  <c r="E245" i="9"/>
  <c r="C498" i="1"/>
  <c r="G498" i="1" s="1"/>
  <c r="E21" i="9"/>
  <c r="C501" i="1"/>
  <c r="G501" i="1" s="1"/>
  <c r="C673" i="1"/>
  <c r="AI71" i="1"/>
  <c r="C700" i="1" s="1"/>
  <c r="BC71" i="1"/>
  <c r="C633" i="1" s="1"/>
  <c r="BU71" i="1"/>
  <c r="C641" i="1" s="1"/>
  <c r="C527" i="1"/>
  <c r="G527" i="1" s="1"/>
  <c r="T71" i="1"/>
  <c r="C513" i="1" s="1"/>
  <c r="G513" i="1" s="1"/>
  <c r="AM71" i="1"/>
  <c r="C704" i="1" s="1"/>
  <c r="BR71" i="1"/>
  <c r="R71" i="1"/>
  <c r="C511" i="1" s="1"/>
  <c r="G511" i="1" s="1"/>
  <c r="BP71" i="1"/>
  <c r="C561" i="1" s="1"/>
  <c r="D71" i="1"/>
  <c r="C669" i="1" s="1"/>
  <c r="C617" i="1"/>
  <c r="F277" i="9"/>
  <c r="C555" i="1"/>
  <c r="H555" i="1" s="1"/>
  <c r="I85" i="9"/>
  <c r="C688" i="1"/>
  <c r="C516" i="1"/>
  <c r="G516" i="1" s="1"/>
  <c r="D117" i="9"/>
  <c r="E213" i="9"/>
  <c r="C712" i="1"/>
  <c r="C540" i="1"/>
  <c r="G540" i="1" s="1"/>
  <c r="H117" i="9"/>
  <c r="C694" i="1"/>
  <c r="BY71" i="1"/>
  <c r="G53" i="9"/>
  <c r="H21" i="9"/>
  <c r="AZ71" i="1"/>
  <c r="C545" i="1" s="1"/>
  <c r="X71" i="1"/>
  <c r="C547" i="1"/>
  <c r="P71" i="1"/>
  <c r="I53" i="9" s="1"/>
  <c r="Q71" i="1"/>
  <c r="C682" i="1" s="1"/>
  <c r="AF71" i="1"/>
  <c r="C525" i="1" s="1"/>
  <c r="G525" i="1" s="1"/>
  <c r="BK71" i="1"/>
  <c r="C635" i="1" s="1"/>
  <c r="BD71" i="1"/>
  <c r="G245" i="9" s="1"/>
  <c r="C670" i="1"/>
  <c r="AW71" i="1"/>
  <c r="G213" i="9" s="1"/>
  <c r="BX71" i="1"/>
  <c r="C569" i="1" s="1"/>
  <c r="BM71" i="1"/>
  <c r="C638" i="1" s="1"/>
  <c r="G17" i="9"/>
  <c r="G71" i="1"/>
  <c r="AX71" i="1"/>
  <c r="H213" i="9" s="1"/>
  <c r="M71" i="1"/>
  <c r="BO71" i="1"/>
  <c r="I241" i="9"/>
  <c r="BF71" i="1"/>
  <c r="F71" i="1"/>
  <c r="C671" i="1" s="1"/>
  <c r="AA71" i="1"/>
  <c r="AD71" i="1"/>
  <c r="BG71" i="1"/>
  <c r="C618" i="1" s="1"/>
  <c r="C369" i="9"/>
  <c r="CB71" i="1"/>
  <c r="AL71" i="1"/>
  <c r="C703" i="1" s="1"/>
  <c r="O71" i="1"/>
  <c r="C680" i="1" s="1"/>
  <c r="BW71" i="1"/>
  <c r="BV71" i="1"/>
  <c r="BN71" i="1"/>
  <c r="AY71" i="1"/>
  <c r="C625" i="1" s="1"/>
  <c r="C522" i="1"/>
  <c r="G522" i="1" s="1"/>
  <c r="C539" i="1"/>
  <c r="G539" i="1" s="1"/>
  <c r="D213" i="9"/>
  <c r="H85" i="9"/>
  <c r="C687" i="1"/>
  <c r="H181" i="9"/>
  <c r="D373" i="9"/>
  <c r="C536" i="1"/>
  <c r="G536" i="1" s="1"/>
  <c r="C574" i="1"/>
  <c r="H574" i="1" s="1"/>
  <c r="CE52" i="1"/>
  <c r="G241" i="9"/>
  <c r="I209" i="9"/>
  <c r="D49" i="9"/>
  <c r="H241" i="9"/>
  <c r="C273" i="9"/>
  <c r="F49" i="9"/>
  <c r="F113" i="9"/>
  <c r="C177" i="9"/>
  <c r="E273" i="9"/>
  <c r="I49" i="9"/>
  <c r="H49" i="9"/>
  <c r="C17" i="9"/>
  <c r="G337" i="9"/>
  <c r="D337" i="9"/>
  <c r="F17" i="9"/>
  <c r="H209" i="9"/>
  <c r="E337" i="9"/>
  <c r="H81" i="9"/>
  <c r="C305" i="9"/>
  <c r="C81" i="9"/>
  <c r="CE67" i="1"/>
  <c r="F145" i="9"/>
  <c r="C145" i="9"/>
  <c r="G49" i="9"/>
  <c r="C49" i="9"/>
  <c r="F209" i="9"/>
  <c r="E17" i="9"/>
  <c r="I17" i="9"/>
  <c r="F273" i="9"/>
  <c r="F177" i="9"/>
  <c r="E145" i="9"/>
  <c r="D113" i="9"/>
  <c r="I177" i="9"/>
  <c r="E49" i="9"/>
  <c r="D369" i="9"/>
  <c r="E177" i="9"/>
  <c r="H273" i="9"/>
  <c r="H305" i="9"/>
  <c r="D209" i="9"/>
  <c r="C209" i="9"/>
  <c r="E209" i="9"/>
  <c r="D241" i="9"/>
  <c r="G81" i="9"/>
  <c r="H113" i="9"/>
  <c r="I81" i="9"/>
  <c r="E81" i="9"/>
  <c r="H177" i="9"/>
  <c r="H17" i="9"/>
  <c r="E241" i="9"/>
  <c r="I337" i="9"/>
  <c r="E113" i="9"/>
  <c r="C705" i="1"/>
  <c r="E181" i="9"/>
  <c r="C533" i="1"/>
  <c r="G533" i="1" s="1"/>
  <c r="G85" i="9"/>
  <c r="C514" i="1"/>
  <c r="G514" i="1" s="1"/>
  <c r="C686" i="1"/>
  <c r="C524" i="1"/>
  <c r="G524" i="1" s="1"/>
  <c r="C696" i="1"/>
  <c r="C149" i="9"/>
  <c r="C553" i="1"/>
  <c r="C636" i="1"/>
  <c r="D277" i="9"/>
  <c r="E117" i="9"/>
  <c r="C519" i="1"/>
  <c r="G519" i="1" s="1"/>
  <c r="C691" i="1"/>
  <c r="C639" i="1"/>
  <c r="C564" i="1"/>
  <c r="H564" i="1" s="1"/>
  <c r="H309" i="9"/>
  <c r="C546" i="1"/>
  <c r="D245" i="9"/>
  <c r="C630" i="1"/>
  <c r="F181" i="9"/>
  <c r="C706" i="1"/>
  <c r="C534" i="1"/>
  <c r="G534" i="1" s="1"/>
  <c r="C674" i="1"/>
  <c r="C502" i="1"/>
  <c r="G502" i="1" s="1"/>
  <c r="I21" i="9"/>
  <c r="C557" i="1"/>
  <c r="H557" i="1" s="1"/>
  <c r="C637" i="1"/>
  <c r="H277" i="9"/>
  <c r="C503" i="1"/>
  <c r="G503" i="1" s="1"/>
  <c r="C675" i="1"/>
  <c r="C53" i="9"/>
  <c r="F213" i="9"/>
  <c r="C713" i="1"/>
  <c r="C541" i="1"/>
  <c r="C698" i="1"/>
  <c r="E149" i="9"/>
  <c r="C526" i="1"/>
  <c r="G526" i="1" s="1"/>
  <c r="E85" i="9"/>
  <c r="C684" i="1"/>
  <c r="C512" i="1"/>
  <c r="G512" i="1" s="1"/>
  <c r="C709" i="1"/>
  <c r="I181" i="9"/>
  <c r="C537" i="1"/>
  <c r="G537" i="1" s="1"/>
  <c r="C677" i="1"/>
  <c r="E53" i="9"/>
  <c r="C505" i="1"/>
  <c r="G505" i="1" s="1"/>
  <c r="C71" i="1"/>
  <c r="CE62" i="1"/>
  <c r="C12" i="9"/>
  <c r="C572" i="1"/>
  <c r="H572" i="1" s="1"/>
  <c r="C647" i="1"/>
  <c r="I341" i="9"/>
  <c r="F498" i="1"/>
  <c r="B541" i="1"/>
  <c r="F540" i="1"/>
  <c r="B503" i="1"/>
  <c r="B554" i="1"/>
  <c r="B522" i="1"/>
  <c r="F522" i="1" s="1"/>
  <c r="B556" i="1"/>
  <c r="B555" i="1"/>
  <c r="B507" i="1"/>
  <c r="H507" i="1" s="1"/>
  <c r="B548" i="1"/>
  <c r="H548" i="1" s="1"/>
  <c r="B500" i="1"/>
  <c r="B552" i="1"/>
  <c r="B524" i="1"/>
  <c r="B571" i="1"/>
  <c r="H571" i="1" s="1"/>
  <c r="B536" i="1"/>
  <c r="H536" i="1" s="1"/>
  <c r="B551" i="1"/>
  <c r="B561" i="1"/>
  <c r="B535" i="1"/>
  <c r="H535" i="1" s="1"/>
  <c r="B517" i="1"/>
  <c r="B529" i="1"/>
  <c r="B550" i="1"/>
  <c r="B568" i="1"/>
  <c r="B504" i="1"/>
  <c r="F504" i="1" s="1"/>
  <c r="B563" i="1"/>
  <c r="B537" i="1"/>
  <c r="H537" i="1" s="1"/>
  <c r="B512" i="1"/>
  <c r="F512" i="1" s="1"/>
  <c r="B549" i="1"/>
  <c r="H549" i="1" s="1"/>
  <c r="B520" i="1"/>
  <c r="B530" i="1"/>
  <c r="B569" i="1"/>
  <c r="B566" i="1"/>
  <c r="B544" i="1"/>
  <c r="B511" i="1"/>
  <c r="B545" i="1"/>
  <c r="B567" i="1"/>
  <c r="B553" i="1"/>
  <c r="B538" i="1"/>
  <c r="B499" i="1"/>
  <c r="B539" i="1"/>
  <c r="H539" i="1" s="1"/>
  <c r="B505" i="1"/>
  <c r="B531" i="1"/>
  <c r="B516" i="1"/>
  <c r="B525" i="1"/>
  <c r="F515" i="1"/>
  <c r="H515" i="1"/>
  <c r="B546" i="1"/>
  <c r="F546" i="1" s="1"/>
  <c r="B542" i="1"/>
  <c r="H542" i="1" s="1"/>
  <c r="B547" i="1"/>
  <c r="H547" i="1" s="1"/>
  <c r="B508" i="1"/>
  <c r="F508" i="1" s="1"/>
  <c r="B532" i="1"/>
  <c r="H532" i="1" s="1"/>
  <c r="B533" i="1"/>
  <c r="H533" i="1" s="1"/>
  <c r="B559" i="1"/>
  <c r="B510" i="1"/>
  <c r="F510" i="1" s="1"/>
  <c r="F501" i="1"/>
  <c r="H501" i="1"/>
  <c r="B528" i="1"/>
  <c r="H528" i="1" s="1"/>
  <c r="B514" i="1"/>
  <c r="F514" i="1" s="1"/>
  <c r="B497" i="1"/>
  <c r="F513" i="1"/>
  <c r="C142" i="8"/>
  <c r="D393" i="1"/>
  <c r="F534" i="1"/>
  <c r="H502" i="1"/>
  <c r="F502" i="1"/>
  <c r="F526" i="1"/>
  <c r="F503" i="1"/>
  <c r="F518" i="1"/>
  <c r="F506" i="1"/>
  <c r="H506" i="1"/>
  <c r="H500" i="1"/>
  <c r="F500" i="1"/>
  <c r="F509" i="1"/>
  <c r="H569" i="1" l="1"/>
  <c r="H541" i="1"/>
  <c r="H561" i="1"/>
  <c r="F538" i="1"/>
  <c r="H538" i="1"/>
  <c r="H553" i="1"/>
  <c r="C571" i="1"/>
  <c r="H341" i="9"/>
  <c r="C693" i="1"/>
  <c r="C530" i="1"/>
  <c r="H530" i="1" s="1"/>
  <c r="C521" i="1"/>
  <c r="G521" i="1" s="1"/>
  <c r="I149" i="9"/>
  <c r="H53" i="9"/>
  <c r="H149" i="9"/>
  <c r="C701" i="1"/>
  <c r="C554" i="1"/>
  <c r="H554" i="1" s="1"/>
  <c r="C518" i="1"/>
  <c r="G518" i="1" s="1"/>
  <c r="I309" i="9"/>
  <c r="C676" i="1"/>
  <c r="C499" i="1"/>
  <c r="G499" i="1" s="1"/>
  <c r="C640" i="1"/>
  <c r="C277" i="9"/>
  <c r="C634" i="1"/>
  <c r="C549" i="1"/>
  <c r="C621" i="1"/>
  <c r="C623" i="1"/>
  <c r="F309" i="9"/>
  <c r="F85" i="9"/>
  <c r="I277" i="9"/>
  <c r="F21" i="9"/>
  <c r="C508" i="1"/>
  <c r="G508" i="1" s="1"/>
  <c r="C548" i="1"/>
  <c r="F245" i="9"/>
  <c r="E309" i="9"/>
  <c r="C685" i="1"/>
  <c r="C510" i="1"/>
  <c r="G510" i="1" s="1"/>
  <c r="C628" i="1"/>
  <c r="C550" i="1"/>
  <c r="G550" i="1" s="1"/>
  <c r="H550" i="1" s="1"/>
  <c r="D181" i="9"/>
  <c r="D21" i="9"/>
  <c r="C341" i="9"/>
  <c r="C497" i="1"/>
  <c r="G497" i="1" s="1"/>
  <c r="G545" i="1"/>
  <c r="H545" i="1" s="1"/>
  <c r="C542" i="1"/>
  <c r="C566" i="1"/>
  <c r="H566" i="1" s="1"/>
  <c r="G529" i="1"/>
  <c r="H529" i="1"/>
  <c r="G546" i="1"/>
  <c r="H546" i="1"/>
  <c r="H245" i="9"/>
  <c r="D149" i="9"/>
  <c r="C532" i="1"/>
  <c r="G532" i="1" s="1"/>
  <c r="C631" i="1"/>
  <c r="G530" i="1"/>
  <c r="C552" i="1"/>
  <c r="H552" i="1" s="1"/>
  <c r="F341" i="9"/>
  <c r="C504" i="1"/>
  <c r="G504" i="1" s="1"/>
  <c r="G277" i="9"/>
  <c r="C556" i="1"/>
  <c r="H556" i="1" s="1"/>
  <c r="G181" i="9"/>
  <c r="C707" i="1"/>
  <c r="C509" i="1"/>
  <c r="G509" i="1" s="1"/>
  <c r="C644" i="1"/>
  <c r="D85" i="9"/>
  <c r="C624" i="1"/>
  <c r="C531" i="1"/>
  <c r="G149" i="9"/>
  <c r="G309" i="9"/>
  <c r="C626" i="1"/>
  <c r="C681" i="1"/>
  <c r="C683" i="1"/>
  <c r="H513" i="1"/>
  <c r="H498" i="1"/>
  <c r="C528" i="1"/>
  <c r="G528" i="1" s="1"/>
  <c r="C563" i="1"/>
  <c r="H563" i="1" s="1"/>
  <c r="C181" i="9"/>
  <c r="C689" i="1"/>
  <c r="C117" i="9"/>
  <c r="C517" i="1"/>
  <c r="G517" i="1" s="1"/>
  <c r="G341" i="9"/>
  <c r="C570" i="1"/>
  <c r="H570" i="1" s="1"/>
  <c r="C645" i="1"/>
  <c r="C85" i="9"/>
  <c r="C558" i="1"/>
  <c r="C245" i="9"/>
  <c r="C619" i="1"/>
  <c r="C309" i="9"/>
  <c r="C559" i="1"/>
  <c r="H559" i="1" s="1"/>
  <c r="C695" i="1"/>
  <c r="C523" i="1"/>
  <c r="G523" i="1" s="1"/>
  <c r="I117" i="9"/>
  <c r="I245" i="9"/>
  <c r="C629" i="1"/>
  <c r="C551" i="1"/>
  <c r="H551" i="1" s="1"/>
  <c r="C543" i="1"/>
  <c r="H543" i="1" s="1"/>
  <c r="C616" i="1"/>
  <c r="C643" i="1"/>
  <c r="E341" i="9"/>
  <c r="C568" i="1"/>
  <c r="H568" i="1" s="1"/>
  <c r="C560" i="1"/>
  <c r="H560" i="1" s="1"/>
  <c r="D309" i="9"/>
  <c r="C627" i="1"/>
  <c r="C697" i="1"/>
  <c r="F53" i="9"/>
  <c r="C678" i="1"/>
  <c r="C506" i="1"/>
  <c r="G506" i="1" s="1"/>
  <c r="C642" i="1"/>
  <c r="C567" i="1"/>
  <c r="H567" i="1" s="1"/>
  <c r="D341" i="9"/>
  <c r="C573" i="1"/>
  <c r="H573" i="1" s="1"/>
  <c r="C373" i="9"/>
  <c r="C622" i="1"/>
  <c r="F117" i="9"/>
  <c r="C520" i="1"/>
  <c r="G520" i="1" s="1"/>
  <c r="C692" i="1"/>
  <c r="C672" i="1"/>
  <c r="C500" i="1"/>
  <c r="G500" i="1" s="1"/>
  <c r="G21" i="9"/>
  <c r="C544" i="1"/>
  <c r="I213" i="9"/>
  <c r="C433" i="1"/>
  <c r="I369" i="9"/>
  <c r="H526" i="1"/>
  <c r="H512" i="1"/>
  <c r="I364" i="9"/>
  <c r="C428" i="1"/>
  <c r="C441" i="1" s="1"/>
  <c r="CE71" i="1"/>
  <c r="D615" i="1"/>
  <c r="H503" i="1"/>
  <c r="C496" i="1"/>
  <c r="G496" i="1" s="1"/>
  <c r="C668" i="1"/>
  <c r="C21" i="9"/>
  <c r="F507" i="1"/>
  <c r="H504" i="1"/>
  <c r="H522" i="1"/>
  <c r="F499" i="1"/>
  <c r="H499" i="1"/>
  <c r="F536" i="1"/>
  <c r="H505" i="1"/>
  <c r="F505" i="1"/>
  <c r="B496" i="1"/>
  <c r="F516" i="1"/>
  <c r="H516" i="1"/>
  <c r="H511" i="1"/>
  <c r="F511" i="1"/>
  <c r="F517" i="1"/>
  <c r="H514" i="1"/>
  <c r="F530" i="1"/>
  <c r="H524" i="1"/>
  <c r="F524" i="1"/>
  <c r="H497" i="1"/>
  <c r="F497" i="1"/>
  <c r="F528" i="1"/>
  <c r="F532" i="1"/>
  <c r="F520" i="1"/>
  <c r="F550" i="1"/>
  <c r="F544" i="1"/>
  <c r="F545" i="1"/>
  <c r="H525" i="1"/>
  <c r="F525" i="1"/>
  <c r="F529" i="1"/>
  <c r="C146" i="8"/>
  <c r="D396" i="1"/>
  <c r="C151" i="8" s="1"/>
  <c r="F521" i="1"/>
  <c r="F535" i="1"/>
  <c r="F533" i="1"/>
  <c r="H527" i="1"/>
  <c r="F527" i="1"/>
  <c r="F539" i="1"/>
  <c r="F519" i="1"/>
  <c r="H519" i="1"/>
  <c r="F523" i="1"/>
  <c r="H523" i="1"/>
  <c r="F537" i="1"/>
  <c r="F531" i="1"/>
  <c r="H521" i="1" l="1"/>
  <c r="H508" i="1"/>
  <c r="H518" i="1"/>
  <c r="H510" i="1"/>
  <c r="G531" i="1"/>
  <c r="H531" i="1"/>
  <c r="G544" i="1"/>
  <c r="H544" i="1" s="1"/>
  <c r="H509" i="1"/>
  <c r="E441" i="1"/>
  <c r="C648" i="1"/>
  <c r="M716" i="1" s="1"/>
  <c r="H520" i="1"/>
  <c r="H517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704" i="1"/>
  <c r="D623" i="1"/>
  <c r="D705" i="1"/>
  <c r="D63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22" i="1"/>
  <c r="D639" i="1"/>
  <c r="D686" i="1"/>
  <c r="D711" i="1"/>
  <c r="D630" i="1"/>
  <c r="D682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5" i="1"/>
  <c r="D700" i="1"/>
  <c r="D628" i="1"/>
  <c r="D699" i="1"/>
  <c r="D675" i="1"/>
  <c r="D706" i="1"/>
  <c r="D676" i="1"/>
  <c r="C716" i="1"/>
  <c r="I373" i="9"/>
  <c r="C715" i="1"/>
  <c r="F496" i="1"/>
  <c r="H496" i="1"/>
  <c r="E623" i="1" l="1"/>
  <c r="E612" i="1"/>
  <c r="D715" i="1"/>
  <c r="E716" i="1" l="1"/>
  <c r="E696" i="1"/>
  <c r="E681" i="1"/>
  <c r="E686" i="1"/>
  <c r="E691" i="1"/>
  <c r="E678" i="1"/>
  <c r="E640" i="1"/>
  <c r="E673" i="1"/>
  <c r="E628" i="1"/>
  <c r="E694" i="1"/>
  <c r="E668" i="1"/>
  <c r="E630" i="1"/>
  <c r="E684" i="1"/>
  <c r="E690" i="1"/>
  <c r="E634" i="1"/>
  <c r="E674" i="1"/>
  <c r="E706" i="1"/>
  <c r="E711" i="1"/>
  <c r="E647" i="1"/>
  <c r="E683" i="1"/>
  <c r="E669" i="1"/>
  <c r="E702" i="1"/>
  <c r="E643" i="1"/>
  <c r="E693" i="1"/>
  <c r="E629" i="1"/>
  <c r="E670" i="1"/>
  <c r="E708" i="1"/>
  <c r="E682" i="1"/>
  <c r="E638" i="1"/>
  <c r="E626" i="1"/>
  <c r="E688" i="1"/>
  <c r="E697" i="1"/>
  <c r="E680" i="1"/>
  <c r="E709" i="1"/>
  <c r="E707" i="1"/>
  <c r="E672" i="1"/>
  <c r="E637" i="1"/>
  <c r="E710" i="1"/>
  <c r="E713" i="1"/>
  <c r="E671" i="1"/>
  <c r="E675" i="1"/>
  <c r="E687" i="1"/>
  <c r="E701" i="1"/>
  <c r="E646" i="1"/>
  <c r="E632" i="1"/>
  <c r="E633" i="1"/>
  <c r="E695" i="1"/>
  <c r="E692" i="1"/>
  <c r="E642" i="1"/>
  <c r="E639" i="1"/>
  <c r="E625" i="1"/>
  <c r="E689" i="1"/>
  <c r="E676" i="1"/>
  <c r="E700" i="1"/>
  <c r="E624" i="1"/>
  <c r="E641" i="1"/>
  <c r="E679" i="1"/>
  <c r="E636" i="1"/>
  <c r="E627" i="1"/>
  <c r="E685" i="1"/>
  <c r="E704" i="1"/>
  <c r="E635" i="1"/>
  <c r="E705" i="1"/>
  <c r="E698" i="1"/>
  <c r="E712" i="1"/>
  <c r="E677" i="1"/>
  <c r="E703" i="1"/>
  <c r="E645" i="1"/>
  <c r="E644" i="1"/>
  <c r="E699" i="1"/>
  <c r="E631" i="1"/>
  <c r="E715" i="1" l="1"/>
  <c r="F624" i="1"/>
  <c r="F632" i="1" l="1"/>
  <c r="F641" i="1"/>
  <c r="F693" i="1"/>
  <c r="F709" i="1"/>
  <c r="F686" i="1"/>
  <c r="F683" i="1"/>
  <c r="F637" i="1"/>
  <c r="F642" i="1"/>
  <c r="F625" i="1"/>
  <c r="F708" i="1"/>
  <c r="F706" i="1"/>
  <c r="F691" i="1"/>
  <c r="F692" i="1"/>
  <c r="F643" i="1"/>
  <c r="F702" i="1"/>
  <c r="F669" i="1"/>
  <c r="F673" i="1"/>
  <c r="F631" i="1"/>
  <c r="F690" i="1"/>
  <c r="F710" i="1"/>
  <c r="F626" i="1"/>
  <c r="F682" i="1"/>
  <c r="F644" i="1"/>
  <c r="F636" i="1"/>
  <c r="F647" i="1"/>
  <c r="F703" i="1"/>
  <c r="F689" i="1"/>
  <c r="F675" i="1"/>
  <c r="F694" i="1"/>
  <c r="F645" i="1"/>
  <c r="F672" i="1"/>
  <c r="F695" i="1"/>
  <c r="F696" i="1"/>
  <c r="F646" i="1"/>
  <c r="F679" i="1"/>
  <c r="F704" i="1"/>
  <c r="F712" i="1"/>
  <c r="F670" i="1"/>
  <c r="F676" i="1"/>
  <c r="F684" i="1"/>
  <c r="F705" i="1"/>
  <c r="F685" i="1"/>
  <c r="F699" i="1"/>
  <c r="F711" i="1"/>
  <c r="F687" i="1"/>
  <c r="F638" i="1"/>
  <c r="F677" i="1"/>
  <c r="F629" i="1"/>
  <c r="F634" i="1"/>
  <c r="F698" i="1"/>
  <c r="F680" i="1"/>
  <c r="F681" i="1"/>
  <c r="F678" i="1"/>
  <c r="F630" i="1"/>
  <c r="F628" i="1"/>
  <c r="F671" i="1"/>
  <c r="F627" i="1"/>
  <c r="F713" i="1"/>
  <c r="F635" i="1"/>
  <c r="F716" i="1"/>
  <c r="F688" i="1"/>
  <c r="F701" i="1"/>
  <c r="F700" i="1"/>
  <c r="F697" i="1"/>
  <c r="F640" i="1"/>
  <c r="F674" i="1"/>
  <c r="F668" i="1"/>
  <c r="F707" i="1"/>
  <c r="F639" i="1"/>
  <c r="F633" i="1"/>
  <c r="F715" i="1" l="1"/>
  <c r="G625" i="1"/>
  <c r="G647" i="1" l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707" i="1"/>
  <c r="G676" i="1"/>
  <c r="G632" i="1"/>
  <c r="G705" i="1"/>
  <c r="G686" i="1"/>
  <c r="G682" i="1"/>
  <c r="G681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674" i="1"/>
  <c r="G696" i="1"/>
  <c r="G709" i="1"/>
  <c r="G639" i="1"/>
  <c r="G687" i="1"/>
  <c r="G700" i="1"/>
  <c r="G671" i="1"/>
  <c r="G629" i="1"/>
  <c r="G694" i="1"/>
  <c r="G672" i="1"/>
  <c r="G679" i="1"/>
  <c r="G670" i="1"/>
  <c r="G631" i="1"/>
  <c r="G701" i="1"/>
  <c r="G642" i="1"/>
  <c r="G680" i="1"/>
  <c r="G703" i="1"/>
  <c r="G627" i="1"/>
  <c r="G712" i="1"/>
  <c r="G693" i="1"/>
  <c r="G691" i="1"/>
  <c r="G692" i="1"/>
  <c r="G683" i="1"/>
  <c r="G630" i="1"/>
  <c r="G673" i="1"/>
  <c r="G677" i="1"/>
  <c r="G698" i="1"/>
  <c r="H628" i="1" l="1"/>
  <c r="H686" i="1" s="1"/>
  <c r="G715" i="1"/>
  <c r="H642" i="1" l="1"/>
  <c r="H629" i="1"/>
  <c r="H702" i="1"/>
  <c r="H647" i="1"/>
  <c r="H675" i="1"/>
  <c r="H692" i="1"/>
  <c r="H674" i="1"/>
  <c r="H701" i="1"/>
  <c r="H639" i="1"/>
  <c r="H697" i="1"/>
  <c r="H636" i="1"/>
  <c r="H677" i="1"/>
  <c r="H693" i="1"/>
  <c r="H645" i="1"/>
  <c r="H672" i="1"/>
  <c r="H641" i="1"/>
  <c r="H695" i="1"/>
  <c r="H699" i="1"/>
  <c r="H689" i="1"/>
  <c r="H700" i="1"/>
  <c r="H708" i="1"/>
  <c r="H710" i="1"/>
  <c r="H637" i="1"/>
  <c r="H673" i="1"/>
  <c r="H631" i="1"/>
  <c r="H684" i="1"/>
  <c r="H638" i="1"/>
  <c r="H685" i="1"/>
  <c r="H640" i="1"/>
  <c r="H683" i="1"/>
  <c r="H633" i="1"/>
  <c r="H716" i="1"/>
  <c r="H681" i="1"/>
  <c r="H678" i="1"/>
  <c r="H705" i="1"/>
  <c r="H694" i="1"/>
  <c r="H704" i="1"/>
  <c r="H671" i="1"/>
  <c r="H711" i="1"/>
  <c r="H709" i="1"/>
  <c r="H696" i="1"/>
  <c r="H635" i="1"/>
  <c r="H682" i="1"/>
  <c r="H712" i="1"/>
  <c r="H634" i="1"/>
  <c r="H680" i="1"/>
  <c r="H646" i="1"/>
  <c r="H668" i="1"/>
  <c r="H632" i="1"/>
  <c r="H679" i="1"/>
  <c r="H644" i="1"/>
  <c r="H691" i="1"/>
  <c r="H643" i="1"/>
  <c r="H670" i="1"/>
  <c r="H713" i="1"/>
  <c r="H688" i="1"/>
  <c r="H690" i="1"/>
  <c r="H687" i="1"/>
  <c r="H706" i="1"/>
  <c r="H707" i="1"/>
  <c r="H703" i="1"/>
  <c r="H698" i="1"/>
  <c r="H630" i="1"/>
  <c r="H669" i="1"/>
  <c r="H676" i="1"/>
  <c r="I629" i="1"/>
  <c r="H715" i="1" l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45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37" i="1"/>
  <c r="I669" i="1"/>
  <c r="I705" i="1"/>
  <c r="I674" i="1"/>
  <c r="I641" i="1"/>
  <c r="I642" i="1"/>
  <c r="I711" i="1"/>
  <c r="I634" i="1"/>
  <c r="I677" i="1"/>
  <c r="I697" i="1"/>
  <c r="I712" i="1"/>
  <c r="I636" i="1"/>
  <c r="I692" i="1"/>
  <c r="I647" i="1"/>
  <c r="I676" i="1"/>
  <c r="I672" i="1"/>
  <c r="I640" i="1"/>
  <c r="I709" i="1"/>
  <c r="I630" i="1"/>
  <c r="I689" i="1"/>
  <c r="I694" i="1"/>
  <c r="I702" i="1"/>
  <c r="I673" i="1"/>
  <c r="I670" i="1"/>
  <c r="I681" i="1"/>
  <c r="I684" i="1"/>
  <c r="I693" i="1"/>
  <c r="I716" i="1"/>
  <c r="I683" i="1"/>
  <c r="I704" i="1"/>
  <c r="I708" i="1"/>
  <c r="I715" i="1" l="1"/>
  <c r="J630" i="1"/>
  <c r="J694" i="1" l="1"/>
  <c r="J646" i="1"/>
  <c r="J696" i="1"/>
  <c r="J716" i="1"/>
  <c r="J634" i="1"/>
  <c r="J678" i="1"/>
  <c r="J707" i="1"/>
  <c r="J709" i="1"/>
  <c r="J681" i="1"/>
  <c r="J686" i="1"/>
  <c r="J712" i="1"/>
  <c r="J635" i="1"/>
  <c r="J645" i="1"/>
  <c r="J688" i="1"/>
  <c r="J672" i="1"/>
  <c r="J677" i="1"/>
  <c r="J633" i="1"/>
  <c r="J684" i="1"/>
  <c r="J682" i="1"/>
  <c r="J638" i="1"/>
  <c r="J691" i="1"/>
  <c r="J695" i="1"/>
  <c r="J641" i="1"/>
  <c r="J713" i="1"/>
  <c r="J702" i="1"/>
  <c r="J693" i="1"/>
  <c r="J700" i="1"/>
  <c r="J644" i="1"/>
  <c r="J708" i="1"/>
  <c r="J668" i="1"/>
  <c r="J669" i="1"/>
  <c r="J699" i="1"/>
  <c r="J674" i="1"/>
  <c r="J701" i="1"/>
  <c r="J697" i="1"/>
  <c r="J642" i="1"/>
  <c r="J680" i="1"/>
  <c r="J679" i="1"/>
  <c r="J647" i="1"/>
  <c r="J637" i="1"/>
  <c r="J703" i="1"/>
  <c r="J643" i="1"/>
  <c r="J704" i="1"/>
  <c r="J698" i="1"/>
  <c r="J636" i="1"/>
  <c r="J685" i="1"/>
  <c r="J670" i="1"/>
  <c r="J687" i="1"/>
  <c r="J632" i="1"/>
  <c r="J710" i="1"/>
  <c r="J705" i="1"/>
  <c r="J690" i="1"/>
  <c r="J683" i="1"/>
  <c r="J640" i="1"/>
  <c r="J631" i="1"/>
  <c r="J639" i="1"/>
  <c r="J706" i="1"/>
  <c r="J676" i="1"/>
  <c r="J675" i="1"/>
  <c r="J673" i="1"/>
  <c r="J692" i="1"/>
  <c r="J689" i="1"/>
  <c r="J711" i="1"/>
  <c r="J671" i="1"/>
  <c r="L647" i="1" l="1"/>
  <c r="L712" i="1" s="1"/>
  <c r="K644" i="1"/>
  <c r="K668" i="1" s="1"/>
  <c r="J715" i="1"/>
  <c r="L707" i="1"/>
  <c r="L679" i="1"/>
  <c r="L713" i="1"/>
  <c r="L695" i="1"/>
  <c r="L701" i="1"/>
  <c r="L687" i="1"/>
  <c r="K698" i="1" l="1"/>
  <c r="M698" i="1" s="1"/>
  <c r="E151" i="9" s="1"/>
  <c r="K699" i="1"/>
  <c r="L696" i="1"/>
  <c r="L680" i="1"/>
  <c r="L694" i="1"/>
  <c r="L688" i="1"/>
  <c r="L676" i="1"/>
  <c r="L704" i="1"/>
  <c r="K701" i="1"/>
  <c r="M701" i="1" s="1"/>
  <c r="H151" i="9" s="1"/>
  <c r="L685" i="1"/>
  <c r="L681" i="1"/>
  <c r="L672" i="1"/>
  <c r="L686" i="1"/>
  <c r="L692" i="1"/>
  <c r="L716" i="1"/>
  <c r="L670" i="1"/>
  <c r="L693" i="1"/>
  <c r="L675" i="1"/>
  <c r="L711" i="1"/>
  <c r="L703" i="1"/>
  <c r="L700" i="1"/>
  <c r="L684" i="1"/>
  <c r="K708" i="1"/>
  <c r="K682" i="1"/>
  <c r="L706" i="1"/>
  <c r="L677" i="1"/>
  <c r="L702" i="1"/>
  <c r="L683" i="1"/>
  <c r="L691" i="1"/>
  <c r="L710" i="1"/>
  <c r="L674" i="1"/>
  <c r="L699" i="1"/>
  <c r="M699" i="1" s="1"/>
  <c r="L690" i="1"/>
  <c r="L698" i="1"/>
  <c r="L697" i="1"/>
  <c r="L708" i="1"/>
  <c r="L671" i="1"/>
  <c r="L709" i="1"/>
  <c r="L705" i="1"/>
  <c r="L669" i="1"/>
  <c r="L678" i="1"/>
  <c r="L689" i="1"/>
  <c r="L673" i="1"/>
  <c r="L682" i="1"/>
  <c r="L668" i="1"/>
  <c r="K688" i="1"/>
  <c r="M688" i="1" s="1"/>
  <c r="I87" i="9" s="1"/>
  <c r="K685" i="1"/>
  <c r="K684" i="1"/>
  <c r="M684" i="1" s="1"/>
  <c r="K694" i="1"/>
  <c r="M694" i="1" s="1"/>
  <c r="H119" i="9" s="1"/>
  <c r="K691" i="1"/>
  <c r="K700" i="1"/>
  <c r="M700" i="1" s="1"/>
  <c r="G151" i="9" s="1"/>
  <c r="K671" i="1"/>
  <c r="K678" i="1"/>
  <c r="K706" i="1"/>
  <c r="K690" i="1"/>
  <c r="K687" i="1"/>
  <c r="M687" i="1" s="1"/>
  <c r="K693" i="1"/>
  <c r="M693" i="1" s="1"/>
  <c r="K712" i="1"/>
  <c r="M712" i="1" s="1"/>
  <c r="K713" i="1"/>
  <c r="M713" i="1" s="1"/>
  <c r="K670" i="1"/>
  <c r="K676" i="1"/>
  <c r="M676" i="1" s="1"/>
  <c r="K677" i="1"/>
  <c r="K707" i="1"/>
  <c r="M707" i="1" s="1"/>
  <c r="K674" i="1"/>
  <c r="K704" i="1"/>
  <c r="M704" i="1" s="1"/>
  <c r="D183" i="9" s="1"/>
  <c r="H87" i="9"/>
  <c r="E215" i="9"/>
  <c r="M668" i="1"/>
  <c r="K709" i="1"/>
  <c r="M709" i="1" s="1"/>
  <c r="K669" i="1"/>
  <c r="K696" i="1"/>
  <c r="K692" i="1"/>
  <c r="K711" i="1"/>
  <c r="K705" i="1"/>
  <c r="K703" i="1"/>
  <c r="K686" i="1"/>
  <c r="M686" i="1" s="1"/>
  <c r="K680" i="1"/>
  <c r="M680" i="1" s="1"/>
  <c r="K679" i="1"/>
  <c r="M679" i="1" s="1"/>
  <c r="K675" i="1"/>
  <c r="K716" i="1"/>
  <c r="K683" i="1"/>
  <c r="M683" i="1" s="1"/>
  <c r="K672" i="1"/>
  <c r="M672" i="1" s="1"/>
  <c r="K689" i="1"/>
  <c r="M689" i="1" s="1"/>
  <c r="K702" i="1"/>
  <c r="M702" i="1" s="1"/>
  <c r="K710" i="1"/>
  <c r="K697" i="1"/>
  <c r="K695" i="1"/>
  <c r="M695" i="1" s="1"/>
  <c r="K673" i="1"/>
  <c r="K681" i="1"/>
  <c r="M706" i="1" l="1"/>
  <c r="F183" i="9" s="1"/>
  <c r="M705" i="1"/>
  <c r="M671" i="1"/>
  <c r="M673" i="1"/>
  <c r="M691" i="1"/>
  <c r="E119" i="9" s="1"/>
  <c r="L715" i="1"/>
  <c r="M669" i="1"/>
  <c r="M711" i="1"/>
  <c r="D215" i="9" s="1"/>
  <c r="M697" i="1"/>
  <c r="M692" i="1"/>
  <c r="D55" i="9"/>
  <c r="E87" i="9"/>
  <c r="M681" i="1"/>
  <c r="M710" i="1"/>
  <c r="C215" i="9" s="1"/>
  <c r="M675" i="1"/>
  <c r="C55" i="9" s="1"/>
  <c r="M696" i="1"/>
  <c r="C151" i="9" s="1"/>
  <c r="M677" i="1"/>
  <c r="M708" i="1"/>
  <c r="M682" i="1"/>
  <c r="F23" i="9"/>
  <c r="F151" i="9"/>
  <c r="C87" i="9"/>
  <c r="M690" i="1"/>
  <c r="D119" i="9" s="1"/>
  <c r="M685" i="1"/>
  <c r="M703" i="1"/>
  <c r="M678" i="1"/>
  <c r="M674" i="1"/>
  <c r="M670" i="1"/>
  <c r="E55" i="9"/>
  <c r="G119" i="9"/>
  <c r="G183" i="9"/>
  <c r="F215" i="9"/>
  <c r="C119" i="9"/>
  <c r="C183" i="9"/>
  <c r="C23" i="9"/>
  <c r="G23" i="9"/>
  <c r="G55" i="9"/>
  <c r="E183" i="9"/>
  <c r="D23" i="9"/>
  <c r="K715" i="1"/>
  <c r="D151" i="9"/>
  <c r="I55" i="9"/>
  <c r="D87" i="9"/>
  <c r="H55" i="9"/>
  <c r="I183" i="9"/>
  <c r="I119" i="9"/>
  <c r="H23" i="9"/>
  <c r="I151" i="9"/>
  <c r="G87" i="9"/>
  <c r="F119" i="9"/>
  <c r="H183" i="9" l="1"/>
  <c r="F87" i="9"/>
  <c r="E23" i="9"/>
  <c r="M715" i="1"/>
  <c r="I23" i="9"/>
  <c r="F55" i="9"/>
</calcChain>
</file>

<file path=xl/sharedStrings.xml><?xml version="1.0" encoding="utf-8"?>
<sst xmlns="http://schemas.openxmlformats.org/spreadsheetml/2006/main" count="4975" uniqueCount="1333">
  <si>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</si>
  <si>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</si>
  <si>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</si>
  <si>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</si>
  <si>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</si>
  <si>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</si>
  <si>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</si>
  <si>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</si>
  <si>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</si>
  <si>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</si>
  <si>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</si>
  <si>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</si>
  <si>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</si>
  <si>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</si>
  <si>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</si>
  <si>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</si>
  <si>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</si>
  <si>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</si>
  <si>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</si>
  <si>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</si>
  <si>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</si>
  <si>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</si>
  <si>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</si>
  <si>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</si>
  <si>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</si>
  <si>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</si>
  <si>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</si>
  <si>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</si>
  <si>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</si>
  <si>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</si>
  <si>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</si>
  <si>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</si>
  <si>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</si>
  <si>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</si>
  <si>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</si>
  <si>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</si>
  <si>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</si>
  <si>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</si>
  <si>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</si>
  <si>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</si>
  <si>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</si>
  <si>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</si>
  <si>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</si>
  <si>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</si>
  <si>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</si>
  <si>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</si>
  <si>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</si>
  <si>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</si>
  <si>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</si>
  <si>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</si>
  <si>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</si>
  <si>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</si>
  <si>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</si>
  <si>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</si>
  <si>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</si>
  <si>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</si>
  <si>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</si>
  <si>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</si>
  <si>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</si>
  <si>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</si>
  <si>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</si>
  <si>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</si>
  <si>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</si>
  <si>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</si>
  <si>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</si>
  <si>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</si>
  <si>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</si>
  <si>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</si>
  <si>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</si>
  <si>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</si>
  <si>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</si>
  <si>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</si>
  <si>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</si>
  <si>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</si>
  <si>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</si>
  <si>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</si>
  <si>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</si>
  <si>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</si>
  <si>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</si>
  <si>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</si>
  <si>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</si>
  <si>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</si>
  <si>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</si>
  <si>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</si>
  <si>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</si>
  <si>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</si>
  <si>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</si>
  <si>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</si>
  <si>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</si>
  <si>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</si>
  <si>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</si>
  <si>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</si>
  <si>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</si>
  <si>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</si>
  <si>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</si>
  <si>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</si>
  <si>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</si>
  <si>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</si>
  <si>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</si>
  <si>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</si>
  <si>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</si>
  <si>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</si>
  <si>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</si>
  <si>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</si>
  <si>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</si>
  <si>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</si>
  <si>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</si>
  <si>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</si>
  <si>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</si>
  <si>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</si>
  <si>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</si>
  <si>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</si>
  <si>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</si>
  <si>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</si>
  <si>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</si>
  <si>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</si>
  <si>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</si>
  <si>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</si>
  <si>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</si>
  <si>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</si>
  <si>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</si>
  <si>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</si>
  <si>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</si>
  <si>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</si>
  <si>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</si>
  <si>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</si>
  <si>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</si>
  <si>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</si>
  <si>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</si>
  <si>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</si>
  <si>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</si>
  <si>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</si>
  <si>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</si>
  <si>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</si>
  <si>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</si>
  <si>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</si>
  <si>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</si>
  <si>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</si>
  <si>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</si>
  <si>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</si>
  <si>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</si>
  <si>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</si>
  <si>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</si>
  <si>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</si>
  <si>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</si>
  <si>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</si>
  <si>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</si>
  <si>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</si>
  <si>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</si>
  <si>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</si>
  <si>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</si>
  <si>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</si>
  <si>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</si>
  <si>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</si>
  <si>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</si>
  <si>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</si>
  <si>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</si>
  <si>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</si>
  <si>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</si>
  <si>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</si>
  <si>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</si>
  <si>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</si>
  <si>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</si>
  <si>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</si>
  <si>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</si>
  <si>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</si>
  <si>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</si>
  <si>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</si>
  <si>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</si>
  <si>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</si>
  <si>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</si>
  <si>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</si>
  <si>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</si>
  <si>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</si>
  <si>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</si>
  <si>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</si>
  <si>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</si>
  <si>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</si>
  <si>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</si>
  <si>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</si>
  <si>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</si>
  <si>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</si>
  <si>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</si>
  <si>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</si>
  <si>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</si>
  <si>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</si>
  <si>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</si>
  <si>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</si>
  <si>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</si>
  <si>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</si>
  <si>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</si>
  <si>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</si>
  <si>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</si>
  <si>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</si>
  <si>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</si>
  <si>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</si>
  <si>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</si>
  <si>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</si>
  <si>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</si>
  <si>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</si>
  <si>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</si>
  <si>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</si>
  <si>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</si>
  <si>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</si>
  <si>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</si>
  <si>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</si>
  <si>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</si>
  <si>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</si>
  <si>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</si>
  <si>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</si>
  <si>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</si>
  <si>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</si>
  <si>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</si>
  <si>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</si>
  <si>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</si>
  <si>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</si>
  <si>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</si>
  <si>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</si>
  <si>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</si>
  <si>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</si>
  <si>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</si>
  <si>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</si>
  <si>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</si>
  <si>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</si>
  <si>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</si>
  <si>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</si>
  <si>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</si>
  <si>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</si>
  <si>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</si>
  <si>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</si>
  <si>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</si>
  <si>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</si>
  <si>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</si>
  <si>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</si>
  <si>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</si>
  <si>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</si>
  <si>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</si>
  <si>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</si>
  <si>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</si>
  <si>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</si>
  <si>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</si>
  <si>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</si>
  <si>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</si>
  <si>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</si>
  <si>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</si>
  <si>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</si>
  <si>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</si>
  <si>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</si>
  <si>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</si>
  <si>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</si>
  <si>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</si>
  <si>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</si>
  <si>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</si>
  <si>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</si>
  <si>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</si>
  <si>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</si>
  <si>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</si>
  <si>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</si>
  <si>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</si>
  <si>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</si>
  <si>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</si>
  <si>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</si>
  <si>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</si>
  <si>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</si>
  <si>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</si>
  <si>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</si>
  <si>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</si>
  <si>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</si>
  <si>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</si>
  <si>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</si>
  <si>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</si>
  <si>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</si>
  <si>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</si>
  <si>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</si>
  <si>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</si>
  <si>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</si>
  <si>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</si>
  <si>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</si>
  <si>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</si>
  <si>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</si>
  <si>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</si>
  <si>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</si>
  <si>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</si>
  <si>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</si>
  <si>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</si>
  <si>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</si>
  <si>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</si>
  <si>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</si>
  <si>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</si>
  <si>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</si>
  <si>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</si>
  <si>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</si>
  <si>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</si>
  <si>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</si>
  <si>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</si>
  <si>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</si>
  <si>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</si>
  <si>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</si>
  <si>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</si>
  <si>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</si>
  <si>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</si>
  <si>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</si>
  <si>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</si>
  <si>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</si>
  <si>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</si>
  <si>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</si>
  <si>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</si>
  <si>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</si>
  <si>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</si>
  <si>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</si>
  <si>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</si>
  <si>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</si>
  <si>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</si>
  <si>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</si>
  <si>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</si>
  <si>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</si>
  <si>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</si>
  <si>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</si>
  <si>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</si>
  <si>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</si>
  <si>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</si>
  <si>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</si>
  <si>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</si>
  <si>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</si>
  <si>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</si>
  <si>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</si>
  <si>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</si>
  <si>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</si>
  <si>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</si>
  <si>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</si>
  <si>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</si>
  <si>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</si>
  <si>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</si>
  <si>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</si>
  <si>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</si>
  <si>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</si>
  <si>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</si>
  <si>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</si>
  <si>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</si>
  <si>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</si>
  <si>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</si>
  <si>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</si>
  <si>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</si>
  <si>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</si>
  <si>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</si>
  <si>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</si>
  <si>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</si>
  <si>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</si>
  <si>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</si>
  <si>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</si>
  <si>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</si>
  <si>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</si>
  <si>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</si>
  <si>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</si>
  <si>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</si>
  <si>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</si>
  <si>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</si>
  <si>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</si>
  <si>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</si>
  <si>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</si>
  <si>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</si>
  <si>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</si>
  <si>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</si>
  <si>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</si>
  <si>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</si>
  <si>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</si>
  <si>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</si>
  <si>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</si>
  <si>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</si>
  <si>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</si>
  <si>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</si>
  <si>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</si>
  <si>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</si>
  <si>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</si>
  <si>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</si>
  <si>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</si>
  <si>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</si>
  <si>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</si>
  <si>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</si>
  <si>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</si>
  <si>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</si>
  <si>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</si>
  <si>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</si>
  <si>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</si>
  <si>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</si>
  <si>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</si>
  <si>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</si>
  <si>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</si>
  <si>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</si>
  <si>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</si>
  <si>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</si>
  <si>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</si>
  <si>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</si>
  <si>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</si>
  <si>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</si>
  <si>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</si>
  <si>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</si>
  <si>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</si>
  <si>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</si>
  <si>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</si>
  <si>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</si>
  <si>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</si>
  <si>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</si>
  <si>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</si>
  <si>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</si>
  <si>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</si>
  <si>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</si>
  <si>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</si>
  <si>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</si>
  <si>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</si>
  <si>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</si>
  <si>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</si>
  <si>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</si>
  <si>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</si>
  <si>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</si>
  <si>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</si>
  <si>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</si>
  <si>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</si>
  <si>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</si>
  <si>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</si>
  <si>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</si>
  <si>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</si>
  <si>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</si>
  <si>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</si>
  <si>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</si>
  <si>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</si>
  <si>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</si>
  <si>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</si>
  <si>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</si>
  <si>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</si>
  <si>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</si>
  <si>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</si>
  <si>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</si>
  <si>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</si>
  <si>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</si>
  <si>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</si>
  <si>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</si>
  <si>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</si>
  <si>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</si>
  <si>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</si>
  <si>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</si>
  <si>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</si>
  <si>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</si>
  <si>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</si>
  <si>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</si>
  <si>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</si>
  <si>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</si>
  <si>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</si>
  <si>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</si>
  <si>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</si>
  <si>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</si>
  <si>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</si>
  <si>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</si>
  <si>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</si>
  <si>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</si>
  <si>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</si>
  <si>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</si>
  <si>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</si>
  <si>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</si>
  <si>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</si>
  <si>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</si>
  <si>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</si>
  <si>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</si>
  <si>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</si>
  <si>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</si>
  <si>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</si>
  <si>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</si>
  <si>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</si>
  <si>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</si>
  <si>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</si>
  <si>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</si>
  <si>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</si>
  <si>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</si>
  <si>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</si>
  <si>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</si>
  <si>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</si>
  <si>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</si>
  <si>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</si>
  <si>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</si>
  <si>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</si>
  <si>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</si>
  <si>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</si>
  <si>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</si>
  <si>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</si>
  <si>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</si>
  <si>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</si>
  <si>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</si>
  <si>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</si>
  <si>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</si>
  <si>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</si>
  <si>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</si>
  <si>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</si>
  <si>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</si>
  <si>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</si>
  <si>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</si>
  <si>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</si>
  <si>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</si>
  <si>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</si>
  <si>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</si>
  <si>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</si>
  <si>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</si>
  <si>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</si>
  <si>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</si>
  <si>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</si>
  <si>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</si>
  <si>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</si>
  <si>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</si>
  <si>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</si>
  <si>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</si>
  <si>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</si>
  <si>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</si>
  <si>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</si>
  <si>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</si>
  <si>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</si>
  <si>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</si>
  <si>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</si>
  <si>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</si>
  <si>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</si>
  <si>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</si>
  <si>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</si>
  <si>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</si>
  <si>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</si>
  <si>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</si>
  <si>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</si>
  <si>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</si>
  <si>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</si>
  <si>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</si>
  <si>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</si>
  <si>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</si>
  <si>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</si>
  <si>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</si>
  <si>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</si>
  <si>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</si>
  <si>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</si>
  <si>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</si>
  <si>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</si>
  <si>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</si>
  <si>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</si>
  <si>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</si>
  <si>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</si>
  <si>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</si>
  <si>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</si>
  <si>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</si>
  <si>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</si>
  <si>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</si>
  <si>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</si>
  <si>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</si>
  <si>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</si>
  <si>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</si>
  <si>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</si>
  <si>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</si>
  <si>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</si>
  <si>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</si>
  <si>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</si>
  <si>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</si>
  <si>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</si>
  <si>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</si>
  <si>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</si>
  <si>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</si>
  <si>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</si>
  <si>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</si>
  <si>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</si>
  <si>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</si>
  <si>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</si>
  <si>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</si>
  <si>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</si>
  <si>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</si>
  <si>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</si>
  <si>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</si>
  <si>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</si>
  <si>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</si>
  <si>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</si>
  <si>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</si>
  <si>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</si>
  <si>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</si>
  <si>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</si>
  <si>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</si>
  <si>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</si>
  <si>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</si>
  <si>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</si>
  <si>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</si>
  <si>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</si>
  <si>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</si>
  <si>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</si>
  <si>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</si>
  <si>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</si>
  <si>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</si>
  <si>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</si>
  <si>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</si>
  <si>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</si>
  <si>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</si>
  <si>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</si>
  <si>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</si>
  <si>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</si>
  <si>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</si>
  <si>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</si>
  <si>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</si>
  <si>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</si>
  <si>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</si>
  <si>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</si>
  <si>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</si>
  <si>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</si>
  <si>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</si>
  <si>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</si>
  <si>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</si>
  <si>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</si>
  <si>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</si>
  <si>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</si>
  <si>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</si>
  <si>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</si>
  <si>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</si>
  <si>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</si>
  <si>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</si>
  <si>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</si>
  <si>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</si>
  <si>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</si>
  <si>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</si>
  <si>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</si>
  <si>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</si>
  <si>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</si>
  <si>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</si>
  <si>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</si>
  <si>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</si>
  <si>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</si>
  <si>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</si>
  <si>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</si>
  <si>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</si>
  <si>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</si>
  <si>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</si>
  <si>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</si>
  <si>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</si>
  <si>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</si>
  <si>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</si>
  <si>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</si>
  <si>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</si>
  <si>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</si>
  <si>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</si>
  <si>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</si>
  <si>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</si>
  <si>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</si>
  <si>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</si>
  <si>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</si>
  <si>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</si>
  <si>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</si>
  <si>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</si>
  <si>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</si>
  <si>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</si>
  <si>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</si>
  <si>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</si>
  <si>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</si>
  <si>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</si>
  <si>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</si>
  <si>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</si>
  <si>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</si>
  <si>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</si>
  <si>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</si>
  <si>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</si>
  <si>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</si>
  <si>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</si>
  <si>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</si>
  <si>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</si>
  <si>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</si>
  <si>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</si>
  <si>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</si>
  <si>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</si>
  <si>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</si>
  <si>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</si>
  <si>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</si>
  <si>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</si>
  <si>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</si>
  <si>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</si>
  <si>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</si>
  <si>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</si>
  <si>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</si>
  <si>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</si>
  <si>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</si>
  <si>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</si>
  <si>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</si>
  <si>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</si>
  <si>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</si>
  <si>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</si>
  <si>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</si>
  <si>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</si>
  <si>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</si>
  <si>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</si>
  <si>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</si>
  <si>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</si>
  <si>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</si>
  <si>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</si>
  <si>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</si>
  <si>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</si>
  <si>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</si>
  <si>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</si>
  <si>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</si>
  <si>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</si>
  <si>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</si>
  <si>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</si>
  <si>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</si>
  <si>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</si>
  <si>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</si>
  <si>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</si>
  <si>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</si>
  <si>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</si>
  <si>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</si>
  <si>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</si>
  <si>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</si>
  <si>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</si>
  <si>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</si>
  <si>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</si>
  <si>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</si>
  <si>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</si>
  <si>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</si>
  <si>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</si>
  <si>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</si>
  <si>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</si>
  <si>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</si>
  <si>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</si>
  <si>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</si>
  <si>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</si>
  <si>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</si>
  <si>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</si>
  <si>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</si>
  <si>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</si>
  <si>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</si>
  <si>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</si>
  <si>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</si>
  <si>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</si>
  <si>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</si>
  <si>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</si>
  <si>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</si>
  <si>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</si>
  <si>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</si>
  <si>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</si>
  <si>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</si>
  <si>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</si>
  <si>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</si>
  <si>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</si>
  <si>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</si>
  <si>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</si>
  <si>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</si>
  <si>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</si>
  <si>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</si>
  <si>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</si>
  <si>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</si>
  <si>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</si>
  <si>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</si>
  <si>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</si>
  <si>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</si>
  <si>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</si>
  <si>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</si>
  <si>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</si>
  <si>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</si>
  <si>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</si>
  <si>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</si>
  <si>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</si>
  <si>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</si>
  <si>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</si>
  <si>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</si>
  <si>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</si>
  <si>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</si>
  <si>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</si>
  <si>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</si>
  <si>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</si>
  <si>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</si>
  <si>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</si>
  <si>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</si>
  <si>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</si>
  <si>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</si>
  <si>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</si>
  <si>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</si>
  <si>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</si>
  <si>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</si>
  <si>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</si>
  <si>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</si>
  <si>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</si>
  <si>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</si>
  <si>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</si>
  <si>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</si>
  <si>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</si>
  <si>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</si>
  <si>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</si>
  <si>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</si>
  <si>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</si>
  <si>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</si>
  <si>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</si>
  <si>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</si>
  <si>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</si>
  <si>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</si>
  <si>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</si>
  <si>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</si>
  <si>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</si>
  <si>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</si>
  <si>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</si>
  <si>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</si>
  <si>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</si>
  <si>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</si>
  <si>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</si>
  <si>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</si>
  <si>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</si>
  <si>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</si>
  <si>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</si>
  <si>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</si>
  <si>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</si>
  <si>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</si>
  <si>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</si>
  <si>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</si>
  <si>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</si>
  <si>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</si>
  <si>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</si>
  <si>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</si>
  <si>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</si>
  <si>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</si>
  <si>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</si>
  <si>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</si>
  <si>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</si>
  <si>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</si>
  <si>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</si>
  <si>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</si>
  <si>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</si>
  <si>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</si>
  <si>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</si>
  <si>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</si>
  <si>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</si>
  <si>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</si>
  <si>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</si>
  <si>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</si>
  <si>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</si>
  <si>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</si>
  <si>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</si>
  <si>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</si>
  <si>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</si>
  <si>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</si>
  <si>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</si>
  <si>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</si>
  <si>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</si>
  <si>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</si>
  <si>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</si>
  <si>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</si>
  <si>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</si>
  <si>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</si>
  <si>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</si>
  <si>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</si>
  <si>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</si>
  <si>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</si>
  <si>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</si>
  <si>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</si>
  <si>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</si>
  <si>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</si>
  <si>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</si>
  <si>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</si>
  <si>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</si>
  <si>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</si>
  <si>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</si>
  <si>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</si>
  <si>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</si>
  <si>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</si>
  <si>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</si>
  <si>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</si>
  <si>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</si>
  <si>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</si>
  <si>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</si>
  <si>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</si>
  <si>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</si>
  <si>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</si>
  <si>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</si>
  <si>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</si>
  <si>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</si>
  <si>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</si>
  <si>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</si>
  <si>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</si>
  <si>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</si>
  <si>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</si>
  <si>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</si>
  <si>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</si>
  <si>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</si>
  <si>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</si>
  <si>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</si>
  <si>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</si>
  <si>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</si>
  <si>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</si>
  <si>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</si>
  <si>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</si>
  <si>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</si>
  <si>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</si>
  <si>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</si>
  <si>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</si>
  <si>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</si>
  <si>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</si>
  <si>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</si>
  <si>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</si>
  <si>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</si>
  <si>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</si>
  <si>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</si>
  <si>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</si>
  <si>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</si>
  <si>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</si>
  <si>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</si>
  <si>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</si>
  <si>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</si>
  <si>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</si>
  <si>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</si>
  <si>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</si>
  <si>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</si>
  <si>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</si>
  <si>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</si>
  <si>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</si>
  <si>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</si>
  <si>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</si>
  <si>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</si>
  <si>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</si>
  <si>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</si>
  <si>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</si>
  <si>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</si>
  <si>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</si>
  <si>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</si>
  <si>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</si>
  <si>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</si>
  <si>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</si>
  <si>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</si>
  <si>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</si>
  <si>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</si>
  <si>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</si>
  <si>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</si>
  <si>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</si>
  <si>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</si>
  <si>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</si>
  <si>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</si>
  <si>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</si>
  <si>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</si>
  <si>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</si>
  <si>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</si>
  <si>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</si>
  <si>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</si>
  <si>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</si>
  <si>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</si>
  <si>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</si>
  <si>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</si>
  <si>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</si>
  <si>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</si>
  <si>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</si>
  <si>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</si>
  <si>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</si>
  <si>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</si>
  <si>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</si>
  <si>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</si>
  <si>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</si>
  <si>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</si>
  <si>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</si>
  <si>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</si>
  <si>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</si>
  <si>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</si>
  <si>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</si>
  <si>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</si>
  <si>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</si>
  <si>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</si>
  <si>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</si>
  <si>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</si>
  <si>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</si>
  <si>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</si>
  <si>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</si>
  <si>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</si>
  <si>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</si>
  <si>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</si>
  <si>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</si>
  <si>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</si>
  <si>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</si>
  <si>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</si>
  <si>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</si>
  <si>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</si>
  <si>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</si>
  <si>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</si>
  <si>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</si>
  <si>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</si>
  <si>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</si>
  <si>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</si>
  <si>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</si>
  <si>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</si>
  <si>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</si>
  <si>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</si>
  <si>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</si>
  <si>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</si>
  <si>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</si>
  <si>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</si>
  <si>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</si>
  <si>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</si>
  <si>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</si>
  <si>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</si>
  <si>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</si>
  <si>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</si>
  <si>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</si>
  <si>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</si>
  <si>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</si>
  <si>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</si>
  <si>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</si>
  <si>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</si>
  <si>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</si>
  <si>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</si>
  <si>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</si>
  <si>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</si>
  <si>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</si>
  <si>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</si>
  <si>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</si>
  <si>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</si>
  <si>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</si>
  <si>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</si>
  <si>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</si>
  <si>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</si>
  <si>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</si>
  <si>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</si>
  <si>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</si>
  <si>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</si>
  <si>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</si>
  <si>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</si>
  <si>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</si>
  <si>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</si>
  <si>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</si>
  <si>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</si>
  <si>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</si>
  <si>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</si>
  <si>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</si>
  <si>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</si>
  <si>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</si>
  <si>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</si>
  <si>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</si>
  <si>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</si>
  <si>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</si>
  <si>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</si>
  <si>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</si>
  <si>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</si>
  <si>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</si>
  <si>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</si>
  <si>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</si>
  <si>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</si>
  <si>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</si>
  <si>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</si>
  <si>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</si>
  <si>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</si>
  <si>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</si>
  <si>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</si>
  <si>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</si>
  <si>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</si>
  <si>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</si>
  <si>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</si>
  <si>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</si>
  <si>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</si>
  <si>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</si>
  <si>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</si>
  <si>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</si>
  <si>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</si>
  <si>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</si>
  <si>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</si>
  <si>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</si>
  <si>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</si>
  <si>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</si>
  <si>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</si>
  <si>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</si>
  <si>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</si>
  <si>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</si>
  <si>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</si>
  <si>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</si>
  <si>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</si>
  <si>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</si>
  <si>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</si>
  <si>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</si>
  <si>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</si>
  <si>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</si>
  <si>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</si>
  <si>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</si>
  <si>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</si>
  <si>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</si>
  <si>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</si>
  <si>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</si>
  <si>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</si>
  <si>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</si>
  <si>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</si>
  <si>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</si>
  <si>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</si>
  <si>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</si>
  <si>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</si>
  <si>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</si>
  <si>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</si>
  <si>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</si>
  <si>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</si>
  <si>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</si>
  <si>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</si>
  <si>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</si>
  <si>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</si>
  <si>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</si>
  <si>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</si>
  <si>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</si>
  <si>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</si>
  <si>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</si>
  <si>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</si>
  <si>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</si>
  <si>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</si>
  <si>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</si>
  <si>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</si>
  <si>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</si>
  <si>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</si>
  <si>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</si>
  <si>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</si>
  <si>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</si>
  <si>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</si>
  <si>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</si>
  <si>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</si>
  <si>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</si>
  <si>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</si>
  <si>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</si>
  <si>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</si>
  <si>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</si>
  <si>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</si>
  <si>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</si>
  <si>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</si>
  <si>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</si>
  <si>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</si>
  <si>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</si>
  <si>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</si>
  <si>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</si>
  <si>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</si>
  <si>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</si>
  <si>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</si>
  <si>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</si>
  <si>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</si>
  <si>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</si>
  <si>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</si>
  <si>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</si>
  <si>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</si>
  <si>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</si>
  <si>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</si>
  <si>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</si>
  <si>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</si>
  <si>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</si>
  <si>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</si>
  <si>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</si>
  <si>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</si>
  <si>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</si>
  <si>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</si>
  <si>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</si>
  <si>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</si>
  <si>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</si>
  <si>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</si>
  <si>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</si>
  <si>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</si>
  <si>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</si>
  <si>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</si>
  <si>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</si>
  <si>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</si>
  <si>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</si>
  <si>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</si>
  <si>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</si>
  <si>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</si>
  <si>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</si>
  <si>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</si>
  <si>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</si>
  <si>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</si>
  <si>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</si>
  <si>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</si>
  <si>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</si>
  <si>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</si>
  <si>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</si>
  <si>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</si>
  <si>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</si>
  <si>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</si>
  <si>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</si>
  <si>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</si>
  <si>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</si>
  <si>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</si>
  <si>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</si>
  <si>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</si>
  <si>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</si>
  <si>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</si>
  <si>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</si>
  <si>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</si>
  <si>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</si>
  <si>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</si>
  <si>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</si>
  <si>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</si>
  <si>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</si>
  <si>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</si>
  <si>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</si>
  <si>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</si>
  <si>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</si>
  <si>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</si>
  <si>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</si>
  <si>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</si>
  <si>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</si>
  <si>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</si>
  <si>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</si>
  <si>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</si>
  <si>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</si>
  <si>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</si>
  <si>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</si>
  <si>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</si>
  <si>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</si>
  <si>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</si>
  <si>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</si>
  <si>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</si>
  <si>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</si>
  <si>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</si>
  <si>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</si>
  <si>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</si>
  <si>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</si>
  <si>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</si>
  <si>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</si>
  <si>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</si>
  <si>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</si>
  <si>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</si>
  <si>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</si>
  <si>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</si>
  <si>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</si>
  <si>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</si>
  <si>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</si>
  <si>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</si>
  <si>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</si>
  <si>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</si>
  <si>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</si>
  <si>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</si>
  <si>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</si>
  <si>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</si>
  <si>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</si>
  <si>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</si>
  <si>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</si>
  <si>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</si>
  <si>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</si>
  <si>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</si>
  <si>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</si>
  <si>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</si>
  <si>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</si>
  <si>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</si>
  <si>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</si>
  <si>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</si>
  <si>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</si>
  <si>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</si>
  <si>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</si>
  <si>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</si>
  <si>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</si>
  <si>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</si>
  <si>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</si>
  <si>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</si>
  <si>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</si>
  <si>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</si>
  <si>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</si>
  <si>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</si>
  <si>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</si>
  <si>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</si>
  <si>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</si>
  <si>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</si>
  <si>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</si>
  <si>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</si>
  <si>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</si>
  <si>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</si>
  <si>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</si>
  <si>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</si>
  <si>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</si>
  <si>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</si>
  <si>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</si>
  <si>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</si>
  <si>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</si>
  <si>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</si>
  <si>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</si>
  <si>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</si>
  <si>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</si>
  <si>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</si>
  <si>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</si>
  <si>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</si>
  <si>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</si>
  <si>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06/30/2018</t>
  </si>
  <si>
    <t>2017</t>
  </si>
  <si>
    <t>06/30/2019</t>
  </si>
  <si>
    <t>Ketul Patel</t>
  </si>
  <si>
    <t>Roy Brooks</t>
  </si>
  <si>
    <t>035</t>
  </si>
  <si>
    <t>St. Elizabeth Hospital</t>
  </si>
  <si>
    <t>1450 Batersby Ave</t>
  </si>
  <si>
    <t>PO Box 218</t>
  </si>
  <si>
    <t>Enumclaw, WA 98022</t>
  </si>
  <si>
    <t>Mike Fitzerald</t>
  </si>
  <si>
    <t>360-825-2505</t>
  </si>
  <si>
    <t>360-825-9046</t>
  </si>
  <si>
    <t>change in Stat for FY18</t>
  </si>
  <si>
    <t>Increase in expense for contracted anesthesiologists and intracompany allocation</t>
  </si>
  <si>
    <t>reduction in volume not fully offset by reduction in operating costs</t>
  </si>
  <si>
    <t>Sum of Inpatient services gross revenue</t>
  </si>
  <si>
    <t>Sum of Gross patient services revenue</t>
  </si>
  <si>
    <t>Sum of Total nonpatient revenues</t>
  </si>
  <si>
    <t>Sum of Total operating revenue</t>
  </si>
  <si>
    <t>Sum of Salaries and wages</t>
  </si>
  <si>
    <t>Sum of Employee benefits</t>
  </si>
  <si>
    <t>Sum of Supplies expense</t>
  </si>
  <si>
    <t>Sum of Utilities expense</t>
  </si>
  <si>
    <t>Sum of Medical professional fees</t>
  </si>
  <si>
    <t>Sum of Rentals and leases</t>
  </si>
  <si>
    <t>Sum of Depreciation and amortization</t>
  </si>
  <si>
    <t>Sum of Other expenses</t>
  </si>
  <si>
    <t>Sum of Total operating expenses</t>
  </si>
  <si>
    <t>Sum of Nonoperating gains (losses)</t>
  </si>
  <si>
    <t>Sum of Income Statement</t>
  </si>
  <si>
    <t>L&amp;D</t>
  </si>
  <si>
    <t>Surgery</t>
  </si>
  <si>
    <t>Medical Supplies</t>
  </si>
  <si>
    <t>IVT</t>
  </si>
  <si>
    <t>Lab</t>
  </si>
  <si>
    <t>MRI</t>
  </si>
  <si>
    <t>CT Scan</t>
  </si>
  <si>
    <t>Radiology</t>
  </si>
  <si>
    <t>Nuclear Med</t>
  </si>
  <si>
    <t>Resp Therapy</t>
  </si>
  <si>
    <t>Other Ancilliary</t>
  </si>
  <si>
    <t>Printing</t>
  </si>
  <si>
    <t>Patient Acctg</t>
  </si>
  <si>
    <t>Employee Health</t>
  </si>
  <si>
    <t>Auxilliary</t>
  </si>
  <si>
    <t>Utilization Review</t>
  </si>
  <si>
    <t>Nursing Admin</t>
  </si>
  <si>
    <t>Comm Health</t>
  </si>
  <si>
    <t>Other Admin</t>
  </si>
  <si>
    <t>Marketing</t>
  </si>
  <si>
    <t>Gran</t>
  </si>
  <si>
    <t>d Total</t>
  </si>
  <si>
    <t>Sum of Physician services gross revenue</t>
  </si>
  <si>
    <t>Sum of Total Outpatient Revenue</t>
  </si>
  <si>
    <t>Sum of Net patient services revenue</t>
  </si>
  <si>
    <t>Sum of Total Purchase Service</t>
  </si>
  <si>
    <t>Row</t>
  </si>
  <si>
    <t>Labels</t>
  </si>
  <si>
    <t>Physical Rehab</t>
  </si>
  <si>
    <t>GL293</t>
  </si>
  <si>
    <t>VAR</t>
  </si>
  <si>
    <t>Change in methodology; FY18 was direct payments by STE, FY19 this bacame an allocation, charged to Unassigned AU</t>
  </si>
  <si>
    <t>Sum of Total Other Expenses</t>
  </si>
  <si>
    <t>Grand Total</t>
  </si>
  <si>
    <t>part of this is UBI tax # 766030</t>
  </si>
  <si>
    <t xml:space="preserve">   for $21,500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</si>
</sst>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1EDFF"/>
        <bgColor indexed="64"/>
      </patternFill>
    </fill>
    <fill>
      <patternFill patternType="solid">
        <fgColor rgb="FFB7E4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0" fontId="1" fillId="0" borderId="0"/>
    <xf numFmtId="37" fontId="6" fillId="0" borderId="0"/>
  </cellStyleXfs>
  <cellXfs count="30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3" fontId="5" fillId="0" borderId="0" xfId="1" applyFont="1"/>
    <xf numFmtId="166" fontId="5" fillId="0" borderId="0" xfId="0" applyNumberFormat="1" applyFont="1"/>
    <xf numFmtId="37" fontId="5" fillId="0" borderId="0" xfId="0" pivotButton="1" applyFont="1"/>
    <xf numFmtId="166" fontId="15" fillId="0" borderId="0" xfId="0" applyNumberFormat="1" applyFont="1"/>
    <xf numFmtId="37" fontId="15" fillId="0" borderId="0" xfId="0" applyFont="1"/>
    <xf numFmtId="43" fontId="15" fillId="0" borderId="0" xfId="1" applyFont="1"/>
    <xf numFmtId="166" fontId="15" fillId="0" borderId="0" xfId="1" applyNumberFormat="1" applyFont="1"/>
    <xf numFmtId="37" fontId="9" fillId="0" borderId="1" xfId="0" quotePrefix="1" applyNumberFormat="1" applyFont="1" applyBorder="1" applyProtection="1">
      <protection locked="0"/>
    </xf>
    <xf numFmtId="37" fontId="5" fillId="8" borderId="0" xfId="0" applyFont="1" applyFill="1"/>
    <xf numFmtId="43" fontId="5" fillId="8" borderId="0" xfId="1" applyFont="1" applyFill="1"/>
    <xf numFmtId="37" fontId="16" fillId="0" borderId="0" xfId="0" applyFont="1"/>
    <xf numFmtId="0" fontId="16" fillId="0" borderId="0" xfId="0" applyNumberFormat="1" applyFont="1"/>
    <xf numFmtId="37" fontId="16" fillId="0" borderId="0" xfId="0" applyNumberFormat="1" applyFont="1"/>
    <xf numFmtId="43" fontId="15" fillId="10" borderId="0" xfId="1" applyFont="1" applyFill="1"/>
    <xf numFmtId="43" fontId="15" fillId="9" borderId="0" xfId="1" applyFont="1" applyFill="1"/>
    <xf numFmtId="37" fontId="9" fillId="0" borderId="1" xfId="0" quotePrefix="1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/>
    <cellStyle name="Normal 2 2" xfId="5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1EDFF"/>
      <color rgb="FFB7E4FF"/>
      <color rgb="FF43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6727149.8600000003</v>
      </c>
      <c r="C47" s="293">
        <f>IF(ISERR(VLOOKUP(VALUE(C$44),'SE Data'!$A$4:$AD$57,11,0)="TRUE"),0,VLOOKUP(VALUE(C$44),'SE Data'!$A$4:$AD$57,11,0))</f>
        <v>0</v>
      </c>
      <c r="D47" s="293">
        <f>IF(ISERR(VLOOKUP(VALUE(D$44),'SE Data'!$A$4:$AD$57,11,0)="TRUE"),0,VLOOKUP(VALUE(D$44),'SE Data'!$A$4:$AD$57,11,0))</f>
        <v>0</v>
      </c>
      <c r="E47" s="293">
        <f>IF(ISERR(VLOOKUP(VALUE(E$44),'SE Data'!$A$4:$AD$57,11,0)="TRUE"),0,VLOOKUP(VALUE(E$44),'SE Data'!$A$4:$AD$57,11,0))</f>
        <v>896963.07</v>
      </c>
      <c r="F47" s="293">
        <f>IF(ISERR(VLOOKUP(VALUE(F$44),'SE Data'!$A$4:$AD$57,11,0)="TRUE"),0,VLOOKUP(VALUE(F$44),'SE Data'!$A$4:$AD$57,11,0))</f>
        <v>0</v>
      </c>
      <c r="G47" s="293">
        <f>IF(ISERR(VLOOKUP(VALUE(G$44),'SE Data'!$A$4:$AD$57,11,0)="TRUE"),0,VLOOKUP(VALUE(G$44),'SE Data'!$A$4:$AD$57,11,0))</f>
        <v>0</v>
      </c>
      <c r="H47" s="293">
        <f>IF(ISERR(VLOOKUP(VALUE(H$44),'SE Data'!$A$4:$AD$57,11,0)="TRUE"),0,VLOOKUP(VALUE(H$44),'SE Data'!$A$4:$AD$57,11,0))</f>
        <v>0</v>
      </c>
      <c r="I47" s="293">
        <f>IF(ISERR(VLOOKUP(VALUE(I$44),'SE Data'!$A$4:$AD$57,11,0)="TRUE"),0,VLOOKUP(VALUE(I$44),'SE Data'!$A$4:$AD$57,11,0))</f>
        <v>0</v>
      </c>
      <c r="J47" s="293">
        <f>IF(ISERR(VLOOKUP(VALUE(J$44),'SE Data'!$A$4:$AD$57,11,0)="TRUE"),0,VLOOKUP(VALUE(J$44),'SE Data'!$A$4:$AD$57,11,0))</f>
        <v>0</v>
      </c>
      <c r="K47" s="293">
        <f>IF(ISERR(VLOOKUP(VALUE(K$44),'SE Data'!$A$4:$AD$57,11,0)="TRUE"),0,VLOOKUP(VALUE(K$44),'SE Data'!$A$4:$AD$57,11,0))</f>
        <v>0</v>
      </c>
      <c r="L47" s="293">
        <f>IF(ISERR(VLOOKUP(VALUE(L$44),'SE Data'!$A$4:$AD$57,11,0)="TRUE"),0,VLOOKUP(VALUE(L$44),'SE Data'!$A$4:$AD$57,11,0))</f>
        <v>0</v>
      </c>
      <c r="M47" s="293">
        <f>IF(ISERR(VLOOKUP(VALUE(M$44),'SE Data'!$A$4:$AD$57,11,0)="TRUE"),0,VLOOKUP(VALUE(M$44),'SE Data'!$A$4:$AD$57,11,0))</f>
        <v>0</v>
      </c>
      <c r="N47" s="293">
        <f>IF(ISERR(VLOOKUP(VALUE(N$44),'SE Data'!$A$4:$AD$57,11,0)="TRUE"),0,VLOOKUP(VALUE(N$44),'SE Data'!$A$4:$AD$57,11,0))</f>
        <v>0</v>
      </c>
      <c r="O47" s="293">
        <f>IF(ISERR(VLOOKUP(VALUE(O$44),'SE Data'!$A$4:$AD$57,11,0)="TRUE"),0,VLOOKUP(VALUE(O$44),'SE Data'!$A$4:$AD$57,11,0))</f>
        <v>324044.84999999998</v>
      </c>
      <c r="P47" s="293">
        <f>IF(ISERR(VLOOKUP(VALUE(P$44),'SE Data'!$A$4:$AD$57,11,0)="TRUE"),0,VLOOKUP(VALUE(P$44),'SE Data'!$A$4:$AD$57,11,0))</f>
        <v>514981.86</v>
      </c>
      <c r="Q47" s="293">
        <f>IF(ISERR(VLOOKUP(VALUE(Q$44),'SE Data'!$A$4:$AD$57,11,0)="TRUE"),0,VLOOKUP(VALUE(Q$44),'SE Data'!$A$4:$AD$57,11,0))</f>
        <v>262429.13999999996</v>
      </c>
      <c r="R47" s="293">
        <f>IF(ISERR(VLOOKUP(VALUE(R$44),'SE Data'!$A$4:$AD$57,11,0)="TRUE"),0,VLOOKUP(VALUE(R$44),'SE Data'!$A$4:$AD$57,11,0))</f>
        <v>0</v>
      </c>
      <c r="S47" s="293">
        <f>IF(ISERR(VLOOKUP(VALUE(S$44),'SE Data'!$A$4:$AD$57,11,0)="TRUE"),0,VLOOKUP(VALUE(S$44),'SE Data'!$A$4:$AD$57,11,0))</f>
        <v>95200.609999999986</v>
      </c>
      <c r="T47" s="293">
        <f>IF(ISERR(VLOOKUP(VALUE(T$44),'SE Data'!$A$4:$AD$57,11,0)="TRUE"),0,VLOOKUP(VALUE(T$44),'SE Data'!$A$4:$AD$57,11,0))</f>
        <v>3765.3199999999997</v>
      </c>
      <c r="U47" s="293">
        <f>IF(ISERR(VLOOKUP(VALUE(U$44),'SE Data'!$A$4:$AD$57,11,0)="TRUE"),0,VLOOKUP(VALUE(U$44),'SE Data'!$A$4:$AD$57,11,0))</f>
        <v>230741.17</v>
      </c>
      <c r="V47" s="293">
        <f>IF(ISERR(VLOOKUP(VALUE(V$44),'SE Data'!$A$4:$AD$57,11,0)="TRUE"),0,VLOOKUP(VALUE(V$44),'SE Data'!$A$4:$AD$57,11,0))</f>
        <v>0</v>
      </c>
      <c r="W47" s="293">
        <f>IF(ISERR(VLOOKUP(VALUE(W$44),'SE Data'!$A$4:$AD$57,11,0)="TRUE"),0,VLOOKUP(VALUE(W$44),'SE Data'!$A$4:$AD$57,11,0))</f>
        <v>47067.520000000004</v>
      </c>
      <c r="X47" s="293">
        <f>IF(ISERR(VLOOKUP(VALUE(X$44),'SE Data'!$A$4:$AD$57,11,0)="TRUE"),0,VLOOKUP(VALUE(X$44),'SE Data'!$A$4:$AD$57,11,0))</f>
        <v>119530.18</v>
      </c>
      <c r="Y47" s="293">
        <v>261703.69999999998</v>
      </c>
      <c r="Z47" s="293">
        <v>0</v>
      </c>
      <c r="AA47" s="293">
        <f>IF(ISERR(VLOOKUP(VALUE(AA$44),'SE Data'!$A$4:$AD$57,11,0)="TRUE"),0,VLOOKUP(VALUE(AA$44),'SE Data'!$A$4:$AD$57,11,0))</f>
        <v>32977.299999999996</v>
      </c>
      <c r="AB47" s="293">
        <f>IF(ISERR(VLOOKUP(VALUE(AB$44),'SE Data'!$A$4:$AD$57,11,0)="TRUE"),0,VLOOKUP(VALUE(AB$44),'SE Data'!$A$4:$AD$57,11,0))</f>
        <v>138024.24</v>
      </c>
      <c r="AC47" s="293">
        <f>IF(ISERR(VLOOKUP(VALUE(AC$44),'SE Data'!$A$4:$AD$57,11,0)="TRUE"),0,VLOOKUP(VALUE(AC$44),'SE Data'!$A$4:$AD$57,11,0))</f>
        <v>137051.85</v>
      </c>
      <c r="AD47" s="293">
        <f>IF(ISERR(VLOOKUP(VALUE(AD$44),'SE Data'!$A$4:$AD$57,11,0)="TRUE"),0,VLOOKUP(VALUE(AD$44),'SE Data'!$A$4:$AD$57,11,0))</f>
        <v>0</v>
      </c>
      <c r="AE47" s="293">
        <f>IF(ISERR(VLOOKUP(VALUE(AE$44),'SE Data'!$A$4:$AD$57,11,0)="TRUE"),0,VLOOKUP(VALUE(AE$44),'SE Data'!$A$4:$AD$57,11,0))</f>
        <v>0</v>
      </c>
      <c r="AF47" s="293">
        <f>IF(ISERR(VLOOKUP(VALUE(AF$44),'SE Data'!$A$4:$AD$57,11,0)="TRUE"),0,VLOOKUP(VALUE(AF$44),'SE Data'!$A$4:$AD$57,11,0))</f>
        <v>0</v>
      </c>
      <c r="AG47" s="293">
        <f>IF(ISERR(VLOOKUP(VALUE(AG$44),'SE Data'!$A$4:$AD$57,11,0)="TRUE"),0,VLOOKUP(VALUE(AG$44),'SE Data'!$A$4:$AD$57,11,0))</f>
        <v>533006.6100000001</v>
      </c>
      <c r="AH47" s="293">
        <f>IF(ISERR(VLOOKUP(VALUE(AH$44),'SE Data'!$A$4:$AD$57,11,0)="TRUE"),0,VLOOKUP(VALUE(AH$44),'SE Data'!$A$4:$AD$57,11,0))</f>
        <v>0</v>
      </c>
      <c r="AI47" s="293">
        <f>IF(ISERR(VLOOKUP(VALUE(AI$44),'SE Data'!$A$4:$AD$57,11,0)="TRUE"),0,VLOOKUP(VALUE(AI$44),'SE Data'!$A$4:$AD$57,11,0))</f>
        <v>0</v>
      </c>
      <c r="AJ47" s="293">
        <f>IF(ISERR(VLOOKUP(VALUE(AJ$44),'SE Data'!$A$4:$AD$57,11,0)="TRUE"),0,VLOOKUP(VALUE(AJ$44),'SE Data'!$A$4:$AD$57,11,0))</f>
        <v>2287695.91</v>
      </c>
      <c r="AK47" s="293">
        <f>IF(ISERR(VLOOKUP(VALUE(AK$44),'SE Data'!$A$4:$AD$57,11,0)="TRUE"),0,VLOOKUP(VALUE(AK$44),'SE Data'!$A$4:$AD$57,11,0))</f>
        <v>0</v>
      </c>
      <c r="AL47" s="293">
        <f>IF(ISERR(VLOOKUP(VALUE(AL$44),'SE Data'!$A$4:$AD$57,11,0)="TRUE"),0,VLOOKUP(VALUE(AL$44),'SE Data'!$A$4:$AD$57,11,0))</f>
        <v>22.92</v>
      </c>
      <c r="AM47" s="293">
        <f>IF(ISERR(VLOOKUP(VALUE(AM$44),'SE Data'!$A$4:$AD$57,11,0)="TRUE"),0,VLOOKUP(VALUE(AM$44),'SE Data'!$A$4:$AD$57,11,0))</f>
        <v>0</v>
      </c>
      <c r="AN47" s="293">
        <f>IF(ISERR(VLOOKUP(VALUE(AN$44),'SE Data'!$A$4:$AD$57,11,0)="TRUE"),0,VLOOKUP(VALUE(AN$44),'SE Data'!$A$4:$AD$57,11,0))</f>
        <v>0</v>
      </c>
      <c r="AO47" s="293">
        <f>IF(ISERR(VLOOKUP(VALUE(AO$44),'SE Data'!$A$4:$AD$57,11,0)="TRUE"),0,VLOOKUP(VALUE(AO$44),'SE Data'!$A$4:$AD$57,11,0))</f>
        <v>0</v>
      </c>
      <c r="AP47" s="293">
        <f>IF(ISERR(VLOOKUP(VALUE(AP$44),'SE Data'!$A$4:$AD$57,11,0)="TRUE"),0,VLOOKUP(VALUE(AP$44),'SE Data'!$A$4:$AD$57,11,0))</f>
        <v>0</v>
      </c>
      <c r="AQ47" s="293">
        <f>IF(ISERR(VLOOKUP(VALUE(AQ$44),'SE Data'!$A$4:$AD$57,11,0)="TRUE"),0,VLOOKUP(VALUE(AQ$44),'SE Data'!$A$4:$AD$57,11,0))</f>
        <v>0</v>
      </c>
      <c r="AR47" s="293">
        <f>IF(ISERR(VLOOKUP(VALUE(AR$44),'SE Data'!$A$4:$AD$57,11,0)="TRUE"),0,VLOOKUP(VALUE(AR$44),'SE Data'!$A$4:$AD$57,11,0))</f>
        <v>0</v>
      </c>
      <c r="AS47" s="293">
        <f>IF(ISERR(VLOOKUP(VALUE(AS$44),'SE Data'!$A$4:$AD$57,11,0)="TRUE"),0,VLOOKUP(VALUE(AS$44),'SE Data'!$A$4:$AD$57,11,0))</f>
        <v>0</v>
      </c>
      <c r="AT47" s="293">
        <f>IF(ISERR(VLOOKUP(VALUE(AT$44),'SE Data'!$A$4:$AD$57,11,0)="TRUE"),0,VLOOKUP(VALUE(AT$44),'SE Data'!$A$4:$AD$57,11,0))</f>
        <v>0</v>
      </c>
      <c r="AU47" s="293">
        <f>IF(ISERR(VLOOKUP(VALUE(AU$44),'SE Data'!$A$4:$AD$57,11,0)="TRUE"),0,VLOOKUP(VALUE(AU$44),'SE Data'!$A$4:$AD$57,11,0))</f>
        <v>0</v>
      </c>
      <c r="AV47" s="293">
        <f>IF(ISERR(VLOOKUP(VALUE(AV$44),'SE Data'!$A$4:$AD$57,11,0)="TRUE"),0,VLOOKUP(VALUE(AV$44),'SE Data'!$A$4:$AD$57,11,0))</f>
        <v>0</v>
      </c>
      <c r="AW47" s="293">
        <f>IF(ISERR(VLOOKUP(VALUE(AW$44),'SE Data'!$A$4:$AD$57,11,0)="TRUE"),0,VLOOKUP(VALUE(AW$44),'SE Data'!$A$4:$AD$57,11,0))</f>
        <v>0</v>
      </c>
      <c r="AX47" s="293">
        <f>IF(ISERR(VLOOKUP(VALUE(AX$44),'SE Data'!$A$4:$AD$57,11,0)="TRUE"),0,VLOOKUP(VALUE(AX$44),'SE Data'!$A$4:$AD$57,11,0))</f>
        <v>0</v>
      </c>
      <c r="AY47" s="293">
        <f>IF(ISERR(VLOOKUP(VALUE(AY$44),'SE Data'!$A$4:$AD$57,11,0)="TRUE"),0,VLOOKUP(VALUE(AY$44),'SE Data'!$A$4:$AD$57,11,0))</f>
        <v>197116.23000000004</v>
      </c>
      <c r="AZ47" s="293">
        <f>IF(ISERR(VLOOKUP(VALUE(AZ$44),'SE Data'!$A$4:$AD$57,11,0)="TRUE"),0,VLOOKUP(VALUE(AZ$44),'SE Data'!$A$4:$AD$57,11,0))</f>
        <v>0</v>
      </c>
      <c r="BA47" s="293">
        <f>IF(ISERR(VLOOKUP(VALUE(BA$44),'SE Data'!$A$4:$AD$57,11,0)="TRUE"),0,VLOOKUP(VALUE(BA$44),'SE Data'!$A$4:$AD$57,11,0))</f>
        <v>0</v>
      </c>
      <c r="BB47" s="293">
        <f>IF(ISERR(VLOOKUP(VALUE(BB$44),'SE Data'!$A$4:$AD$57,11,0)="TRUE"),0,VLOOKUP(VALUE(BB$44),'SE Data'!$A$4:$AD$57,11,0))</f>
        <v>0</v>
      </c>
      <c r="BC47" s="293">
        <f>IF(ISERR(VLOOKUP(VALUE(BC$44),'SE Data'!$A$4:$AD$57,11,0)="TRUE"),0,VLOOKUP(VALUE(BC$44),'SE Data'!$A$4:$AD$57,11,0))</f>
        <v>0</v>
      </c>
      <c r="BD47" s="293">
        <f>IF(ISERR(VLOOKUP(VALUE(BD$44),'SE Data'!$A$4:$AD$57,11,0)="TRUE"),0,VLOOKUP(VALUE(BD$44),'SE Data'!$A$4:$AD$57,11,0))</f>
        <v>0</v>
      </c>
      <c r="BE47" s="293">
        <f>IF(ISERR(VLOOKUP(VALUE(BE$44),'SE Data'!$A$4:$AD$57,11,0)="TRUE"),0,VLOOKUP(VALUE(BE$44),'SE Data'!$A$4:$AD$57,11,0))</f>
        <v>78260.840000000011</v>
      </c>
      <c r="BF47" s="293">
        <f>IF(ISERR(VLOOKUP(VALUE(BF$44),'SE Data'!$A$4:$AD$57,11,0)="TRUE"),0,VLOOKUP(VALUE(BF$44),'SE Data'!$A$4:$AD$57,11,0))</f>
        <v>200782.41000000003</v>
      </c>
      <c r="BG47" s="293">
        <f>IF(ISERR(VLOOKUP(VALUE(BG$44),'SE Data'!$A$4:$AD$57,11,0)="TRUE"),0,VLOOKUP(VALUE(BG$44),'SE Data'!$A$4:$AD$57,11,0))</f>
        <v>-426.38</v>
      </c>
      <c r="BH47" s="293">
        <f>IF(ISERR(VLOOKUP(VALUE(BH$44),'SE Data'!$A$4:$AD$57,11,0)="TRUE"),0,VLOOKUP(VALUE(BH$44),'SE Data'!$A$4:$AD$57,11,0))</f>
        <v>0</v>
      </c>
      <c r="BI47" s="293">
        <f>IF(ISERR(VLOOKUP(VALUE(BI$44),'SE Data'!$A$4:$AD$57,11,0)="TRUE"),0,VLOOKUP(VALUE(BI$44),'SE Data'!$A$4:$AD$57,11,0))</f>
        <v>0</v>
      </c>
      <c r="BJ47" s="293">
        <f>IF(ISERR(VLOOKUP(VALUE(BJ$44),'SE Data'!$A$4:$AD$57,11,0)="TRUE"),0,VLOOKUP(VALUE(BJ$44),'SE Data'!$A$4:$AD$57,11,0))</f>
        <v>0</v>
      </c>
      <c r="BK47" s="293">
        <f>IF(ISERR(VLOOKUP(VALUE(BK$44),'SE Data'!$A$4:$AD$57,11,0)="TRUE"),0,VLOOKUP(VALUE(BK$44),'SE Data'!$A$4:$AD$57,11,0))</f>
        <v>0</v>
      </c>
      <c r="BL47" s="293">
        <f>IF(ISERR(VLOOKUP(VALUE(BL$44),'SE Data'!$A$4:$AD$57,11,0)="TRUE"),0,VLOOKUP(VALUE(BL$44),'SE Data'!$A$4:$AD$57,11,0))</f>
        <v>0</v>
      </c>
      <c r="BM47" s="293">
        <f>IF(ISERR(VLOOKUP(VALUE(BM$44),'SE Data'!$A$4:$AD$57,11,0)="TRUE"),0,VLOOKUP(VALUE(BM$44),'SE Data'!$A$4:$AD$57,11,0))</f>
        <v>0</v>
      </c>
      <c r="BN47" s="293">
        <f>IF(ISERR(VLOOKUP(VALUE(BN$44),'SE Data'!$A$4:$AD$57,11,0)="TRUE"),0,VLOOKUP(VALUE(BN$44),'SE Data'!$A$4:$AD$57,11,0))</f>
        <v>60604.42</v>
      </c>
      <c r="BO47" s="293">
        <f>IF(ISERR(VLOOKUP(VALUE(BO$44),'SE Data'!$A$4:$AD$57,11,0)="TRUE"),0,VLOOKUP(VALUE(BO$44),'SE Data'!$A$4:$AD$57,11,0))</f>
        <v>0</v>
      </c>
      <c r="BP47" s="293">
        <f>IF(ISERR(VLOOKUP(VALUE(BP$44),'SE Data'!$A$4:$AD$57,11,0)="TRUE"),0,VLOOKUP(VALUE(BP$44),'SE Data'!$A$4:$AD$57,11,0))</f>
        <v>0</v>
      </c>
      <c r="BQ47" s="293">
        <f>IF(ISERR(VLOOKUP(VALUE(BQ$44),'SE Data'!$A$4:$AD$57,11,0)="TRUE"),0,VLOOKUP(VALUE(BQ$44),'SE Data'!$A$4:$AD$57,11,0))</f>
        <v>0</v>
      </c>
      <c r="BR47" s="293">
        <f>IF(ISERR(VLOOKUP(VALUE(BR$44),'SE Data'!$A$4:$AD$57,11,0)="TRUE"),0,VLOOKUP(VALUE(BR$44),'SE Data'!$A$4:$AD$57,11,0))</f>
        <v>46.550000000030643</v>
      </c>
      <c r="BS47" s="293">
        <f>IF(ISERR(VLOOKUP(VALUE(BS$44),'SE Data'!$A$4:$AD$57,11,0)="TRUE"),0,VLOOKUP(VALUE(BS$44),'SE Data'!$A$4:$AD$57,11,0))</f>
        <v>0</v>
      </c>
      <c r="BT47" s="293">
        <f>IF(ISERR(VLOOKUP(VALUE(BT$44),'SE Data'!$A$4:$AD$57,11,0)="TRUE"),0,VLOOKUP(VALUE(BT$44),'SE Data'!$A$4:$AD$57,11,0))</f>
        <v>0</v>
      </c>
      <c r="BU47" s="293">
        <f>IF(ISERR(VLOOKUP(VALUE(BU$44),'SE Data'!$A$4:$AD$57,11,0)="TRUE"),0,VLOOKUP(VALUE(BU$44),'SE Data'!$A$4:$AD$57,11,0))</f>
        <v>0</v>
      </c>
      <c r="BV47" s="293">
        <f>IF(ISERR(VLOOKUP(VALUE(BV$44),'SE Data'!$A$4:$AD$57,11,0)="TRUE"),0,VLOOKUP(VALUE(BV$44),'SE Data'!$A$4:$AD$57,11,0))</f>
        <v>0</v>
      </c>
      <c r="BW47" s="293">
        <f>IF(ISERR(VLOOKUP(VALUE(BW$44),'SE Data'!$A$4:$AD$57,11,0)="TRUE"),0,VLOOKUP(VALUE(BW$44),'SE Data'!$A$4:$AD$57,11,0))</f>
        <v>0</v>
      </c>
      <c r="BX47" s="293">
        <f>IF(ISERR(VLOOKUP(VALUE(BX$44),'SE Data'!$A$4:$AD$57,11,0)="TRUE"),0,VLOOKUP(VALUE(BX$44),'SE Data'!$A$4:$AD$57,11,0))</f>
        <v>22439.47</v>
      </c>
      <c r="BY47" s="293">
        <f>IF(ISERR(VLOOKUP(VALUE(BY$44),'SE Data'!$A$4:$AD$57,11,0)="TRUE"),0,VLOOKUP(VALUE(BY$44),'SE Data'!$A$4:$AD$57,11,0))</f>
        <v>283033.93</v>
      </c>
      <c r="BZ47" s="293">
        <f>IF(ISERR(VLOOKUP(VALUE(BZ$44),'SE Data'!$A$4:$AD$57,11,0)="TRUE"),0,VLOOKUP(VALUE(BZ$44),'SE Data'!$A$4:$AD$57,11,0))</f>
        <v>0</v>
      </c>
      <c r="CA47" s="293">
        <f>IF(ISERR(VLOOKUP(VALUE(CA$44),'SE Data'!$A$4:$AD$57,11,0)="TRUE"),0,VLOOKUP(VALUE(CA$44),'SE Data'!$A$4:$AD$57,11,0))</f>
        <v>0</v>
      </c>
      <c r="CB47" s="293">
        <f>IF(ISERR(VLOOKUP(VALUE(CB$44),'SE Data'!$A$4:$AD$57,11,0)="TRUE"),0,VLOOKUP(VALUE(CB$44),'SE Data'!$A$4:$AD$57,11,0))</f>
        <v>0</v>
      </c>
      <c r="CC47" s="293">
        <f>IF(ISERR(VLOOKUP(VALUE(CC$44),'SE Data'!$A$4:$AD$57,11,0)="TRUE"),0,VLOOKUP(VALUE(CC$44),'SE Data'!$A$4:$AD$57,11,0))</f>
        <v>86.140000000000015</v>
      </c>
      <c r="CD47" s="195"/>
      <c r="CE47" s="195">
        <f>SUM(C47:CC47)</f>
        <v>6727149.8599999994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6727149.8600000003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f>4372880.93-1971796</f>
        <v>2401084.9299999997</v>
      </c>
      <c r="C51" s="293">
        <f>IF(ISERR(VLOOKUP(VALUE(C$44),'SE Data'!$A$4:$AD$57,17,0)="TRUE"),0,VLOOKUP(VALUE(C$44),'SE Data'!$A$4:$AD$57,17,0))</f>
        <v>0</v>
      </c>
      <c r="D51" s="293">
        <f>IF(ISERR(VLOOKUP(VALUE(D$44),'SE Data'!$A$4:$AD$57,17,0)="TRUE"),0,VLOOKUP(VALUE(D$44),'SE Data'!$A$4:$AD$57,17,0))</f>
        <v>0</v>
      </c>
      <c r="E51" s="293">
        <f>IF(ISERR(VLOOKUP(VALUE(E$44),'SE Data'!$A$4:$AD$57,17,0)="TRUE"),0,VLOOKUP(VALUE(E$44),'SE Data'!$A$4:$AD$57,17,0))</f>
        <v>87265.1</v>
      </c>
      <c r="F51" s="293">
        <f>IF(ISERR(VLOOKUP(VALUE(F$44),'SE Data'!$A$4:$AD$57,17,0)="TRUE"),0,VLOOKUP(VALUE(F$44),'SE Data'!$A$4:$AD$57,17,0))</f>
        <v>0</v>
      </c>
      <c r="G51" s="293">
        <f>IF(ISERR(VLOOKUP(VALUE(G$44),'SE Data'!$A$4:$AD$57,17,0)="TRUE"),0,VLOOKUP(VALUE(G$44),'SE Data'!$A$4:$AD$57,17,0))</f>
        <v>0</v>
      </c>
      <c r="H51" s="293">
        <f>IF(ISERR(VLOOKUP(VALUE(H$44),'SE Data'!$A$4:$AD$57,17,0)="TRUE"),0,VLOOKUP(VALUE(H$44),'SE Data'!$A$4:$AD$57,17,0))</f>
        <v>0</v>
      </c>
      <c r="I51" s="293">
        <f>IF(ISERR(VLOOKUP(VALUE(I$44),'SE Data'!$A$4:$AD$57,17,0)="TRUE"),0,VLOOKUP(VALUE(I$44),'SE Data'!$A$4:$AD$57,17,0))</f>
        <v>0</v>
      </c>
      <c r="J51" s="293">
        <f>IF(ISERR(VLOOKUP(VALUE(J$44),'SE Data'!$A$4:$AD$57,17,0)="TRUE"),0,VLOOKUP(VALUE(J$44),'SE Data'!$A$4:$AD$57,17,0))</f>
        <v>0</v>
      </c>
      <c r="K51" s="293">
        <f>IF(ISERR(VLOOKUP(VALUE(K$44),'SE Data'!$A$4:$AD$57,17,0)="TRUE"),0,VLOOKUP(VALUE(K$44),'SE Data'!$A$4:$AD$57,17,0))</f>
        <v>0</v>
      </c>
      <c r="L51" s="293">
        <f>IF(ISERR(VLOOKUP(VALUE(L$44),'SE Data'!$A$4:$AD$57,17,0)="TRUE"),0,VLOOKUP(VALUE(L$44),'SE Data'!$A$4:$AD$57,17,0))</f>
        <v>0</v>
      </c>
      <c r="M51" s="293">
        <f>IF(ISERR(VLOOKUP(VALUE(M$44),'SE Data'!$A$4:$AD$57,17,0)="TRUE"),0,VLOOKUP(VALUE(M$44),'SE Data'!$A$4:$AD$57,17,0))</f>
        <v>0</v>
      </c>
      <c r="N51" s="293">
        <f>IF(ISERR(VLOOKUP(VALUE(N$44),'SE Data'!$A$4:$AD$57,17,0)="TRUE"),0,VLOOKUP(VALUE(N$44),'SE Data'!$A$4:$AD$57,17,0))</f>
        <v>0</v>
      </c>
      <c r="O51" s="293">
        <f>IF(ISERR(VLOOKUP(VALUE(O$44),'SE Data'!$A$4:$AD$57,17,0)="TRUE"),0,VLOOKUP(VALUE(O$44),'SE Data'!$A$4:$AD$57,17,0))</f>
        <v>37465.44999999999</v>
      </c>
      <c r="P51" s="293">
        <f>IF(ISERR(VLOOKUP(VALUE(P$44),'SE Data'!$A$4:$AD$57,17,0)="TRUE"),0,VLOOKUP(VALUE(P$44),'SE Data'!$A$4:$AD$57,17,0))</f>
        <v>919369.71</v>
      </c>
      <c r="Q51" s="293">
        <f>IF(ISERR(VLOOKUP(VALUE(Q$44),'SE Data'!$A$4:$AD$57,17,0)="TRUE"),0,VLOOKUP(VALUE(Q$44),'SE Data'!$A$4:$AD$57,17,0))</f>
        <v>13092.63</v>
      </c>
      <c r="R51" s="293">
        <f>IF(ISERR(VLOOKUP(VALUE(R$44),'SE Data'!$A$4:$AD$57,17,0)="TRUE"),0,VLOOKUP(VALUE(R$44),'SE Data'!$A$4:$AD$57,17,0))</f>
        <v>2112.5700000000002</v>
      </c>
      <c r="S51" s="293">
        <f>IF(ISERR(VLOOKUP(VALUE(S$44),'SE Data'!$A$4:$AD$57,17,0)="TRUE"),0,VLOOKUP(VALUE(S$44),'SE Data'!$A$4:$AD$57,17,0))</f>
        <v>0</v>
      </c>
      <c r="T51" s="293">
        <f>IF(ISERR(VLOOKUP(VALUE(T$44),'SE Data'!$A$4:$AD$57,17,0)="TRUE"),0,VLOOKUP(VALUE(T$44),'SE Data'!$A$4:$AD$57,17,0))</f>
        <v>0</v>
      </c>
      <c r="U51" s="293">
        <f>IF(ISERR(VLOOKUP(VALUE(U$44),'SE Data'!$A$4:$AD$57,17,0)="TRUE"),0,VLOOKUP(VALUE(U$44),'SE Data'!$A$4:$AD$57,17,0))</f>
        <v>28368.240000000002</v>
      </c>
      <c r="V51" s="293">
        <f>IF(ISERR(VLOOKUP(VALUE(V$44),'SE Data'!$A$4:$AD$57,17,0)="TRUE"),0,VLOOKUP(VALUE(V$44),'SE Data'!$A$4:$AD$57,17,0))</f>
        <v>0</v>
      </c>
      <c r="W51" s="293">
        <f>IF(ISERR(VLOOKUP(VALUE(W$44),'SE Data'!$A$4:$AD$57,17,0)="TRUE"),0,VLOOKUP(VALUE(W$44),'SE Data'!$A$4:$AD$57,17,0))</f>
        <v>164794.84999999998</v>
      </c>
      <c r="X51" s="293">
        <f>IF(ISERR(VLOOKUP(VALUE(X$44),'SE Data'!$A$4:$AD$57,17,0)="TRUE"),0,VLOOKUP(VALUE(X$44),'SE Data'!$A$4:$AD$57,17,0))</f>
        <v>0</v>
      </c>
      <c r="Y51" s="293">
        <f>IF(ISERR(VLOOKUP(VALUE(Y$44),'SE Data'!$A$4:$AD$57,17,0)="TRUE"),0,VLOOKUP(VALUE(Y$44),'SE Data'!$A$4:$AD$57,17,0))</f>
        <v>204251.8</v>
      </c>
      <c r="Z51" s="293">
        <f>IF(ISERR(VLOOKUP(VALUE(Z$44),'SE Data'!$A$4:$AD$57,17,0)="TRUE"),0,VLOOKUP(VALUE(Z$44),'SE Data'!$A$4:$AD$57,17,0))</f>
        <v>0</v>
      </c>
      <c r="AA51" s="293">
        <f>IF(ISERR(VLOOKUP(VALUE(AA$44),'SE Data'!$A$4:$AD$57,17,0)="TRUE"),0,VLOOKUP(VALUE(AA$44),'SE Data'!$A$4:$AD$57,17,0))</f>
        <v>10962.9</v>
      </c>
      <c r="AB51" s="293">
        <f>IF(ISERR(VLOOKUP(VALUE(AB$44),'SE Data'!$A$4:$AD$57,17,0)="TRUE"),0,VLOOKUP(VALUE(AB$44),'SE Data'!$A$4:$AD$57,17,0))</f>
        <v>46603.78</v>
      </c>
      <c r="AC51" s="293">
        <f>IF(ISERR(VLOOKUP(VALUE(AC$44),'SE Data'!$A$4:$AD$57,17,0)="TRUE"),0,VLOOKUP(VALUE(AC$44),'SE Data'!$A$4:$AD$57,17,0))</f>
        <v>9726.92</v>
      </c>
      <c r="AD51" s="293">
        <f>IF(ISERR(VLOOKUP(VALUE(AD$44),'SE Data'!$A$4:$AD$57,17,0)="TRUE"),0,VLOOKUP(VALUE(AD$44),'SE Data'!$A$4:$AD$57,17,0))</f>
        <v>0</v>
      </c>
      <c r="AE51" s="293">
        <f>IF(ISERR(VLOOKUP(VALUE(AE$44),'SE Data'!$A$4:$AD$57,17,0)="TRUE"),0,VLOOKUP(VALUE(AE$44),'SE Data'!$A$4:$AD$57,17,0))</f>
        <v>0</v>
      </c>
      <c r="AF51" s="293">
        <f>IF(ISERR(VLOOKUP(VALUE(AF$44),'SE Data'!$A$4:$AD$57,17,0)="TRUE"),0,VLOOKUP(VALUE(AF$44),'SE Data'!$A$4:$AD$57,17,0))</f>
        <v>0</v>
      </c>
      <c r="AG51" s="293">
        <f>IF(ISERR(VLOOKUP(VALUE(AG$44),'SE Data'!$A$4:$AD$57,17,0)="TRUE"),0,VLOOKUP(VALUE(AG$44),'SE Data'!$A$4:$AD$57,17,0))</f>
        <v>44417.15</v>
      </c>
      <c r="AH51" s="293">
        <f>IF(ISERR(VLOOKUP(VALUE(AH$44),'SE Data'!$A$4:$AD$57,17,0)="TRUE"),0,VLOOKUP(VALUE(AH$44),'SE Data'!$A$4:$AD$57,17,0))</f>
        <v>0</v>
      </c>
      <c r="AI51" s="293">
        <f>IF(ISERR(VLOOKUP(VALUE(AI$44),'SE Data'!$A$4:$AD$57,17,0)="TRUE"),0,VLOOKUP(VALUE(AI$44),'SE Data'!$A$4:$AD$57,17,0))</f>
        <v>0</v>
      </c>
      <c r="AJ51" s="293">
        <f>IF(ISERR(VLOOKUP(VALUE(AJ$44),'SE Data'!$A$4:$AD$57,17,0)="TRUE"),0,VLOOKUP(VALUE(AJ$44),'SE Data'!$A$4:$AD$57,17,0))</f>
        <v>669014.69999999995</v>
      </c>
      <c r="AK51" s="293">
        <f>IF(ISERR(VLOOKUP(VALUE(AK$44),'SE Data'!$A$4:$AD$57,17,0)="TRUE"),0,VLOOKUP(VALUE(AK$44),'SE Data'!$A$4:$AD$57,17,0))</f>
        <v>0</v>
      </c>
      <c r="AL51" s="293">
        <f>IF(ISERR(VLOOKUP(VALUE(AL$44),'SE Data'!$A$4:$AD$57,17,0)="TRUE"),0,VLOOKUP(VALUE(AL$44),'SE Data'!$A$4:$AD$57,17,0))</f>
        <v>0</v>
      </c>
      <c r="AM51" s="293">
        <f>IF(ISERR(VLOOKUP(VALUE(AM$44),'SE Data'!$A$4:$AD$57,17,0)="TRUE"),0,VLOOKUP(VALUE(AM$44),'SE Data'!$A$4:$AD$57,17,0))</f>
        <v>0</v>
      </c>
      <c r="AN51" s="293">
        <f>IF(ISERR(VLOOKUP(VALUE(AN$44),'SE Data'!$A$4:$AD$57,17,0)="TRUE"),0,VLOOKUP(VALUE(AN$44),'SE Data'!$A$4:$AD$57,17,0))</f>
        <v>0</v>
      </c>
      <c r="AO51" s="293">
        <f>IF(ISERR(VLOOKUP(VALUE(AO$44),'SE Data'!$A$4:$AD$57,17,0)="TRUE"),0,VLOOKUP(VALUE(AO$44),'SE Data'!$A$4:$AD$57,17,0))</f>
        <v>0</v>
      </c>
      <c r="AP51" s="293">
        <f>IF(ISERR(VLOOKUP(VALUE(AP$44),'SE Data'!$A$4:$AD$57,17,0)="TRUE"),0,VLOOKUP(VALUE(AP$44),'SE Data'!$A$4:$AD$57,17,0))</f>
        <v>0</v>
      </c>
      <c r="AQ51" s="293">
        <f>IF(ISERR(VLOOKUP(VALUE(AQ$44),'SE Data'!$A$4:$AD$57,17,0)="TRUE"),0,VLOOKUP(VALUE(AQ$44),'SE Data'!$A$4:$AD$57,17,0))</f>
        <v>0</v>
      </c>
      <c r="AR51" s="293">
        <f>IF(ISERR(VLOOKUP(VALUE(AR$44),'SE Data'!$A$4:$AD$57,17,0)="TRUE"),0,VLOOKUP(VALUE(AR$44),'SE Data'!$A$4:$AD$57,17,0))</f>
        <v>0</v>
      </c>
      <c r="AS51" s="293">
        <f>IF(ISERR(VLOOKUP(VALUE(AS$44),'SE Data'!$A$4:$AD$57,17,0)="TRUE"),0,VLOOKUP(VALUE(AS$44),'SE Data'!$A$4:$AD$57,17,0))</f>
        <v>0</v>
      </c>
      <c r="AT51" s="293">
        <f>IF(ISERR(VLOOKUP(VALUE(AT$44),'SE Data'!$A$4:$AD$57,17,0)="TRUE"),0,VLOOKUP(VALUE(AT$44),'SE Data'!$A$4:$AD$57,17,0))</f>
        <v>0</v>
      </c>
      <c r="AU51" s="293">
        <f>IF(ISERR(VLOOKUP(VALUE(AU$44),'SE Data'!$A$4:$AD$57,17,0)="TRUE"),0,VLOOKUP(VALUE(AU$44),'SE Data'!$A$4:$AD$57,17,0))</f>
        <v>0</v>
      </c>
      <c r="AV51" s="293">
        <f>IF(ISERR(VLOOKUP(VALUE(AV$44),'SE Data'!$A$4:$AD$57,17,0)="TRUE"),0,VLOOKUP(VALUE(AV$44),'SE Data'!$A$4:$AD$57,17,0))</f>
        <v>0</v>
      </c>
      <c r="AW51" s="293">
        <f>IF(ISERR(VLOOKUP(VALUE(AW$44),'SE Data'!$A$4:$AD$57,17,0)="TRUE"),0,VLOOKUP(VALUE(AW$44),'SE Data'!$A$4:$AD$57,17,0))</f>
        <v>0</v>
      </c>
      <c r="AX51" s="293">
        <f>IF(ISERR(VLOOKUP(VALUE(AX$44),'SE Data'!$A$4:$AD$57,17,0)="TRUE"),0,VLOOKUP(VALUE(AX$44),'SE Data'!$A$4:$AD$57,17,0))</f>
        <v>0</v>
      </c>
      <c r="AY51" s="293">
        <f>IF(ISERR(VLOOKUP(VALUE(AY$44),'SE Data'!$A$4:$AD$57,17,0)="TRUE"),0,VLOOKUP(VALUE(AY$44),'SE Data'!$A$4:$AD$57,17,0))+1</f>
        <v>40310.71</v>
      </c>
      <c r="AZ51" s="293">
        <f>IF(ISERR(VLOOKUP(VALUE(AZ$44),'SE Data'!$A$4:$AD$57,17,0)="TRUE"),0,VLOOKUP(VALUE(AZ$44),'SE Data'!$A$4:$AD$57,17,0))</f>
        <v>0</v>
      </c>
      <c r="BA51" s="293">
        <f>IF(ISERR(VLOOKUP(VALUE(BA$44),'SE Data'!$A$4:$AD$57,17,0)="TRUE"),0,VLOOKUP(VALUE(BA$44),'SE Data'!$A$4:$AD$57,17,0))</f>
        <v>0</v>
      </c>
      <c r="BB51" s="293">
        <f>IF(ISERR(VLOOKUP(VALUE(BB$44),'SE Data'!$A$4:$AD$57,17,0)="TRUE"),0,VLOOKUP(VALUE(BB$44),'SE Data'!$A$4:$AD$57,17,0))</f>
        <v>0</v>
      </c>
      <c r="BC51" s="293">
        <f>IF(ISERR(VLOOKUP(VALUE(BC$44),'SE Data'!$A$4:$AD$57,17,0)="TRUE"),0,VLOOKUP(VALUE(BC$44),'SE Data'!$A$4:$AD$57,17,0))</f>
        <v>0</v>
      </c>
      <c r="BD51" s="293">
        <f>IF(ISERR(VLOOKUP(VALUE(BD$44),'SE Data'!$A$4:$AD$57,17,0)="TRUE"),0,VLOOKUP(VALUE(BD$44),'SE Data'!$A$4:$AD$57,17,0))</f>
        <v>0</v>
      </c>
      <c r="BE51" s="293">
        <f>IF(ISERR(VLOOKUP(VALUE(BE$44),'SE Data'!$A$4:$AD$57,17,0)="TRUE"),0,VLOOKUP(VALUE(BE$44),'SE Data'!$A$4:$AD$57,17,0))</f>
        <v>22297.62</v>
      </c>
      <c r="BF51" s="293">
        <f>IF(ISERR(VLOOKUP(VALUE(BF$44),'SE Data'!$A$4:$AD$57,17,0)="TRUE"),0,VLOOKUP(VALUE(BF$44),'SE Data'!$A$4:$AD$57,17,0))</f>
        <v>9966.25</v>
      </c>
      <c r="BG51" s="293">
        <f>IF(ISERR(VLOOKUP(VALUE(BG$44),'SE Data'!$A$4:$AD$57,17,0)="TRUE"),0,VLOOKUP(VALUE(BG$44),'SE Data'!$A$4:$AD$57,17,0))</f>
        <v>0</v>
      </c>
      <c r="BH51" s="293">
        <f>IF(ISERR(VLOOKUP(VALUE(BH$44),'SE Data'!$A$4:$AD$57,17,0)="TRUE"),0,VLOOKUP(VALUE(BH$44),'SE Data'!$A$4:$AD$57,17,0))</f>
        <v>84114.2</v>
      </c>
      <c r="BI51" s="293">
        <f>IF(ISERR(VLOOKUP(VALUE(BI$44),'SE Data'!$A$4:$AD$57,17,0)="TRUE"),0,VLOOKUP(VALUE(BI$44),'SE Data'!$A$4:$AD$57,17,0))</f>
        <v>0</v>
      </c>
      <c r="BJ51" s="293">
        <f>IF(ISERR(VLOOKUP(VALUE(BJ$44),'SE Data'!$A$4:$AD$57,17,0)="TRUE"),0,VLOOKUP(VALUE(BJ$44),'SE Data'!$A$4:$AD$57,17,0))</f>
        <v>0</v>
      </c>
      <c r="BK51" s="293">
        <f>IF(ISERR(VLOOKUP(VALUE(BK$44),'SE Data'!$A$4:$AD$57,17,0)="TRUE"),0,VLOOKUP(VALUE(BK$44),'SE Data'!$A$4:$AD$57,17,0))</f>
        <v>0</v>
      </c>
      <c r="BL51" s="293">
        <f>IF(ISERR(VLOOKUP(VALUE(BL$44),'SE Data'!$A$4:$AD$57,17,0)="TRUE"),0,VLOOKUP(VALUE(BL$44),'SE Data'!$A$4:$AD$57,17,0))</f>
        <v>142.08000000000001</v>
      </c>
      <c r="BM51" s="293">
        <f>IF(ISERR(VLOOKUP(VALUE(BM$44),'SE Data'!$A$4:$AD$57,17,0)="TRUE"),0,VLOOKUP(VALUE(BM$44),'SE Data'!$A$4:$AD$57,17,0))</f>
        <v>0</v>
      </c>
      <c r="BN51" s="293">
        <f>IF(ISERR(VLOOKUP(VALUE(BN$44),'SE Data'!$A$4:$AD$57,17,0)="TRUE"),0,VLOOKUP(VALUE(BN$44),'SE Data'!$A$4:$AD$57,17,0))</f>
        <v>6809.36</v>
      </c>
      <c r="BO51" s="293">
        <f>IF(ISERR(VLOOKUP(VALUE(BO$44),'SE Data'!$A$4:$AD$57,17,0)="TRUE"),0,VLOOKUP(VALUE(BO$44),'SE Data'!$A$4:$AD$57,17,0))</f>
        <v>0</v>
      </c>
      <c r="BP51" s="293">
        <f>IF(ISERR(VLOOKUP(VALUE(BP$44),'SE Data'!$A$4:$AD$57,17,0)="TRUE"),0,VLOOKUP(VALUE(BP$44),'SE Data'!$A$4:$AD$57,17,0))</f>
        <v>0</v>
      </c>
      <c r="BQ51" s="293">
        <f>IF(ISERR(VLOOKUP(VALUE(BQ$44),'SE Data'!$A$4:$AD$57,17,0)="TRUE"),0,VLOOKUP(VALUE(BQ$44),'SE Data'!$A$4:$AD$57,17,0))</f>
        <v>0</v>
      </c>
      <c r="BR51" s="293">
        <f>IF(ISERR(VLOOKUP(VALUE(BR$44),'SE Data'!$A$4:$AD$57,17,0)="TRUE"),0,VLOOKUP(VALUE(BR$44),'SE Data'!$A$4:$AD$57,17,0))</f>
        <v>0</v>
      </c>
      <c r="BS51" s="293">
        <f>IF(ISERR(VLOOKUP(VALUE(BS$44),'SE Data'!$A$4:$AD$57,17,0)="TRUE"),0,VLOOKUP(VALUE(BS$44),'SE Data'!$A$4:$AD$57,17,0))</f>
        <v>0</v>
      </c>
      <c r="BT51" s="293">
        <f>IF(ISERR(VLOOKUP(VALUE(BT$44),'SE Data'!$A$4:$AD$57,17,0)="TRUE"),0,VLOOKUP(VALUE(BT$44),'SE Data'!$A$4:$AD$57,17,0))</f>
        <v>0</v>
      </c>
      <c r="BU51" s="293">
        <f>IF(ISERR(VLOOKUP(VALUE(BU$44),'SE Data'!$A$4:$AD$57,17,0)="TRUE"),0,VLOOKUP(VALUE(BU$44),'SE Data'!$A$4:$AD$57,17,0))</f>
        <v>0</v>
      </c>
      <c r="BV51" s="293">
        <f>IF(ISERR(VLOOKUP(VALUE(BV$44),'SE Data'!$A$4:$AD$57,17,0)="TRUE"),0,VLOOKUP(VALUE(BV$44),'SE Data'!$A$4:$AD$57,17,0))</f>
        <v>0</v>
      </c>
      <c r="BW51" s="293">
        <f>IF(ISERR(VLOOKUP(VALUE(BW$44),'SE Data'!$A$4:$AD$57,17,0)="TRUE"),0,VLOOKUP(VALUE(BW$44),'SE Data'!$A$4:$AD$57,17,0))</f>
        <v>0</v>
      </c>
      <c r="BX51" s="293">
        <f>IF(ISERR(VLOOKUP(VALUE(BX$44),'SE Data'!$A$4:$AD$57,17,0)="TRUE"),0,VLOOKUP(VALUE(BX$44),'SE Data'!$A$4:$AD$57,17,0))</f>
        <v>0</v>
      </c>
      <c r="BY51" s="293">
        <f>IF(ISERR(VLOOKUP(VALUE(BY$44),'SE Data'!$A$4:$AD$57,17,0)="TRUE"),0,VLOOKUP(VALUE(BY$44),'SE Data'!$A$4:$AD$57,17,0))</f>
        <v>0</v>
      </c>
      <c r="BZ51" s="293">
        <f>IF(ISERR(VLOOKUP(VALUE(BZ$44),'SE Data'!$A$4:$AD$57,17,0)="TRUE"),0,VLOOKUP(VALUE(BZ$44),'SE Data'!$A$4:$AD$57,17,0))</f>
        <v>0</v>
      </c>
      <c r="CA51" s="293">
        <f>IF(ISERR(VLOOKUP(VALUE(CA$44),'SE Data'!$A$4:$AD$57,17,0)="TRUE"),0,VLOOKUP(VALUE(CA$44),'SE Data'!$A$4:$AD$57,17,0))</f>
        <v>0</v>
      </c>
      <c r="CB51" s="293">
        <f>IF(ISERR(VLOOKUP(VALUE(CB$44),'SE Data'!$A$4:$AD$57,17,0)="TRUE"),0,VLOOKUP(VALUE(CB$44),'SE Data'!$A$4:$AD$57,17,0))</f>
        <v>0</v>
      </c>
      <c r="CC51" s="293">
        <f>IF(ISERR(VLOOKUP(VALUE(CC$44),'SE Data'!$A$4:$AD$57,17,0)="TRUE"),0,VLOOKUP(VALUE(CC$44),'SE Data'!$A$4:$AD$57,17,0))</f>
        <v>0</v>
      </c>
      <c r="CD51" s="195"/>
      <c r="CE51" s="195">
        <f>SUM(C51:CD51)</f>
        <v>2401086.02</v>
      </c>
    </row>
    <row r="52" spans="1:84" ht="12.6" customHeight="1" x14ac:dyDescent="0.25">
      <c r="A52" s="171" t="s">
        <v>208</v>
      </c>
      <c r="B52" s="184">
        <f>+'SE Data'!Q49</f>
        <v>1971795.9100000001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311759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117787</v>
      </c>
      <c r="P52" s="195">
        <f>ROUND((B52/(CE76+CF76)*P76),0)</f>
        <v>335124</v>
      </c>
      <c r="Q52" s="195">
        <f>ROUND((B52/(CE76+CF76)*Q76),0)</f>
        <v>23581</v>
      </c>
      <c r="R52" s="195">
        <f>ROUND((B52/(CE76+CF76)*R76),0)</f>
        <v>3773</v>
      </c>
      <c r="S52" s="195">
        <f>ROUND((B52/(CE76+CF76)*S76),0)</f>
        <v>58068</v>
      </c>
      <c r="T52" s="195">
        <f>ROUND((B52/(CE76+CF76)*T76),0)</f>
        <v>0</v>
      </c>
      <c r="U52" s="195">
        <f>ROUND((B52/(CE76+CF76)*U76),0)</f>
        <v>31952</v>
      </c>
      <c r="V52" s="195">
        <f>ROUND((B52/(CE76+CF76)*V76),0)</f>
        <v>0</v>
      </c>
      <c r="W52" s="195">
        <f>ROUND((B52/(CE76+CF76)*W76),0)</f>
        <v>14149</v>
      </c>
      <c r="X52" s="195">
        <f>ROUND((B52/(CE76+CF76)*X76),0)</f>
        <v>11319</v>
      </c>
      <c r="Y52" s="195">
        <f>ROUND((B52/(CE76+CF76)*Y76),0)</f>
        <v>192518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37513</v>
      </c>
      <c r="AC52" s="195">
        <f>ROUND((B52/(CE76+CF76)*AC76),0)</f>
        <v>3360</v>
      </c>
      <c r="AD52" s="195">
        <f>ROUND((B52/(CE76+CF76)*AD76),0)</f>
        <v>0</v>
      </c>
      <c r="AE52" s="195">
        <f>ROUND((B52/(CE76+CF76)*AE76),0)</f>
        <v>3773</v>
      </c>
      <c r="AF52" s="195">
        <f>ROUND((B52/(CE76+CF76)*AF76),0)</f>
        <v>0</v>
      </c>
      <c r="AG52" s="195">
        <f>ROUND((B52/(CE76+CF76)*AG76),0)</f>
        <v>163730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81963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69937</v>
      </c>
      <c r="BF52" s="195">
        <f>ROUND((B52/(CE76+CF76)*BF76),0)</f>
        <v>28592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437937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41502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3459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1971796</v>
      </c>
    </row>
    <row r="53" spans="1:84" ht="12.6" customHeight="1" x14ac:dyDescent="0.25">
      <c r="A53" s="175" t="s">
        <v>206</v>
      </c>
      <c r="B53" s="195">
        <f>B51+B52</f>
        <v>4372880.84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5143</v>
      </c>
      <c r="F59" s="184"/>
      <c r="G59" s="184"/>
      <c r="H59" s="184"/>
      <c r="I59" s="184"/>
      <c r="J59" s="301">
        <v>524</v>
      </c>
      <c r="K59" s="184"/>
      <c r="L59" s="184"/>
      <c r="M59" s="184"/>
      <c r="N59" s="184"/>
      <c r="O59" s="184">
        <v>1165</v>
      </c>
      <c r="P59" s="185">
        <v>156330</v>
      </c>
      <c r="Q59" s="185">
        <v>7002</v>
      </c>
      <c r="R59" s="185">
        <v>156090</v>
      </c>
      <c r="S59" s="248"/>
      <c r="T59" s="248"/>
      <c r="U59" s="224">
        <v>86125</v>
      </c>
      <c r="V59" s="185"/>
      <c r="W59" s="185">
        <v>1389</v>
      </c>
      <c r="X59" s="185">
        <v>5244</v>
      </c>
      <c r="Y59" s="185">
        <v>17113</v>
      </c>
      <c r="Z59" s="185"/>
      <c r="AA59" s="185">
        <v>347</v>
      </c>
      <c r="AB59" s="248"/>
      <c r="AC59" s="185">
        <v>11609</v>
      </c>
      <c r="AD59" s="185"/>
      <c r="AE59" s="185"/>
      <c r="AF59" s="185"/>
      <c r="AG59" s="185">
        <v>14985</v>
      </c>
      <c r="AH59" s="185"/>
      <c r="AI59" s="185"/>
      <c r="AJ59" s="303">
        <v>101240.3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24945</v>
      </c>
      <c r="AZ59" s="303">
        <v>101157</v>
      </c>
      <c r="BA59" s="248"/>
      <c r="BB59" s="248"/>
      <c r="BC59" s="248"/>
      <c r="BD59" s="248"/>
      <c r="BE59" s="303">
        <f>100566-224</f>
        <v>100342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40.46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13.06</v>
      </c>
      <c r="P60" s="221">
        <v>22.79</v>
      </c>
      <c r="Q60" s="221">
        <v>10.42</v>
      </c>
      <c r="R60" s="221"/>
      <c r="S60" s="221">
        <v>5.09</v>
      </c>
      <c r="T60" s="221">
        <v>0.08</v>
      </c>
      <c r="U60" s="221">
        <v>11.26</v>
      </c>
      <c r="V60" s="221"/>
      <c r="W60" s="221">
        <v>1.88</v>
      </c>
      <c r="X60" s="221">
        <v>4.92</v>
      </c>
      <c r="Y60" s="221">
        <v>11.7</v>
      </c>
      <c r="Z60" s="221"/>
      <c r="AA60" s="221">
        <v>1.27</v>
      </c>
      <c r="AB60" s="221">
        <v>5.3</v>
      </c>
      <c r="AC60" s="221">
        <v>6.13</v>
      </c>
      <c r="AD60" s="221"/>
      <c r="AE60" s="221"/>
      <c r="AF60" s="221"/>
      <c r="AG60" s="221">
        <v>22.71</v>
      </c>
      <c r="AH60" s="221"/>
      <c r="AI60" s="221"/>
      <c r="AJ60" s="221">
        <v>124.59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0</v>
      </c>
      <c r="AV60" s="221">
        <v>0.02</v>
      </c>
      <c r="AW60" s="221"/>
      <c r="AX60" s="221"/>
      <c r="AY60" s="221">
        <v>11.81</v>
      </c>
      <c r="AZ60" s="221"/>
      <c r="BA60" s="221"/>
      <c r="BB60" s="221"/>
      <c r="BC60" s="221"/>
      <c r="BD60" s="221"/>
      <c r="BE60" s="221">
        <v>3.73</v>
      </c>
      <c r="BF60" s="221">
        <v>11.85</v>
      </c>
      <c r="BG60" s="221"/>
      <c r="BH60" s="221"/>
      <c r="BI60" s="221"/>
      <c r="BJ60" s="221"/>
      <c r="BK60" s="221"/>
      <c r="BL60" s="221"/>
      <c r="BM60" s="221"/>
      <c r="BN60" s="221">
        <v>2.2400000000000002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11.68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323.99000000000007</v>
      </c>
    </row>
    <row r="61" spans="1:84" ht="12.6" customHeight="1" x14ac:dyDescent="0.25">
      <c r="A61" s="171" t="s">
        <v>235</v>
      </c>
      <c r="B61" s="175"/>
      <c r="C61" s="293">
        <f>IF(ISERR(VLOOKUP(VALUE(C$44),'SE Data'!$A$4:$AD$57,10,0)="TRUE"),0,VLOOKUP(VALUE(C$44),'SE Data'!$A$4:$AD$57,10,0))</f>
        <v>0</v>
      </c>
      <c r="D61" s="293">
        <f>IF(ISERR(VLOOKUP(VALUE(D$44),'SE Data'!$A$4:$AD$57,10,0)="TRUE"),0,VLOOKUP(VALUE(D$44),'SE Data'!$A$4:$AD$57,10,0))</f>
        <v>0</v>
      </c>
      <c r="E61" s="293">
        <f>IF(ISERR(VLOOKUP(VALUE(E$44),'SE Data'!$A$4:$AD$57,10,0)="TRUE"),0,VLOOKUP(VALUE(E$44),'SE Data'!$A$4:$AD$57,10,0))</f>
        <v>3564840.48</v>
      </c>
      <c r="F61" s="293">
        <f>IF(ISERR(VLOOKUP(VALUE(F$44),'SE Data'!$A$4:$AD$57,10,0)="TRUE"),0,VLOOKUP(VALUE(F$44),'SE Data'!$A$4:$AD$57,10,0))</f>
        <v>0</v>
      </c>
      <c r="G61" s="293">
        <f>IF(ISERR(VLOOKUP(VALUE(G$44),'SE Data'!$A$4:$AD$57,10,0)="TRUE"),0,VLOOKUP(VALUE(G$44),'SE Data'!$A$4:$AD$57,10,0))</f>
        <v>0</v>
      </c>
      <c r="H61" s="293">
        <f>IF(ISERR(VLOOKUP(VALUE(H$44),'SE Data'!$A$4:$AD$57,10,0)="TRUE"),0,VLOOKUP(VALUE(H$44),'SE Data'!$A$4:$AD$57,10,0))</f>
        <v>0</v>
      </c>
      <c r="I61" s="293">
        <f>IF(ISERR(VLOOKUP(VALUE(I$44),'SE Data'!$A$4:$AD$57,10,0)="TRUE"),0,VLOOKUP(VALUE(I$44),'SE Data'!$A$4:$AD$57,10,0))</f>
        <v>0</v>
      </c>
      <c r="J61" s="293">
        <f>IF(ISERR(VLOOKUP(VALUE(J$44),'SE Data'!$A$4:$AD$57,10,0)="TRUE"),0,VLOOKUP(VALUE(J$44),'SE Data'!$A$4:$AD$57,10,0))</f>
        <v>0</v>
      </c>
      <c r="K61" s="293">
        <f>IF(ISERR(VLOOKUP(VALUE(K$44),'SE Data'!$A$4:$AD$57,10,0)="TRUE"),0,VLOOKUP(VALUE(K$44),'SE Data'!$A$4:$AD$57,10,0))</f>
        <v>0</v>
      </c>
      <c r="L61" s="293">
        <f>IF(ISERR(VLOOKUP(VALUE(L$44),'SE Data'!$A$4:$AD$57,10,0)="TRUE"),0,VLOOKUP(VALUE(L$44),'SE Data'!$A$4:$AD$57,10,0))</f>
        <v>0</v>
      </c>
      <c r="M61" s="293">
        <f>IF(ISERR(VLOOKUP(VALUE(M$44),'SE Data'!$A$4:$AD$57,10,0)="TRUE"),0,VLOOKUP(VALUE(M$44),'SE Data'!$A$4:$AD$57,10,0))</f>
        <v>0</v>
      </c>
      <c r="N61" s="293">
        <f>IF(ISERR(VLOOKUP(VALUE(N$44),'SE Data'!$A$4:$AD$57,10,0)="TRUE"),0,VLOOKUP(VALUE(N$44),'SE Data'!$A$4:$AD$57,10,0))</f>
        <v>0</v>
      </c>
      <c r="O61" s="293">
        <f>IF(ISERR(VLOOKUP(VALUE(O$44),'SE Data'!$A$4:$AD$57,10,0)="TRUE"),0,VLOOKUP(VALUE(O$44),'SE Data'!$A$4:$AD$57,10,0))</f>
        <v>1426262.6900000002</v>
      </c>
      <c r="P61" s="293">
        <f>IF(ISERR(VLOOKUP(VALUE(P$44),'SE Data'!$A$4:$AD$57,10,0)="TRUE"),0,VLOOKUP(VALUE(P$44),'SE Data'!$A$4:$AD$57,10,0))</f>
        <v>2104301.21</v>
      </c>
      <c r="Q61" s="293">
        <f>IF(ISERR(VLOOKUP(VALUE(Q$44),'SE Data'!$A$4:$AD$57,10,0)="TRUE"),0,VLOOKUP(VALUE(Q$44),'SE Data'!$A$4:$AD$57,10,0))</f>
        <v>1158402.4500000002</v>
      </c>
      <c r="R61" s="293">
        <f>IF(ISERR(VLOOKUP(VALUE(R$44),'SE Data'!$A$4:$AD$57,10,0)="TRUE"),0,VLOOKUP(VALUE(R$44),'SE Data'!$A$4:$AD$57,10,0))</f>
        <v>0</v>
      </c>
      <c r="S61" s="293">
        <f>IF(ISERR(VLOOKUP(VALUE(S$44),'SE Data'!$A$4:$AD$57,10,0)="TRUE"),0,VLOOKUP(VALUE(S$44),'SE Data'!$A$4:$AD$57,10,0))</f>
        <v>288873.27999999997</v>
      </c>
      <c r="T61" s="293">
        <f>IF(ISERR(VLOOKUP(VALUE(T$44),'SE Data'!$A$4:$AD$57,10,0)="TRUE"),0,VLOOKUP(VALUE(T$44),'SE Data'!$A$4:$AD$57,10,0))</f>
        <v>23073.260000000002</v>
      </c>
      <c r="U61" s="293">
        <f>IF(ISERR(VLOOKUP(VALUE(U$44),'SE Data'!$A$4:$AD$57,10,0)="TRUE"),0,VLOOKUP(VALUE(U$44),'SE Data'!$A$4:$AD$57,10,0))</f>
        <v>858415.46</v>
      </c>
      <c r="V61" s="293">
        <f>IF(ISERR(VLOOKUP(VALUE(V$44),'SE Data'!$A$4:$AD$57,10,0)="TRUE"),0,VLOOKUP(VALUE(V$44),'SE Data'!$A$4:$AD$57,10,0))</f>
        <v>0</v>
      </c>
      <c r="W61" s="293">
        <f>IF(ISERR(VLOOKUP(VALUE(W$44),'SE Data'!$A$4:$AD$57,10,0)="TRUE"),0,VLOOKUP(VALUE(W$44),'SE Data'!$A$4:$AD$57,10,0))</f>
        <v>209088.92000000004</v>
      </c>
      <c r="X61" s="293">
        <f>IF(ISERR(VLOOKUP(VALUE(X$44),'SE Data'!$A$4:$AD$57,10,0)="TRUE"),0,VLOOKUP(VALUE(X$44),'SE Data'!$A$4:$AD$57,10,0))</f>
        <v>502678.26</v>
      </c>
      <c r="Y61" s="293">
        <v>1045809.79</v>
      </c>
      <c r="Z61" s="293"/>
      <c r="AA61" s="293">
        <f>IF(ISERR(VLOOKUP(VALUE(AA$44),'SE Data'!$A$4:$AD$57,10,0)="TRUE"),0,VLOOKUP(VALUE(AA$44),'SE Data'!$A$4:$AD$57,10,0))</f>
        <v>149186.23999999999</v>
      </c>
      <c r="AB61" s="293">
        <f>IF(ISERR(VLOOKUP(VALUE(AB$44),'SE Data'!$A$4:$AD$57,10,0)="TRUE"),0,VLOOKUP(VALUE(AB$44),'SE Data'!$A$4:$AD$57,10,0))</f>
        <v>648606.49</v>
      </c>
      <c r="AC61" s="293">
        <f>IF(ISERR(VLOOKUP(VALUE(AC$44),'SE Data'!$A$4:$AD$57,10,0)="TRUE"),0,VLOOKUP(VALUE(AC$44),'SE Data'!$A$4:$AD$57,10,0))</f>
        <v>515744.67</v>
      </c>
      <c r="AD61" s="293">
        <f>IF(ISERR(VLOOKUP(VALUE(AD$44),'SE Data'!$A$4:$AD$57,10,0)="TRUE"),0,VLOOKUP(VALUE(AD$44),'SE Data'!$A$4:$AD$57,10,0))</f>
        <v>0</v>
      </c>
      <c r="AE61" s="293">
        <f>IF(ISERR(VLOOKUP(VALUE(AE$44),'SE Data'!$A$4:$AD$57,10,0)="TRUE"),0,VLOOKUP(VALUE(AE$44),'SE Data'!$A$4:$AD$57,10,0))</f>
        <v>0</v>
      </c>
      <c r="AF61" s="293">
        <f>IF(ISERR(VLOOKUP(VALUE(AF$44),'SE Data'!$A$4:$AD$57,10,0)="TRUE"),0,VLOOKUP(VALUE(AF$44),'SE Data'!$A$4:$AD$57,10,0))</f>
        <v>0</v>
      </c>
      <c r="AG61" s="293">
        <f>IF(ISERR(VLOOKUP(VALUE(AG$44),'SE Data'!$A$4:$AD$57,10,0)="TRUE"),0,VLOOKUP(VALUE(AG$44),'SE Data'!$A$4:$AD$57,10,0))</f>
        <v>2213607.4300000002</v>
      </c>
      <c r="AH61" s="293">
        <f>IF(ISERR(VLOOKUP(VALUE(AH$44),'SE Data'!$A$4:$AD$57,10,0)="TRUE"),0,VLOOKUP(VALUE(AH$44),'SE Data'!$A$4:$AD$57,10,0))</f>
        <v>0</v>
      </c>
      <c r="AI61" s="293">
        <f>IF(ISERR(VLOOKUP(VALUE(AI$44),'SE Data'!$A$4:$AD$57,10,0)="TRUE"),0,VLOOKUP(VALUE(AI$44),'SE Data'!$A$4:$AD$57,10,0))</f>
        <v>0</v>
      </c>
      <c r="AJ61" s="293">
        <f>IF(ISERR(VLOOKUP(VALUE(AJ$44),'SE Data'!$A$4:$AD$57,10,0)="TRUE"),0,VLOOKUP(VALUE(AJ$44),'SE Data'!$A$4:$AD$57,10,0))</f>
        <v>12281694.259999998</v>
      </c>
      <c r="AK61" s="293">
        <f>IF(ISERR(VLOOKUP(VALUE(AK$44),'SE Data'!$A$4:$AD$57,10,0)="TRUE"),0,VLOOKUP(VALUE(AK$44),'SE Data'!$A$4:$AD$57,10,0))</f>
        <v>0</v>
      </c>
      <c r="AL61" s="293">
        <f>IF(ISERR(VLOOKUP(VALUE(AL$44),'SE Data'!$A$4:$AD$57,10,0)="TRUE"),0,VLOOKUP(VALUE(AL$44),'SE Data'!$A$4:$AD$57,10,0))</f>
        <v>191.88</v>
      </c>
      <c r="AM61" s="293">
        <f>IF(ISERR(VLOOKUP(VALUE(AM$44),'SE Data'!$A$4:$AD$57,10,0)="TRUE"),0,VLOOKUP(VALUE(AM$44),'SE Data'!$A$4:$AD$57,10,0))</f>
        <v>0</v>
      </c>
      <c r="AN61" s="293">
        <f>IF(ISERR(VLOOKUP(VALUE(AN$44),'SE Data'!$A$4:$AD$57,10,0)="TRUE"),0,VLOOKUP(VALUE(AN$44),'SE Data'!$A$4:$AD$57,10,0))</f>
        <v>0</v>
      </c>
      <c r="AO61" s="293">
        <f>IF(ISERR(VLOOKUP(VALUE(AO$44),'SE Data'!$A$4:$AD$57,10,0)="TRUE"),0,VLOOKUP(VALUE(AO$44),'SE Data'!$A$4:$AD$57,10,0))</f>
        <v>0</v>
      </c>
      <c r="AP61" s="293">
        <f>IF(ISERR(VLOOKUP(VALUE(AP$44),'SE Data'!$A$4:$AD$57,10,0)="TRUE"),0,VLOOKUP(VALUE(AP$44),'SE Data'!$A$4:$AD$57,10,0))</f>
        <v>0</v>
      </c>
      <c r="AQ61" s="293">
        <f>IF(ISERR(VLOOKUP(VALUE(AQ$44),'SE Data'!$A$4:$AD$57,10,0)="TRUE"),0,VLOOKUP(VALUE(AQ$44),'SE Data'!$A$4:$AD$57,10,0))</f>
        <v>0</v>
      </c>
      <c r="AR61" s="293">
        <f>IF(ISERR(VLOOKUP(VALUE(AR$44),'SE Data'!$A$4:$AD$57,10,0)="TRUE"),0,VLOOKUP(VALUE(AR$44),'SE Data'!$A$4:$AD$57,10,0))</f>
        <v>0</v>
      </c>
      <c r="AS61" s="293">
        <f>IF(ISERR(VLOOKUP(VALUE(AS$44),'SE Data'!$A$4:$AD$57,10,0)="TRUE"),0,VLOOKUP(VALUE(AS$44),'SE Data'!$A$4:$AD$57,10,0))</f>
        <v>0</v>
      </c>
      <c r="AT61" s="293">
        <f>IF(ISERR(VLOOKUP(VALUE(AT$44),'SE Data'!$A$4:$AD$57,10,0)="TRUE"),0,VLOOKUP(VALUE(AT$44),'SE Data'!$A$4:$AD$57,10,0))</f>
        <v>0</v>
      </c>
      <c r="AU61" s="293">
        <f>IF(ISERR(VLOOKUP(VALUE(AU$44),'SE Data'!$A$4:$AD$57,10,0)="TRUE"),0,VLOOKUP(VALUE(AU$44),'SE Data'!$A$4:$AD$57,10,0))</f>
        <v>0</v>
      </c>
      <c r="AV61" s="293">
        <f>IF(ISERR(VLOOKUP(VALUE(AV$44),'SE Data'!$A$4:$AD$57,10,0)="TRUE"),0,VLOOKUP(VALUE(AV$44),'SE Data'!$A$4:$AD$57,10,0))</f>
        <v>0</v>
      </c>
      <c r="AW61" s="293">
        <f>IF(ISERR(VLOOKUP(VALUE(AW$44),'SE Data'!$A$4:$AD$57,10,0)="TRUE"),0,VLOOKUP(VALUE(AW$44),'SE Data'!$A$4:$AD$57,10,0))</f>
        <v>0</v>
      </c>
      <c r="AX61" s="293">
        <f>IF(ISERR(VLOOKUP(VALUE(AX$44),'SE Data'!$A$4:$AD$57,10,0)="TRUE"),0,VLOOKUP(VALUE(AX$44),'SE Data'!$A$4:$AD$57,10,0))</f>
        <v>0</v>
      </c>
      <c r="AY61" s="293">
        <f>IF(ISERR(VLOOKUP(VALUE(AY$44),'SE Data'!$A$4:$AD$57,10,0)="TRUE"),0,VLOOKUP(VALUE(AY$44),'SE Data'!$A$4:$AD$57,10,0))</f>
        <v>476831.27</v>
      </c>
      <c r="AZ61" s="293">
        <f>IF(ISERR(VLOOKUP(VALUE(AZ$44),'SE Data'!$A$4:$AD$57,10,0)="TRUE"),0,VLOOKUP(VALUE(AZ$44),'SE Data'!$A$4:$AD$57,10,0))</f>
        <v>0</v>
      </c>
      <c r="BA61" s="293">
        <f>IF(ISERR(VLOOKUP(VALUE(BA$44),'SE Data'!$A$4:$AD$57,10,0)="TRUE"),0,VLOOKUP(VALUE(BA$44),'SE Data'!$A$4:$AD$57,10,0))</f>
        <v>0</v>
      </c>
      <c r="BB61" s="293">
        <f>IF(ISERR(VLOOKUP(VALUE(BB$44),'SE Data'!$A$4:$AD$57,10,0)="TRUE"),0,VLOOKUP(VALUE(BB$44),'SE Data'!$A$4:$AD$57,10,0))</f>
        <v>0</v>
      </c>
      <c r="BC61" s="293">
        <f>IF(ISERR(VLOOKUP(VALUE(BC$44),'SE Data'!$A$4:$AD$57,10,0)="TRUE"),0,VLOOKUP(VALUE(BC$44),'SE Data'!$A$4:$AD$57,10,0))</f>
        <v>0</v>
      </c>
      <c r="BD61" s="293">
        <f>IF(ISERR(VLOOKUP(VALUE(BD$44),'SE Data'!$A$4:$AD$57,10,0)="TRUE"),0,VLOOKUP(VALUE(BD$44),'SE Data'!$A$4:$AD$57,10,0))</f>
        <v>0</v>
      </c>
      <c r="BE61" s="293">
        <f>IF(ISERR(VLOOKUP(VALUE(BE$44),'SE Data'!$A$4:$AD$57,10,0)="TRUE"),0,VLOOKUP(VALUE(BE$44),'SE Data'!$A$4:$AD$57,10,0))</f>
        <v>265282.07000000007</v>
      </c>
      <c r="BF61" s="293">
        <f>IF(ISERR(VLOOKUP(VALUE(BF$44),'SE Data'!$A$4:$AD$57,10,0)="TRUE"),0,VLOOKUP(VALUE(BF$44),'SE Data'!$A$4:$AD$57,10,0))</f>
        <v>554415.68999999994</v>
      </c>
      <c r="BG61" s="293">
        <f>IF(ISERR(VLOOKUP(VALUE(BG$44),'SE Data'!$A$4:$AD$57,10,0)="TRUE"),0,VLOOKUP(VALUE(BG$44),'SE Data'!$A$4:$AD$57,10,0))</f>
        <v>-1561.38</v>
      </c>
      <c r="BH61" s="293">
        <f>IF(ISERR(VLOOKUP(VALUE(BH$44),'SE Data'!$A$4:$AD$57,10,0)="TRUE"),0,VLOOKUP(VALUE(BH$44),'SE Data'!$A$4:$AD$57,10,0))</f>
        <v>0</v>
      </c>
      <c r="BI61" s="293">
        <f>IF(ISERR(VLOOKUP(VALUE(BI$44),'SE Data'!$A$4:$AD$57,10,0)="TRUE"),0,VLOOKUP(VALUE(BI$44),'SE Data'!$A$4:$AD$57,10,0))</f>
        <v>0</v>
      </c>
      <c r="BJ61" s="293">
        <f>IF(ISERR(VLOOKUP(VALUE(BJ$44),'SE Data'!$A$4:$AD$57,10,0)="TRUE"),0,VLOOKUP(VALUE(BJ$44),'SE Data'!$A$4:$AD$57,10,0))</f>
        <v>0</v>
      </c>
      <c r="BK61" s="293">
        <f>IF(ISERR(VLOOKUP(VALUE(BK$44),'SE Data'!$A$4:$AD$57,10,0)="TRUE"),0,VLOOKUP(VALUE(BK$44),'SE Data'!$A$4:$AD$57,10,0))</f>
        <v>0</v>
      </c>
      <c r="BL61" s="293">
        <f>IF(ISERR(VLOOKUP(VALUE(BL$44),'SE Data'!$A$4:$AD$57,10,0)="TRUE"),0,VLOOKUP(VALUE(BL$44),'SE Data'!$A$4:$AD$57,10,0))</f>
        <v>0</v>
      </c>
      <c r="BM61" s="293">
        <f>IF(ISERR(VLOOKUP(VALUE(BM$44),'SE Data'!$A$4:$AD$57,10,0)="TRUE"),0,VLOOKUP(VALUE(BM$44),'SE Data'!$A$4:$AD$57,10,0))</f>
        <v>0</v>
      </c>
      <c r="BN61" s="293">
        <f>IF(ISERR(VLOOKUP(VALUE(BN$44),'SE Data'!$A$4:$AD$57,10,0)="TRUE"),0,VLOOKUP(VALUE(BN$44),'SE Data'!$A$4:$AD$57,10,0))</f>
        <v>309278.28000000003</v>
      </c>
      <c r="BO61" s="293">
        <f>IF(ISERR(VLOOKUP(VALUE(BO$44),'SE Data'!$A$4:$AD$57,10,0)="TRUE"),0,VLOOKUP(VALUE(BO$44),'SE Data'!$A$4:$AD$57,10,0))</f>
        <v>0</v>
      </c>
      <c r="BP61" s="293">
        <f>IF(ISERR(VLOOKUP(VALUE(BP$44),'SE Data'!$A$4:$AD$57,10,0)="TRUE"),0,VLOOKUP(VALUE(BP$44),'SE Data'!$A$4:$AD$57,10,0))</f>
        <v>0</v>
      </c>
      <c r="BQ61" s="293">
        <f>IF(ISERR(VLOOKUP(VALUE(BQ$44),'SE Data'!$A$4:$AD$57,10,0)="TRUE"),0,VLOOKUP(VALUE(BQ$44),'SE Data'!$A$4:$AD$57,10,0))</f>
        <v>0</v>
      </c>
      <c r="BR61" s="293">
        <f>IF(ISERR(VLOOKUP(VALUE(BR$44),'SE Data'!$A$4:$AD$57,10,0)="TRUE"),0,VLOOKUP(VALUE(BR$44),'SE Data'!$A$4:$AD$57,10,0))</f>
        <v>0</v>
      </c>
      <c r="BS61" s="293">
        <f>IF(ISERR(VLOOKUP(VALUE(BS$44),'SE Data'!$A$4:$AD$57,10,0)="TRUE"),0,VLOOKUP(VALUE(BS$44),'SE Data'!$A$4:$AD$57,10,0))</f>
        <v>0</v>
      </c>
      <c r="BT61" s="293">
        <f>IF(ISERR(VLOOKUP(VALUE(BT$44),'SE Data'!$A$4:$AD$57,10,0)="TRUE"),0,VLOOKUP(VALUE(BT$44),'SE Data'!$A$4:$AD$57,10,0))</f>
        <v>0</v>
      </c>
      <c r="BU61" s="293">
        <f>IF(ISERR(VLOOKUP(VALUE(BU$44),'SE Data'!$A$4:$AD$57,10,0)="TRUE"),0,VLOOKUP(VALUE(BU$44),'SE Data'!$A$4:$AD$57,10,0))</f>
        <v>0</v>
      </c>
      <c r="BV61" s="293">
        <f>IF(ISERR(VLOOKUP(VALUE(BV$44),'SE Data'!$A$4:$AD$57,10,0)="TRUE"),0,VLOOKUP(VALUE(BV$44),'SE Data'!$A$4:$AD$57,10,0))</f>
        <v>0</v>
      </c>
      <c r="BW61" s="293">
        <f>IF(ISERR(VLOOKUP(VALUE(BW$44),'SE Data'!$A$4:$AD$57,10,0)="TRUE"),0,VLOOKUP(VALUE(BW$44),'SE Data'!$A$4:$AD$57,10,0))</f>
        <v>0</v>
      </c>
      <c r="BX61" s="293">
        <f>IF(ISERR(VLOOKUP(VALUE(BX$44),'SE Data'!$A$4:$AD$57,10,0)="TRUE"),0,VLOOKUP(VALUE(BX$44),'SE Data'!$A$4:$AD$57,10,0))</f>
        <v>86798.430000000022</v>
      </c>
      <c r="BY61" s="293">
        <f>IF(ISERR(VLOOKUP(VALUE(BY$44),'SE Data'!$A$4:$AD$57,10,0)="TRUE"),0,VLOOKUP(VALUE(BY$44),'SE Data'!$A$4:$AD$57,10,0))</f>
        <v>1178551.56</v>
      </c>
      <c r="BZ61" s="293">
        <f>IF(ISERR(VLOOKUP(VALUE(BZ$44),'SE Data'!$A$4:$AD$57,10,0)="TRUE"),0,VLOOKUP(VALUE(BZ$44),'SE Data'!$A$4:$AD$57,10,0))</f>
        <v>0</v>
      </c>
      <c r="CA61" s="293">
        <f>IF(ISERR(VLOOKUP(VALUE(CA$44),'SE Data'!$A$4:$AD$57,10,0)="TRUE"),0,VLOOKUP(VALUE(CA$44),'SE Data'!$A$4:$AD$57,10,0))</f>
        <v>0</v>
      </c>
      <c r="CB61" s="293">
        <f>IF(ISERR(VLOOKUP(VALUE(CB$44),'SE Data'!$A$4:$AD$57,10,0)="TRUE"),0,VLOOKUP(VALUE(CB$44),'SE Data'!$A$4:$AD$57,10,0))</f>
        <v>0</v>
      </c>
      <c r="CC61" s="293">
        <f>IF(ISERR(VLOOKUP(VALUE(CC$44),'SE Data'!$A$4:$AD$57,10,0)="TRUE"),0,VLOOKUP(VALUE(CC$44),'SE Data'!$A$4:$AD$57,10,0))+125658</f>
        <v>125958.62</v>
      </c>
      <c r="CD61" s="249" t="s">
        <v>221</v>
      </c>
      <c r="CE61" s="195">
        <f t="shared" si="0"/>
        <v>29986331.309999995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896963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324045</v>
      </c>
      <c r="P62" s="195">
        <f t="shared" si="1"/>
        <v>514982</v>
      </c>
      <c r="Q62" s="195">
        <f t="shared" si="1"/>
        <v>262429</v>
      </c>
      <c r="R62" s="195">
        <f t="shared" si="1"/>
        <v>0</v>
      </c>
      <c r="S62" s="195">
        <f t="shared" si="1"/>
        <v>95201</v>
      </c>
      <c r="T62" s="195">
        <f t="shared" si="1"/>
        <v>3765</v>
      </c>
      <c r="U62" s="195">
        <f t="shared" si="1"/>
        <v>230741</v>
      </c>
      <c r="V62" s="195">
        <f t="shared" si="1"/>
        <v>0</v>
      </c>
      <c r="W62" s="195">
        <f t="shared" si="1"/>
        <v>47068</v>
      </c>
      <c r="X62" s="195">
        <f t="shared" si="1"/>
        <v>119530</v>
      </c>
      <c r="Y62" s="195">
        <f t="shared" si="1"/>
        <v>261704</v>
      </c>
      <c r="Z62" s="195">
        <f t="shared" si="1"/>
        <v>0</v>
      </c>
      <c r="AA62" s="195">
        <f t="shared" si="1"/>
        <v>32977</v>
      </c>
      <c r="AB62" s="195">
        <f t="shared" si="1"/>
        <v>138024</v>
      </c>
      <c r="AC62" s="195">
        <f t="shared" si="1"/>
        <v>137052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533007</v>
      </c>
      <c r="AH62" s="195">
        <f t="shared" si="1"/>
        <v>0</v>
      </c>
      <c r="AI62" s="195">
        <f t="shared" si="1"/>
        <v>0</v>
      </c>
      <c r="AJ62" s="195">
        <f t="shared" si="1"/>
        <v>2287696</v>
      </c>
      <c r="AK62" s="195">
        <f t="shared" si="1"/>
        <v>0</v>
      </c>
      <c r="AL62" s="195">
        <f t="shared" si="1"/>
        <v>23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197116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78261</v>
      </c>
      <c r="BF62" s="195">
        <f t="shared" si="1"/>
        <v>200782</v>
      </c>
      <c r="BG62" s="195">
        <f t="shared" si="1"/>
        <v>-426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60604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22439</v>
      </c>
      <c r="BY62" s="195">
        <f t="shared" si="2"/>
        <v>283034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86</v>
      </c>
      <c r="CD62" s="249" t="s">
        <v>221</v>
      </c>
      <c r="CE62" s="195">
        <f t="shared" si="0"/>
        <v>6727150</v>
      </c>
      <c r="CF62" s="252"/>
    </row>
    <row r="63" spans="1:84" ht="12.6" customHeight="1" x14ac:dyDescent="0.25">
      <c r="A63" s="171" t="s">
        <v>236</v>
      </c>
      <c r="B63" s="175"/>
      <c r="C63" s="293">
        <f>IF(ISERR(VLOOKUP(VALUE(C$44),'SE Data'!$A$4:$AD$57,12,0)="TRUE"),0,VLOOKUP(VALUE(C$44),'SE Data'!$A$4:$AD$57,12,0))</f>
        <v>0</v>
      </c>
      <c r="D63" s="293">
        <f>IF(ISERR(VLOOKUP(VALUE(D$44),'SE Data'!$A$4:$AD$57,12,0)="TRUE"),0,VLOOKUP(VALUE(D$44),'SE Data'!$A$4:$AD$57,12,0))</f>
        <v>0</v>
      </c>
      <c r="E63" s="293">
        <f>IF(ISERR(VLOOKUP(VALUE(E$44),'SE Data'!$A$4:$AD$57,12,0)="TRUE"),0,VLOOKUP(VALUE(E$44),'SE Data'!$A$4:$AD$57,12,0))</f>
        <v>0</v>
      </c>
      <c r="F63" s="293">
        <f>IF(ISERR(VLOOKUP(VALUE(F$44),'SE Data'!$A$4:$AD$57,12,0)="TRUE"),0,VLOOKUP(VALUE(F$44),'SE Data'!$A$4:$AD$57,12,0))</f>
        <v>0</v>
      </c>
      <c r="G63" s="293">
        <f>IF(ISERR(VLOOKUP(VALUE(G$44),'SE Data'!$A$4:$AD$57,12,0)="TRUE"),0,VLOOKUP(VALUE(G$44),'SE Data'!$A$4:$AD$57,12,0))</f>
        <v>0</v>
      </c>
      <c r="H63" s="293">
        <f>IF(ISERR(VLOOKUP(VALUE(H$44),'SE Data'!$A$4:$AD$57,12,0)="TRUE"),0,VLOOKUP(VALUE(H$44),'SE Data'!$A$4:$AD$57,12,0))</f>
        <v>0</v>
      </c>
      <c r="I63" s="293">
        <f>IF(ISERR(VLOOKUP(VALUE(I$44),'SE Data'!$A$4:$AD$57,12,0)="TRUE"),0,VLOOKUP(VALUE(I$44),'SE Data'!$A$4:$AD$57,12,0))</f>
        <v>0</v>
      </c>
      <c r="J63" s="293">
        <f>IF(ISERR(VLOOKUP(VALUE(J$44),'SE Data'!$A$4:$AD$57,12,0)="TRUE"),0,VLOOKUP(VALUE(J$44),'SE Data'!$A$4:$AD$57,12,0))</f>
        <v>0</v>
      </c>
      <c r="K63" s="293">
        <f>IF(ISERR(VLOOKUP(VALUE(K$44),'SE Data'!$A$4:$AD$57,12,0)="TRUE"),0,VLOOKUP(VALUE(K$44),'SE Data'!$A$4:$AD$57,12,0))</f>
        <v>0</v>
      </c>
      <c r="L63" s="293">
        <f>IF(ISERR(VLOOKUP(VALUE(L$44),'SE Data'!$A$4:$AD$57,12,0)="TRUE"),0,VLOOKUP(VALUE(L$44),'SE Data'!$A$4:$AD$57,12,0))</f>
        <v>0</v>
      </c>
      <c r="M63" s="293">
        <f>IF(ISERR(VLOOKUP(VALUE(M$44),'SE Data'!$A$4:$AD$57,12,0)="TRUE"),0,VLOOKUP(VALUE(M$44),'SE Data'!$A$4:$AD$57,12,0))</f>
        <v>0</v>
      </c>
      <c r="N63" s="293">
        <f>IF(ISERR(VLOOKUP(VALUE(N$44),'SE Data'!$A$4:$AD$57,12,0)="TRUE"),0,VLOOKUP(VALUE(N$44),'SE Data'!$A$4:$AD$57,12,0))</f>
        <v>0</v>
      </c>
      <c r="O63" s="293">
        <f>IF(ISERR(VLOOKUP(VALUE(O$44),'SE Data'!$A$4:$AD$57,12,0)="TRUE"),0,VLOOKUP(VALUE(O$44),'SE Data'!$A$4:$AD$57,12,0))</f>
        <v>0</v>
      </c>
      <c r="P63" s="293">
        <f>IF(ISERR(VLOOKUP(VALUE(P$44),'SE Data'!$A$4:$AD$57,12,0)="TRUE"),0,VLOOKUP(VALUE(P$44),'SE Data'!$A$4:$AD$57,12,0))</f>
        <v>58348.560000000005</v>
      </c>
      <c r="Q63" s="293">
        <f>IF(ISERR(VLOOKUP(VALUE(Q$44),'SE Data'!$A$4:$AD$57,12,0)="TRUE"),0,VLOOKUP(VALUE(Q$44),'SE Data'!$A$4:$AD$57,12,0))</f>
        <v>0</v>
      </c>
      <c r="R63" s="293">
        <f>IF(ISERR(VLOOKUP(VALUE(R$44),'SE Data'!$A$4:$AD$57,12,0)="TRUE"),0,VLOOKUP(VALUE(R$44),'SE Data'!$A$4:$AD$57,12,0))</f>
        <v>181895.50999999998</v>
      </c>
      <c r="S63" s="293">
        <f>IF(ISERR(VLOOKUP(VALUE(S$44),'SE Data'!$A$4:$AD$57,12,0)="TRUE"),0,VLOOKUP(VALUE(S$44),'SE Data'!$A$4:$AD$57,12,0))</f>
        <v>0</v>
      </c>
      <c r="T63" s="293">
        <f>IF(ISERR(VLOOKUP(VALUE(T$44),'SE Data'!$A$4:$AD$57,12,0)="TRUE"),0,VLOOKUP(VALUE(T$44),'SE Data'!$A$4:$AD$57,12,0))</f>
        <v>0</v>
      </c>
      <c r="U63" s="293">
        <f>IF(ISERR(VLOOKUP(VALUE(U$44),'SE Data'!$A$4:$AD$57,12,0)="TRUE"),0,VLOOKUP(VALUE(U$44),'SE Data'!$A$4:$AD$57,12,0))</f>
        <v>22327.32</v>
      </c>
      <c r="V63" s="293">
        <f>IF(ISERR(VLOOKUP(VALUE(V$44),'SE Data'!$A$4:$AD$57,12,0)="TRUE"),0,VLOOKUP(VALUE(V$44),'SE Data'!$A$4:$AD$57,12,0))</f>
        <v>0</v>
      </c>
      <c r="W63" s="293">
        <f>IF(ISERR(VLOOKUP(VALUE(W$44),'SE Data'!$A$4:$AD$57,12,0)="TRUE"),0,VLOOKUP(VALUE(W$44),'SE Data'!$A$4:$AD$57,12,0))</f>
        <v>2300</v>
      </c>
      <c r="X63" s="293">
        <f>IF(ISERR(VLOOKUP(VALUE(X$44),'SE Data'!$A$4:$AD$57,12,0)="TRUE"),0,VLOOKUP(VALUE(X$44),'SE Data'!$A$4:$AD$57,12,0))</f>
        <v>1350</v>
      </c>
      <c r="Y63" s="293">
        <v>12579</v>
      </c>
      <c r="Z63" s="293"/>
      <c r="AA63" s="293">
        <f>IF(ISERR(VLOOKUP(VALUE(AA$44),'SE Data'!$A$4:$AD$57,12,0)="TRUE"),0,VLOOKUP(VALUE(AA$44),'SE Data'!$A$4:$AD$57,12,0))</f>
        <v>4375</v>
      </c>
      <c r="AB63" s="293">
        <f>IF(ISERR(VLOOKUP(VALUE(AB$44),'SE Data'!$A$4:$AD$57,12,0)="TRUE"),0,VLOOKUP(VALUE(AB$44),'SE Data'!$A$4:$AD$57,12,0))</f>
        <v>0</v>
      </c>
      <c r="AC63" s="293">
        <f>IF(ISERR(VLOOKUP(VALUE(AC$44),'SE Data'!$A$4:$AD$57,12,0)="TRUE"),0,VLOOKUP(VALUE(AC$44),'SE Data'!$A$4:$AD$57,12,0))</f>
        <v>0</v>
      </c>
      <c r="AD63" s="293">
        <f>IF(ISERR(VLOOKUP(VALUE(AD$44),'SE Data'!$A$4:$AD$57,12,0)="TRUE"),0,VLOOKUP(VALUE(AD$44),'SE Data'!$A$4:$AD$57,12,0))</f>
        <v>0</v>
      </c>
      <c r="AE63" s="293">
        <f>IF(ISERR(VLOOKUP(VALUE(AE$44),'SE Data'!$A$4:$AD$57,12,0)="TRUE"),0,VLOOKUP(VALUE(AE$44),'SE Data'!$A$4:$AD$57,12,0))</f>
        <v>0</v>
      </c>
      <c r="AF63" s="293">
        <f>IF(ISERR(VLOOKUP(VALUE(AF$44),'SE Data'!$A$4:$AD$57,12,0)="TRUE"),0,VLOOKUP(VALUE(AF$44),'SE Data'!$A$4:$AD$57,12,0))</f>
        <v>0</v>
      </c>
      <c r="AG63" s="293">
        <f>IF(ISERR(VLOOKUP(VALUE(AG$44),'SE Data'!$A$4:$AD$57,12,0)="TRUE"),0,VLOOKUP(VALUE(AG$44),'SE Data'!$A$4:$AD$57,12,0))</f>
        <v>281006.54000000004</v>
      </c>
      <c r="AH63" s="293">
        <f>IF(ISERR(VLOOKUP(VALUE(AH$44),'SE Data'!$A$4:$AD$57,12,0)="TRUE"),0,VLOOKUP(VALUE(AH$44),'SE Data'!$A$4:$AD$57,12,0))</f>
        <v>0</v>
      </c>
      <c r="AI63" s="293">
        <f>IF(ISERR(VLOOKUP(VALUE(AI$44),'SE Data'!$A$4:$AD$57,12,0)="TRUE"),0,VLOOKUP(VALUE(AI$44),'SE Data'!$A$4:$AD$57,12,0))</f>
        <v>0</v>
      </c>
      <c r="AJ63" s="293">
        <f>IF(ISERR(VLOOKUP(VALUE(AJ$44),'SE Data'!$A$4:$AD$57,12,0)="TRUE"),0,VLOOKUP(VALUE(AJ$44),'SE Data'!$A$4:$AD$57,12,0))</f>
        <v>0</v>
      </c>
      <c r="AK63" s="293">
        <f>IF(ISERR(VLOOKUP(VALUE(AK$44),'SE Data'!$A$4:$AD$57,12,0)="TRUE"),0,VLOOKUP(VALUE(AK$44),'SE Data'!$A$4:$AD$57,12,0))</f>
        <v>0</v>
      </c>
      <c r="AL63" s="293">
        <f>IF(ISERR(VLOOKUP(VALUE(AL$44),'SE Data'!$A$4:$AD$57,12,0)="TRUE"),0,VLOOKUP(VALUE(AL$44),'SE Data'!$A$4:$AD$57,12,0))</f>
        <v>0</v>
      </c>
      <c r="AM63" s="293">
        <f>IF(ISERR(VLOOKUP(VALUE(AM$44),'SE Data'!$A$4:$AD$57,12,0)="TRUE"),0,VLOOKUP(VALUE(AM$44),'SE Data'!$A$4:$AD$57,12,0))</f>
        <v>0</v>
      </c>
      <c r="AN63" s="293">
        <f>IF(ISERR(VLOOKUP(VALUE(AN$44),'SE Data'!$A$4:$AD$57,12,0)="TRUE"),0,VLOOKUP(VALUE(AN$44),'SE Data'!$A$4:$AD$57,12,0))</f>
        <v>0</v>
      </c>
      <c r="AO63" s="293">
        <f>IF(ISERR(VLOOKUP(VALUE(AO$44),'SE Data'!$A$4:$AD$57,12,0)="TRUE"),0,VLOOKUP(VALUE(AO$44),'SE Data'!$A$4:$AD$57,12,0))</f>
        <v>0</v>
      </c>
      <c r="AP63" s="293">
        <f>IF(ISERR(VLOOKUP(VALUE(AP$44),'SE Data'!$A$4:$AD$57,12,0)="TRUE"),0,VLOOKUP(VALUE(AP$44),'SE Data'!$A$4:$AD$57,12,0))</f>
        <v>0</v>
      </c>
      <c r="AQ63" s="293">
        <f>IF(ISERR(VLOOKUP(VALUE(AQ$44),'SE Data'!$A$4:$AD$57,12,0)="TRUE"),0,VLOOKUP(VALUE(AQ$44),'SE Data'!$A$4:$AD$57,12,0))</f>
        <v>0</v>
      </c>
      <c r="AR63" s="293">
        <f>IF(ISERR(VLOOKUP(VALUE(AR$44),'SE Data'!$A$4:$AD$57,12,0)="TRUE"),0,VLOOKUP(VALUE(AR$44),'SE Data'!$A$4:$AD$57,12,0))</f>
        <v>0</v>
      </c>
      <c r="AS63" s="293">
        <f>IF(ISERR(VLOOKUP(VALUE(AS$44),'SE Data'!$A$4:$AD$57,12,0)="TRUE"),0,VLOOKUP(VALUE(AS$44),'SE Data'!$A$4:$AD$57,12,0))</f>
        <v>0</v>
      </c>
      <c r="AT63" s="293">
        <f>IF(ISERR(VLOOKUP(VALUE(AT$44),'SE Data'!$A$4:$AD$57,12,0)="TRUE"),0,VLOOKUP(VALUE(AT$44),'SE Data'!$A$4:$AD$57,12,0))</f>
        <v>0</v>
      </c>
      <c r="AU63" s="293">
        <f>IF(ISERR(VLOOKUP(VALUE(AU$44),'SE Data'!$A$4:$AD$57,12,0)="TRUE"),0,VLOOKUP(VALUE(AU$44),'SE Data'!$A$4:$AD$57,12,0))</f>
        <v>0</v>
      </c>
      <c r="AV63" s="293">
        <f>IF(ISERR(VLOOKUP(VALUE(AV$44),'SE Data'!$A$4:$AD$57,12,0)="TRUE"),0,VLOOKUP(VALUE(AV$44),'SE Data'!$A$4:$AD$57,12,0))</f>
        <v>0</v>
      </c>
      <c r="AW63" s="293">
        <f>IF(ISERR(VLOOKUP(VALUE(AW$44),'SE Data'!$A$4:$AD$57,12,0)="TRUE"),0,VLOOKUP(VALUE(AW$44),'SE Data'!$A$4:$AD$57,12,0))</f>
        <v>0</v>
      </c>
      <c r="AX63" s="293">
        <f>IF(ISERR(VLOOKUP(VALUE(AX$44),'SE Data'!$A$4:$AD$57,12,0)="TRUE"),0,VLOOKUP(VALUE(AX$44),'SE Data'!$A$4:$AD$57,12,0))</f>
        <v>0</v>
      </c>
      <c r="AY63" s="293">
        <f>IF(ISERR(VLOOKUP(VALUE(AY$44),'SE Data'!$A$4:$AD$57,12,0)="TRUE"),0,VLOOKUP(VALUE(AY$44),'SE Data'!$A$4:$AD$57,12,0))</f>
        <v>0</v>
      </c>
      <c r="AZ63" s="293">
        <f>IF(ISERR(VLOOKUP(VALUE(AZ$44),'SE Data'!$A$4:$AD$57,12,0)="TRUE"),0,VLOOKUP(VALUE(AZ$44),'SE Data'!$A$4:$AD$57,12,0))</f>
        <v>0</v>
      </c>
      <c r="BA63" s="293">
        <f>IF(ISERR(VLOOKUP(VALUE(BA$44),'SE Data'!$A$4:$AD$57,12,0)="TRUE"),0,VLOOKUP(VALUE(BA$44),'SE Data'!$A$4:$AD$57,12,0))</f>
        <v>0</v>
      </c>
      <c r="BB63" s="293">
        <f>IF(ISERR(VLOOKUP(VALUE(BB$44),'SE Data'!$A$4:$AD$57,12,0)="TRUE"),0,VLOOKUP(VALUE(BB$44),'SE Data'!$A$4:$AD$57,12,0))</f>
        <v>0</v>
      </c>
      <c r="BC63" s="293">
        <f>IF(ISERR(VLOOKUP(VALUE(BC$44),'SE Data'!$A$4:$AD$57,12,0)="TRUE"),0,VLOOKUP(VALUE(BC$44),'SE Data'!$A$4:$AD$57,12,0))</f>
        <v>0</v>
      </c>
      <c r="BD63" s="293">
        <f>IF(ISERR(VLOOKUP(VALUE(BD$44),'SE Data'!$A$4:$AD$57,12,0)="TRUE"),0,VLOOKUP(VALUE(BD$44),'SE Data'!$A$4:$AD$57,12,0))</f>
        <v>0</v>
      </c>
      <c r="BE63" s="293">
        <f>IF(ISERR(VLOOKUP(VALUE(BE$44),'SE Data'!$A$4:$AD$57,12,0)="TRUE"),0,VLOOKUP(VALUE(BE$44),'SE Data'!$A$4:$AD$57,12,0))</f>
        <v>0</v>
      </c>
      <c r="BF63" s="293">
        <f>IF(ISERR(VLOOKUP(VALUE(BF$44),'SE Data'!$A$4:$AD$57,12,0)="TRUE"),0,VLOOKUP(VALUE(BF$44),'SE Data'!$A$4:$AD$57,12,0))</f>
        <v>0</v>
      </c>
      <c r="BG63" s="293">
        <f>IF(ISERR(VLOOKUP(VALUE(BG$44),'SE Data'!$A$4:$AD$57,12,0)="TRUE"),0,VLOOKUP(VALUE(BG$44),'SE Data'!$A$4:$AD$57,12,0))</f>
        <v>0</v>
      </c>
      <c r="BH63" s="293">
        <f>IF(ISERR(VLOOKUP(VALUE(BH$44),'SE Data'!$A$4:$AD$57,12,0)="TRUE"),0,VLOOKUP(VALUE(BH$44),'SE Data'!$A$4:$AD$57,12,0))</f>
        <v>0</v>
      </c>
      <c r="BI63" s="293">
        <f>IF(ISERR(VLOOKUP(VALUE(BI$44),'SE Data'!$A$4:$AD$57,12,0)="TRUE"),0,VLOOKUP(VALUE(BI$44),'SE Data'!$A$4:$AD$57,12,0))</f>
        <v>0</v>
      </c>
      <c r="BJ63" s="293">
        <f>IF(ISERR(VLOOKUP(VALUE(BJ$44),'SE Data'!$A$4:$AD$57,12,0)="TRUE"),0,VLOOKUP(VALUE(BJ$44),'SE Data'!$A$4:$AD$57,12,0))</f>
        <v>0</v>
      </c>
      <c r="BK63" s="293">
        <f>IF(ISERR(VLOOKUP(VALUE(BK$44),'SE Data'!$A$4:$AD$57,12,0)="TRUE"),0,VLOOKUP(VALUE(BK$44),'SE Data'!$A$4:$AD$57,12,0))</f>
        <v>0</v>
      </c>
      <c r="BL63" s="293">
        <f>IF(ISERR(VLOOKUP(VALUE(BL$44),'SE Data'!$A$4:$AD$57,12,0)="TRUE"),0,VLOOKUP(VALUE(BL$44),'SE Data'!$A$4:$AD$57,12,0))</f>
        <v>0</v>
      </c>
      <c r="BM63" s="293">
        <f>IF(ISERR(VLOOKUP(VALUE(BM$44),'SE Data'!$A$4:$AD$57,12,0)="TRUE"),0,VLOOKUP(VALUE(BM$44),'SE Data'!$A$4:$AD$57,12,0))</f>
        <v>0</v>
      </c>
      <c r="BN63" s="293">
        <f>IF(ISERR(VLOOKUP(VALUE(BN$44),'SE Data'!$A$4:$AD$57,12,0)="TRUE"),0,VLOOKUP(VALUE(BN$44),'SE Data'!$A$4:$AD$57,12,0))</f>
        <v>0</v>
      </c>
      <c r="BO63" s="293">
        <f>IF(ISERR(VLOOKUP(VALUE(BO$44),'SE Data'!$A$4:$AD$57,12,0)="TRUE"),0,VLOOKUP(VALUE(BO$44),'SE Data'!$A$4:$AD$57,12,0))</f>
        <v>0</v>
      </c>
      <c r="BP63" s="293">
        <f>IF(ISERR(VLOOKUP(VALUE(BP$44),'SE Data'!$A$4:$AD$57,12,0)="TRUE"),0,VLOOKUP(VALUE(BP$44),'SE Data'!$A$4:$AD$57,12,0))</f>
        <v>0</v>
      </c>
      <c r="BQ63" s="293">
        <f>IF(ISERR(VLOOKUP(VALUE(BQ$44),'SE Data'!$A$4:$AD$57,12,0)="TRUE"),0,VLOOKUP(VALUE(BQ$44),'SE Data'!$A$4:$AD$57,12,0))</f>
        <v>0</v>
      </c>
      <c r="BR63" s="293">
        <f>IF(ISERR(VLOOKUP(VALUE(BR$44),'SE Data'!$A$4:$AD$57,12,0)="TRUE"),0,VLOOKUP(VALUE(BR$44),'SE Data'!$A$4:$AD$57,12,0))</f>
        <v>0</v>
      </c>
      <c r="BS63" s="293">
        <f>IF(ISERR(VLOOKUP(VALUE(BS$44),'SE Data'!$A$4:$AD$57,12,0)="TRUE"),0,VLOOKUP(VALUE(BS$44),'SE Data'!$A$4:$AD$57,12,0))</f>
        <v>0</v>
      </c>
      <c r="BT63" s="293">
        <f>IF(ISERR(VLOOKUP(VALUE(BT$44),'SE Data'!$A$4:$AD$57,12,0)="TRUE"),0,VLOOKUP(VALUE(BT$44),'SE Data'!$A$4:$AD$57,12,0))</f>
        <v>0</v>
      </c>
      <c r="BU63" s="293">
        <f>IF(ISERR(VLOOKUP(VALUE(BU$44),'SE Data'!$A$4:$AD$57,12,0)="TRUE"),0,VLOOKUP(VALUE(BU$44),'SE Data'!$A$4:$AD$57,12,0))</f>
        <v>0</v>
      </c>
      <c r="BV63" s="293">
        <f>IF(ISERR(VLOOKUP(VALUE(BV$44),'SE Data'!$A$4:$AD$57,12,0)="TRUE"),0,VLOOKUP(VALUE(BV$44),'SE Data'!$A$4:$AD$57,12,0))</f>
        <v>0</v>
      </c>
      <c r="BW63" s="293">
        <f>IF(ISERR(VLOOKUP(VALUE(BW$44),'SE Data'!$A$4:$AD$57,12,0)="TRUE"),0,VLOOKUP(VALUE(BW$44),'SE Data'!$A$4:$AD$57,12,0))</f>
        <v>0</v>
      </c>
      <c r="BX63" s="293">
        <f>IF(ISERR(VLOOKUP(VALUE(BX$44),'SE Data'!$A$4:$AD$57,12,0)="TRUE"),0,VLOOKUP(VALUE(BX$44),'SE Data'!$A$4:$AD$57,12,0))</f>
        <v>0</v>
      </c>
      <c r="BY63" s="293">
        <f>IF(ISERR(VLOOKUP(VALUE(BY$44),'SE Data'!$A$4:$AD$57,12,0)="TRUE"),0,VLOOKUP(VALUE(BY$44),'SE Data'!$A$4:$AD$57,12,0))</f>
        <v>0</v>
      </c>
      <c r="BZ63" s="293">
        <f>IF(ISERR(VLOOKUP(VALUE(BZ$44),'SE Data'!$A$4:$AD$57,12,0)="TRUE"),0,VLOOKUP(VALUE(BZ$44),'SE Data'!$A$4:$AD$57,12,0))</f>
        <v>0</v>
      </c>
      <c r="CA63" s="293">
        <f>IF(ISERR(VLOOKUP(VALUE(CA$44),'SE Data'!$A$4:$AD$57,12,0)="TRUE"),0,VLOOKUP(VALUE(CA$44),'SE Data'!$A$4:$AD$57,12,0))</f>
        <v>0</v>
      </c>
      <c r="CB63" s="293">
        <f>IF(ISERR(VLOOKUP(VALUE(CB$44),'SE Data'!$A$4:$AD$57,12,0)="TRUE"),0,VLOOKUP(VALUE(CB$44),'SE Data'!$A$4:$AD$57,12,0))</f>
        <v>0</v>
      </c>
      <c r="CC63" s="293">
        <f>IF(ISERR(VLOOKUP(VALUE(CC$44),'SE Data'!$A$4:$AD$57,12,0)="TRUE"),0,VLOOKUP(VALUE(CC$44),'SE Data'!$A$4:$AD$57,12,0))+1976375</f>
        <v>1976375</v>
      </c>
      <c r="CD63" s="249" t="s">
        <v>221</v>
      </c>
      <c r="CE63" s="195">
        <f t="shared" si="0"/>
        <v>2540556.9299999997</v>
      </c>
      <c r="CF63" s="252"/>
    </row>
    <row r="64" spans="1:84" ht="12.6" customHeight="1" x14ac:dyDescent="0.25">
      <c r="A64" s="171" t="s">
        <v>237</v>
      </c>
      <c r="B64" s="175"/>
      <c r="C64" s="293">
        <f>IF(ISERR(VLOOKUP(VALUE(C$44),'SE Data'!$A$4:$AD$57,14,0)="TRUE"),0,VLOOKUP(VALUE(C$44),'SE Data'!$A$4:$AD$57,14,0))</f>
        <v>0</v>
      </c>
      <c r="D64" s="293">
        <f>IF(ISERR(VLOOKUP(VALUE(D$44),'SE Data'!$A$4:$AD$57,14,0)="TRUE"),0,VLOOKUP(VALUE(D$44),'SE Data'!$A$4:$AD$57,14,0))</f>
        <v>0</v>
      </c>
      <c r="E64" s="293">
        <f>IF(ISERR(VLOOKUP(VALUE(E$44),'SE Data'!$A$4:$AD$57,14,0)="TRUE"),0,VLOOKUP(VALUE(E$44),'SE Data'!$A$4:$AD$57,14,0))</f>
        <v>220951.94</v>
      </c>
      <c r="F64" s="293">
        <f>IF(ISERR(VLOOKUP(VALUE(F$44),'SE Data'!$A$4:$AD$57,14,0)="TRUE"),0,VLOOKUP(VALUE(F$44),'SE Data'!$A$4:$AD$57,14,0))</f>
        <v>0</v>
      </c>
      <c r="G64" s="293">
        <f>IF(ISERR(VLOOKUP(VALUE(G$44),'SE Data'!$A$4:$AD$57,14,0)="TRUE"),0,VLOOKUP(VALUE(G$44),'SE Data'!$A$4:$AD$57,14,0))</f>
        <v>0</v>
      </c>
      <c r="H64" s="293">
        <f>IF(ISERR(VLOOKUP(VALUE(H$44),'SE Data'!$A$4:$AD$57,14,0)="TRUE"),0,VLOOKUP(VALUE(H$44),'SE Data'!$A$4:$AD$57,14,0))</f>
        <v>0</v>
      </c>
      <c r="I64" s="293">
        <f>IF(ISERR(VLOOKUP(VALUE(I$44),'SE Data'!$A$4:$AD$57,14,0)="TRUE"),0,VLOOKUP(VALUE(I$44),'SE Data'!$A$4:$AD$57,14,0))</f>
        <v>0</v>
      </c>
      <c r="J64" s="293">
        <f>IF(ISERR(VLOOKUP(VALUE(J$44),'SE Data'!$A$4:$AD$57,14,0)="TRUE"),0,VLOOKUP(VALUE(J$44),'SE Data'!$A$4:$AD$57,14,0))</f>
        <v>0</v>
      </c>
      <c r="K64" s="293">
        <f>IF(ISERR(VLOOKUP(VALUE(K$44),'SE Data'!$A$4:$AD$57,14,0)="TRUE"),0,VLOOKUP(VALUE(K$44),'SE Data'!$A$4:$AD$57,14,0))</f>
        <v>0</v>
      </c>
      <c r="L64" s="293">
        <f>IF(ISERR(VLOOKUP(VALUE(L$44),'SE Data'!$A$4:$AD$57,14,0)="TRUE"),0,VLOOKUP(VALUE(L$44),'SE Data'!$A$4:$AD$57,14,0))</f>
        <v>0</v>
      </c>
      <c r="M64" s="293">
        <f>IF(ISERR(VLOOKUP(VALUE(M$44),'SE Data'!$A$4:$AD$57,14,0)="TRUE"),0,VLOOKUP(VALUE(M$44),'SE Data'!$A$4:$AD$57,14,0))</f>
        <v>0</v>
      </c>
      <c r="N64" s="293">
        <f>IF(ISERR(VLOOKUP(VALUE(N$44),'SE Data'!$A$4:$AD$57,14,0)="TRUE"),0,VLOOKUP(VALUE(N$44),'SE Data'!$A$4:$AD$57,14,0))</f>
        <v>0</v>
      </c>
      <c r="O64" s="293">
        <f>IF(ISERR(VLOOKUP(VALUE(O$44),'SE Data'!$A$4:$AD$57,14,0)="TRUE"),0,VLOOKUP(VALUE(O$44),'SE Data'!$A$4:$AD$57,14,0))</f>
        <v>75735.47</v>
      </c>
      <c r="P64" s="293">
        <f>IF(ISERR(VLOOKUP(VALUE(P$44),'SE Data'!$A$4:$AD$57,14,0)="TRUE"),0,VLOOKUP(VALUE(P$44),'SE Data'!$A$4:$AD$57,14,0))</f>
        <v>2812442.45</v>
      </c>
      <c r="Q64" s="293">
        <f>IF(ISERR(VLOOKUP(VALUE(Q$44),'SE Data'!$A$4:$AD$57,14,0)="TRUE"),0,VLOOKUP(VALUE(Q$44),'SE Data'!$A$4:$AD$57,14,0))</f>
        <v>60573.529999999992</v>
      </c>
      <c r="R64" s="293">
        <f>IF(ISERR(VLOOKUP(VALUE(R$44),'SE Data'!$A$4:$AD$57,14,0)="TRUE"),0,VLOOKUP(VALUE(R$44),'SE Data'!$A$4:$AD$57,14,0))</f>
        <v>71345.959999999992</v>
      </c>
      <c r="S64" s="293">
        <f>IF(ISERR(VLOOKUP(VALUE(S$44),'SE Data'!$A$4:$AD$57,14,0)="TRUE"),0,VLOOKUP(VALUE(S$44),'SE Data'!$A$4:$AD$57,14,0))</f>
        <v>-62726.289999999994</v>
      </c>
      <c r="T64" s="293">
        <f>IF(ISERR(VLOOKUP(VALUE(T$44),'SE Data'!$A$4:$AD$57,14,0)="TRUE"),0,VLOOKUP(VALUE(T$44),'SE Data'!$A$4:$AD$57,14,0))</f>
        <v>23841.649999999998</v>
      </c>
      <c r="U64" s="293">
        <f>IF(ISERR(VLOOKUP(VALUE(U$44),'SE Data'!$A$4:$AD$57,14,0)="TRUE"),0,VLOOKUP(VALUE(U$44),'SE Data'!$A$4:$AD$57,14,0))</f>
        <v>491972.32999999996</v>
      </c>
      <c r="V64" s="293">
        <f>IF(ISERR(VLOOKUP(VALUE(V$44),'SE Data'!$A$4:$AD$57,14,0)="TRUE"),0,VLOOKUP(VALUE(V$44),'SE Data'!$A$4:$AD$57,14,0))</f>
        <v>0</v>
      </c>
      <c r="W64" s="293">
        <f>IF(ISERR(VLOOKUP(VALUE(W$44),'SE Data'!$A$4:$AD$57,14,0)="TRUE"),0,VLOOKUP(VALUE(W$44),'SE Data'!$A$4:$AD$57,14,0))</f>
        <v>14489.189999999999</v>
      </c>
      <c r="X64" s="293">
        <f>IF(ISERR(VLOOKUP(VALUE(X$44),'SE Data'!$A$4:$AD$57,14,0)="TRUE"),0,VLOOKUP(VALUE(X$44),'SE Data'!$A$4:$AD$57,14,0))</f>
        <v>53595.25</v>
      </c>
      <c r="Y64" s="293">
        <f>20292.44+16</f>
        <v>20308.439999999999</v>
      </c>
      <c r="Z64" s="293"/>
      <c r="AA64" s="293">
        <f>IF(ISERR(VLOOKUP(VALUE(AA$44),'SE Data'!$A$4:$AD$57,14,0)="TRUE"),0,VLOOKUP(VALUE(AA$44),'SE Data'!$A$4:$AD$57,14,0))</f>
        <v>69406.92</v>
      </c>
      <c r="AB64" s="293">
        <f>IF(ISERR(VLOOKUP(VALUE(AB$44),'SE Data'!$A$4:$AD$57,14,0)="TRUE"),0,VLOOKUP(VALUE(AB$44),'SE Data'!$A$4:$AD$57,14,0))</f>
        <v>1016175</v>
      </c>
      <c r="AC64" s="293">
        <f>IF(ISERR(VLOOKUP(VALUE(AC$44),'SE Data'!$A$4:$AD$57,14,0)="TRUE"),0,VLOOKUP(VALUE(AC$44),'SE Data'!$A$4:$AD$57,14,0))</f>
        <v>21727.800000000003</v>
      </c>
      <c r="AD64" s="293">
        <f>IF(ISERR(VLOOKUP(VALUE(AD$44),'SE Data'!$A$4:$AD$57,14,0)="TRUE"),0,VLOOKUP(VALUE(AD$44),'SE Data'!$A$4:$AD$57,14,0))</f>
        <v>0</v>
      </c>
      <c r="AE64" s="293">
        <f>IF(ISERR(VLOOKUP(VALUE(AE$44),'SE Data'!$A$4:$AD$57,14,0)="TRUE"),0,VLOOKUP(VALUE(AE$44),'SE Data'!$A$4:$AD$57,14,0))</f>
        <v>0</v>
      </c>
      <c r="AF64" s="293">
        <f>IF(ISERR(VLOOKUP(VALUE(AF$44),'SE Data'!$A$4:$AD$57,14,0)="TRUE"),0,VLOOKUP(VALUE(AF$44),'SE Data'!$A$4:$AD$57,14,0))</f>
        <v>0</v>
      </c>
      <c r="AG64" s="293">
        <f>IF(ISERR(VLOOKUP(VALUE(AG$44),'SE Data'!$A$4:$AD$57,14,0)="TRUE"),0,VLOOKUP(VALUE(AG$44),'SE Data'!$A$4:$AD$57,14,0))</f>
        <v>226408.86999999997</v>
      </c>
      <c r="AH64" s="293">
        <f>IF(ISERR(VLOOKUP(VALUE(AH$44),'SE Data'!$A$4:$AD$57,14,0)="TRUE"),0,VLOOKUP(VALUE(AH$44),'SE Data'!$A$4:$AD$57,14,0))</f>
        <v>0</v>
      </c>
      <c r="AI64" s="293">
        <f>IF(ISERR(VLOOKUP(VALUE(AI$44),'SE Data'!$A$4:$AD$57,14,0)="TRUE"),0,VLOOKUP(VALUE(AI$44),'SE Data'!$A$4:$AD$57,14,0))</f>
        <v>0</v>
      </c>
      <c r="AJ64" s="293">
        <f>IF(ISERR(VLOOKUP(VALUE(AJ$44),'SE Data'!$A$4:$AD$57,14,0)="TRUE"),0,VLOOKUP(VALUE(AJ$44),'SE Data'!$A$4:$AD$57,14,0))</f>
        <v>780648.15</v>
      </c>
      <c r="AK64" s="293">
        <f>IF(ISERR(VLOOKUP(VALUE(AK$44),'SE Data'!$A$4:$AD$57,14,0)="TRUE"),0,VLOOKUP(VALUE(AK$44),'SE Data'!$A$4:$AD$57,14,0))</f>
        <v>0</v>
      </c>
      <c r="AL64" s="293">
        <f>IF(ISERR(VLOOKUP(VALUE(AL$44),'SE Data'!$A$4:$AD$57,14,0)="TRUE"),0,VLOOKUP(VALUE(AL$44),'SE Data'!$A$4:$AD$57,14,0))</f>
        <v>0</v>
      </c>
      <c r="AM64" s="293">
        <f>IF(ISERR(VLOOKUP(VALUE(AM$44),'SE Data'!$A$4:$AD$57,14,0)="TRUE"),0,VLOOKUP(VALUE(AM$44),'SE Data'!$A$4:$AD$57,14,0))</f>
        <v>0</v>
      </c>
      <c r="AN64" s="293">
        <f>IF(ISERR(VLOOKUP(VALUE(AN$44),'SE Data'!$A$4:$AD$57,14,0)="TRUE"),0,VLOOKUP(VALUE(AN$44),'SE Data'!$A$4:$AD$57,14,0))</f>
        <v>0</v>
      </c>
      <c r="AO64" s="293">
        <f>IF(ISERR(VLOOKUP(VALUE(AO$44),'SE Data'!$A$4:$AD$57,14,0)="TRUE"),0,VLOOKUP(VALUE(AO$44),'SE Data'!$A$4:$AD$57,14,0))</f>
        <v>0</v>
      </c>
      <c r="AP64" s="293">
        <f>IF(ISERR(VLOOKUP(VALUE(AP$44),'SE Data'!$A$4:$AD$57,14,0)="TRUE"),0,VLOOKUP(VALUE(AP$44),'SE Data'!$A$4:$AD$57,14,0))</f>
        <v>0</v>
      </c>
      <c r="AQ64" s="293">
        <f>IF(ISERR(VLOOKUP(VALUE(AQ$44),'SE Data'!$A$4:$AD$57,14,0)="TRUE"),0,VLOOKUP(VALUE(AQ$44),'SE Data'!$A$4:$AD$57,14,0))</f>
        <v>0</v>
      </c>
      <c r="AR64" s="293">
        <f>IF(ISERR(VLOOKUP(VALUE(AR$44),'SE Data'!$A$4:$AD$57,14,0)="TRUE"),0,VLOOKUP(VALUE(AR$44),'SE Data'!$A$4:$AD$57,14,0))</f>
        <v>0</v>
      </c>
      <c r="AS64" s="293">
        <f>IF(ISERR(VLOOKUP(VALUE(AS$44),'SE Data'!$A$4:$AD$57,14,0)="TRUE"),0,VLOOKUP(VALUE(AS$44),'SE Data'!$A$4:$AD$57,14,0))</f>
        <v>0</v>
      </c>
      <c r="AT64" s="293">
        <f>IF(ISERR(VLOOKUP(VALUE(AT$44),'SE Data'!$A$4:$AD$57,14,0)="TRUE"),0,VLOOKUP(VALUE(AT$44),'SE Data'!$A$4:$AD$57,14,0))</f>
        <v>0</v>
      </c>
      <c r="AU64" s="293">
        <f>IF(ISERR(VLOOKUP(VALUE(AU$44),'SE Data'!$A$4:$AD$57,14,0)="TRUE"),0,VLOOKUP(VALUE(AU$44),'SE Data'!$A$4:$AD$57,14,0))</f>
        <v>0</v>
      </c>
      <c r="AV64" s="293">
        <f>IF(ISERR(VLOOKUP(VALUE(AV$44),'SE Data'!$A$4:$AD$57,14,0)="TRUE"),0,VLOOKUP(VALUE(AV$44),'SE Data'!$A$4:$AD$57,14,0))</f>
        <v>0</v>
      </c>
      <c r="AW64" s="293">
        <f>IF(ISERR(VLOOKUP(VALUE(AW$44),'SE Data'!$A$4:$AD$57,14,0)="TRUE"),0,VLOOKUP(VALUE(AW$44),'SE Data'!$A$4:$AD$57,14,0))</f>
        <v>0</v>
      </c>
      <c r="AX64" s="293">
        <f>IF(ISERR(VLOOKUP(VALUE(AX$44),'SE Data'!$A$4:$AD$57,14,0)="TRUE"),0,VLOOKUP(VALUE(AX$44),'SE Data'!$A$4:$AD$57,14,0))</f>
        <v>0</v>
      </c>
      <c r="AY64" s="293">
        <f>IF(ISERR(VLOOKUP(VALUE(AY$44),'SE Data'!$A$4:$AD$57,14,0)="TRUE"),0,VLOOKUP(VALUE(AY$44),'SE Data'!$A$4:$AD$57,14,0))</f>
        <v>279540.6399999999</v>
      </c>
      <c r="AZ64" s="293">
        <f>IF(ISERR(VLOOKUP(VALUE(AZ$44),'SE Data'!$A$4:$AD$57,14,0)="TRUE"),0,VLOOKUP(VALUE(AZ$44),'SE Data'!$A$4:$AD$57,14,0))</f>
        <v>0</v>
      </c>
      <c r="BA64" s="293">
        <f>IF(ISERR(VLOOKUP(VALUE(BA$44),'SE Data'!$A$4:$AD$57,14,0)="TRUE"),0,VLOOKUP(VALUE(BA$44),'SE Data'!$A$4:$AD$57,14,0))</f>
        <v>0</v>
      </c>
      <c r="BB64" s="293">
        <f>IF(ISERR(VLOOKUP(VALUE(BB$44),'SE Data'!$A$4:$AD$57,14,0)="TRUE"),0,VLOOKUP(VALUE(BB$44),'SE Data'!$A$4:$AD$57,14,0))</f>
        <v>0</v>
      </c>
      <c r="BC64" s="293">
        <f>IF(ISERR(VLOOKUP(VALUE(BC$44),'SE Data'!$A$4:$AD$57,14,0)="TRUE"),0,VLOOKUP(VALUE(BC$44),'SE Data'!$A$4:$AD$57,14,0))</f>
        <v>0</v>
      </c>
      <c r="BD64" s="293">
        <f>IF(ISERR(VLOOKUP(VALUE(BD$44),'SE Data'!$A$4:$AD$57,14,0)="TRUE"),0,VLOOKUP(VALUE(BD$44),'SE Data'!$A$4:$AD$57,14,0))</f>
        <v>0</v>
      </c>
      <c r="BE64" s="293">
        <f>IF(ISERR(VLOOKUP(VALUE(BE$44),'SE Data'!$A$4:$AD$57,14,0)="TRUE"),0,VLOOKUP(VALUE(BE$44),'SE Data'!$A$4:$AD$57,14,0))</f>
        <v>16198.619999999999</v>
      </c>
      <c r="BF64" s="293">
        <f>IF(ISERR(VLOOKUP(VALUE(BF$44),'SE Data'!$A$4:$AD$57,14,0)="TRUE"),0,VLOOKUP(VALUE(BF$44),'SE Data'!$A$4:$AD$57,14,0))</f>
        <v>58106.160000000011</v>
      </c>
      <c r="BG64" s="293">
        <f>IF(ISERR(VLOOKUP(VALUE(BG$44),'SE Data'!$A$4:$AD$57,14,0)="TRUE"),0,VLOOKUP(VALUE(BG$44),'SE Data'!$A$4:$AD$57,14,0))</f>
        <v>0</v>
      </c>
      <c r="BH64" s="293">
        <f>IF(ISERR(VLOOKUP(VALUE(BH$44),'SE Data'!$A$4:$AD$57,14,0)="TRUE"),0,VLOOKUP(VALUE(BH$44),'SE Data'!$A$4:$AD$57,14,0))</f>
        <v>123.35</v>
      </c>
      <c r="BI64" s="293">
        <f>IF(ISERR(VLOOKUP(VALUE(BI$44),'SE Data'!$A$4:$AD$57,14,0)="TRUE"),0,VLOOKUP(VALUE(BI$44),'SE Data'!$A$4:$AD$57,14,0))</f>
        <v>0</v>
      </c>
      <c r="BJ64" s="293">
        <f>IF(ISERR(VLOOKUP(VALUE(BJ$44),'SE Data'!$A$4:$AD$57,14,0)="TRUE"),0,VLOOKUP(VALUE(BJ$44),'SE Data'!$A$4:$AD$57,14,0))</f>
        <v>0</v>
      </c>
      <c r="BK64" s="293">
        <f>IF(ISERR(VLOOKUP(VALUE(BK$44),'SE Data'!$A$4:$AD$57,14,0)="TRUE"),0,VLOOKUP(VALUE(BK$44),'SE Data'!$A$4:$AD$57,14,0))</f>
        <v>0</v>
      </c>
      <c r="BL64" s="293">
        <f>IF(ISERR(VLOOKUP(VALUE(BL$44),'SE Data'!$A$4:$AD$57,14,0)="TRUE"),0,VLOOKUP(VALUE(BL$44),'SE Data'!$A$4:$AD$57,14,0))</f>
        <v>9290.630000000001</v>
      </c>
      <c r="BM64" s="293">
        <f>IF(ISERR(VLOOKUP(VALUE(BM$44),'SE Data'!$A$4:$AD$57,14,0)="TRUE"),0,VLOOKUP(VALUE(BM$44),'SE Data'!$A$4:$AD$57,14,0))</f>
        <v>0</v>
      </c>
      <c r="BN64" s="293">
        <f>IF(ISERR(VLOOKUP(VALUE(BN$44),'SE Data'!$A$4:$AD$57,14,0)="TRUE"),0,VLOOKUP(VALUE(BN$44),'SE Data'!$A$4:$AD$57,14,0))</f>
        <v>22510.439999999995</v>
      </c>
      <c r="BO64" s="293">
        <f>IF(ISERR(VLOOKUP(VALUE(BO$44),'SE Data'!$A$4:$AD$57,14,0)="TRUE"),0,VLOOKUP(VALUE(BO$44),'SE Data'!$A$4:$AD$57,14,0))</f>
        <v>0</v>
      </c>
      <c r="BP64" s="293">
        <f>IF(ISERR(VLOOKUP(VALUE(BP$44),'SE Data'!$A$4:$AD$57,14,0)="TRUE"),0,VLOOKUP(VALUE(BP$44),'SE Data'!$A$4:$AD$57,14,0))</f>
        <v>0</v>
      </c>
      <c r="BQ64" s="293">
        <f>IF(ISERR(VLOOKUP(VALUE(BQ$44),'SE Data'!$A$4:$AD$57,14,0)="TRUE"),0,VLOOKUP(VALUE(BQ$44),'SE Data'!$A$4:$AD$57,14,0))</f>
        <v>0</v>
      </c>
      <c r="BR64" s="293">
        <f>IF(ISERR(VLOOKUP(VALUE(BR$44),'SE Data'!$A$4:$AD$57,14,0)="TRUE"),0,VLOOKUP(VALUE(BR$44),'SE Data'!$A$4:$AD$57,14,0))</f>
        <v>0</v>
      </c>
      <c r="BS64" s="293">
        <f>IF(ISERR(VLOOKUP(VALUE(BS$44),'SE Data'!$A$4:$AD$57,14,0)="TRUE"),0,VLOOKUP(VALUE(BS$44),'SE Data'!$A$4:$AD$57,14,0))</f>
        <v>0</v>
      </c>
      <c r="BT64" s="293">
        <f>IF(ISERR(VLOOKUP(VALUE(BT$44),'SE Data'!$A$4:$AD$57,14,0)="TRUE"),0,VLOOKUP(VALUE(BT$44),'SE Data'!$A$4:$AD$57,14,0))</f>
        <v>0</v>
      </c>
      <c r="BU64" s="293">
        <f>IF(ISERR(VLOOKUP(VALUE(BU$44),'SE Data'!$A$4:$AD$57,14,0)="TRUE"),0,VLOOKUP(VALUE(BU$44),'SE Data'!$A$4:$AD$57,14,0))</f>
        <v>0</v>
      </c>
      <c r="BV64" s="293">
        <f>IF(ISERR(VLOOKUP(VALUE(BV$44),'SE Data'!$A$4:$AD$57,14,0)="TRUE"),0,VLOOKUP(VALUE(BV$44),'SE Data'!$A$4:$AD$57,14,0))</f>
        <v>0</v>
      </c>
      <c r="BW64" s="293">
        <f>IF(ISERR(VLOOKUP(VALUE(BW$44),'SE Data'!$A$4:$AD$57,14,0)="TRUE"),0,VLOOKUP(VALUE(BW$44),'SE Data'!$A$4:$AD$57,14,0))</f>
        <v>0</v>
      </c>
      <c r="BX64" s="293">
        <f>IF(ISERR(VLOOKUP(VALUE(BX$44),'SE Data'!$A$4:$AD$57,14,0)="TRUE"),0,VLOOKUP(VALUE(BX$44),'SE Data'!$A$4:$AD$57,14,0))</f>
        <v>40.54</v>
      </c>
      <c r="BY64" s="293">
        <f>IF(ISERR(VLOOKUP(VALUE(BY$44),'SE Data'!$A$4:$AD$57,14,0)="TRUE"),0,VLOOKUP(VALUE(BY$44),'SE Data'!$A$4:$AD$57,14,0))</f>
        <v>3274.8399999999992</v>
      </c>
      <c r="BZ64" s="293">
        <f>IF(ISERR(VLOOKUP(VALUE(BZ$44),'SE Data'!$A$4:$AD$57,14,0)="TRUE"),0,VLOOKUP(VALUE(BZ$44),'SE Data'!$A$4:$AD$57,14,0))</f>
        <v>0</v>
      </c>
      <c r="CA64" s="293">
        <f>IF(ISERR(VLOOKUP(VALUE(CA$44),'SE Data'!$A$4:$AD$57,14,0)="TRUE"),0,VLOOKUP(VALUE(CA$44),'SE Data'!$A$4:$AD$57,14,0))</f>
        <v>0</v>
      </c>
      <c r="CB64" s="293">
        <f>IF(ISERR(VLOOKUP(VALUE(CB$44),'SE Data'!$A$4:$AD$57,14,0)="TRUE"),0,VLOOKUP(VALUE(CB$44),'SE Data'!$A$4:$AD$57,14,0))</f>
        <v>0</v>
      </c>
      <c r="CC64" s="293">
        <f>IF(ISERR(VLOOKUP(VALUE(CC$44),'SE Data'!$A$4:$AD$57,14,0)="TRUE"),0,VLOOKUP(VALUE(CC$44),'SE Data'!$A$4:$AD$57,14,0))+26532-488.88</f>
        <v>26043.119999999999</v>
      </c>
      <c r="CD64" s="249" t="s">
        <v>221</v>
      </c>
      <c r="CE64" s="195">
        <f t="shared" si="0"/>
        <v>6312025</v>
      </c>
      <c r="CF64" s="252"/>
    </row>
    <row r="65" spans="1:84" ht="12.6" customHeight="1" x14ac:dyDescent="0.25">
      <c r="A65" s="171" t="s">
        <v>238</v>
      </c>
      <c r="B65" s="175"/>
      <c r="C65" s="293">
        <f>IF(ISERR(VLOOKUP(VALUE(C$44),'SE Data'!$A$4:$AD$57,15,0)="TRUE"),0,VLOOKUP(VALUE(C$44),'SE Data'!$A$4:$AD$57,15,0))</f>
        <v>0</v>
      </c>
      <c r="D65" s="293">
        <f>IF(ISERR(VLOOKUP(VALUE(D$44),'SE Data'!$A$4:$AD$57,15,0)="TRUE"),0,VLOOKUP(VALUE(D$44),'SE Data'!$A$4:$AD$57,15,0))</f>
        <v>0</v>
      </c>
      <c r="E65" s="293">
        <f>IF(ISERR(VLOOKUP(VALUE(E$44),'SE Data'!$A$4:$AD$57,15,0)="TRUE"),0,VLOOKUP(VALUE(E$44),'SE Data'!$A$4:$AD$57,15,0))</f>
        <v>887.86</v>
      </c>
      <c r="F65" s="293">
        <f>IF(ISERR(VLOOKUP(VALUE(F$44),'SE Data'!$A$4:$AD$57,15,0)="TRUE"),0,VLOOKUP(VALUE(F$44),'SE Data'!$A$4:$AD$57,15,0))</f>
        <v>0</v>
      </c>
      <c r="G65" s="293">
        <f>IF(ISERR(VLOOKUP(VALUE(G$44),'SE Data'!$A$4:$AD$57,15,0)="TRUE"),0,VLOOKUP(VALUE(G$44),'SE Data'!$A$4:$AD$57,15,0))</f>
        <v>0</v>
      </c>
      <c r="H65" s="293">
        <f>IF(ISERR(VLOOKUP(VALUE(H$44),'SE Data'!$A$4:$AD$57,15,0)="TRUE"),0,VLOOKUP(VALUE(H$44),'SE Data'!$A$4:$AD$57,15,0))</f>
        <v>0</v>
      </c>
      <c r="I65" s="293">
        <f>IF(ISERR(VLOOKUP(VALUE(I$44),'SE Data'!$A$4:$AD$57,15,0)="TRUE"),0,VLOOKUP(VALUE(I$44),'SE Data'!$A$4:$AD$57,15,0))</f>
        <v>0</v>
      </c>
      <c r="J65" s="293">
        <f>IF(ISERR(VLOOKUP(VALUE(J$44),'SE Data'!$A$4:$AD$57,15,0)="TRUE"),0,VLOOKUP(VALUE(J$44),'SE Data'!$A$4:$AD$57,15,0))</f>
        <v>0</v>
      </c>
      <c r="K65" s="293">
        <f>IF(ISERR(VLOOKUP(VALUE(K$44),'SE Data'!$A$4:$AD$57,15,0)="TRUE"),0,VLOOKUP(VALUE(K$44),'SE Data'!$A$4:$AD$57,15,0))</f>
        <v>0</v>
      </c>
      <c r="L65" s="293">
        <f>IF(ISERR(VLOOKUP(VALUE(L$44),'SE Data'!$A$4:$AD$57,15,0)="TRUE"),0,VLOOKUP(VALUE(L$44),'SE Data'!$A$4:$AD$57,15,0))</f>
        <v>0</v>
      </c>
      <c r="M65" s="293">
        <f>IF(ISERR(VLOOKUP(VALUE(M$44),'SE Data'!$A$4:$AD$57,15,0)="TRUE"),0,VLOOKUP(VALUE(M$44),'SE Data'!$A$4:$AD$57,15,0))</f>
        <v>0</v>
      </c>
      <c r="N65" s="293">
        <f>IF(ISERR(VLOOKUP(VALUE(N$44),'SE Data'!$A$4:$AD$57,15,0)="TRUE"),0,VLOOKUP(VALUE(N$44),'SE Data'!$A$4:$AD$57,15,0))</f>
        <v>0</v>
      </c>
      <c r="O65" s="293">
        <f>IF(ISERR(VLOOKUP(VALUE(O$44),'SE Data'!$A$4:$AD$57,15,0)="TRUE"),0,VLOOKUP(VALUE(O$44),'SE Data'!$A$4:$AD$57,15,0))</f>
        <v>0</v>
      </c>
      <c r="P65" s="293">
        <f>IF(ISERR(VLOOKUP(VALUE(P$44),'SE Data'!$A$4:$AD$57,15,0)="TRUE"),0,VLOOKUP(VALUE(P$44),'SE Data'!$A$4:$AD$57,15,0))</f>
        <v>1774.45</v>
      </c>
      <c r="Q65" s="293">
        <f>IF(ISERR(VLOOKUP(VALUE(Q$44),'SE Data'!$A$4:$AD$57,15,0)="TRUE"),0,VLOOKUP(VALUE(Q$44),'SE Data'!$A$4:$AD$57,15,0))</f>
        <v>0</v>
      </c>
      <c r="R65" s="293">
        <f>IF(ISERR(VLOOKUP(VALUE(R$44),'SE Data'!$A$4:$AD$57,15,0)="TRUE"),0,VLOOKUP(VALUE(R$44),'SE Data'!$A$4:$AD$57,15,0))</f>
        <v>0</v>
      </c>
      <c r="S65" s="293">
        <f>IF(ISERR(VLOOKUP(VALUE(S$44),'SE Data'!$A$4:$AD$57,15,0)="TRUE"),0,VLOOKUP(VALUE(S$44),'SE Data'!$A$4:$AD$57,15,0))</f>
        <v>0</v>
      </c>
      <c r="T65" s="293">
        <f>IF(ISERR(VLOOKUP(VALUE(T$44),'SE Data'!$A$4:$AD$57,15,0)="TRUE"),0,VLOOKUP(VALUE(T$44),'SE Data'!$A$4:$AD$57,15,0))</f>
        <v>0</v>
      </c>
      <c r="U65" s="293">
        <f>IF(ISERR(VLOOKUP(VALUE(U$44),'SE Data'!$A$4:$AD$57,15,0)="TRUE"),0,VLOOKUP(VALUE(U$44),'SE Data'!$A$4:$AD$57,15,0))</f>
        <v>194.76</v>
      </c>
      <c r="V65" s="293">
        <f>IF(ISERR(VLOOKUP(VALUE(V$44),'SE Data'!$A$4:$AD$57,15,0)="TRUE"),0,VLOOKUP(VALUE(V$44),'SE Data'!$A$4:$AD$57,15,0))</f>
        <v>0</v>
      </c>
      <c r="W65" s="293">
        <f>IF(ISERR(VLOOKUP(VALUE(W$44),'SE Data'!$A$4:$AD$57,15,0)="TRUE"),0,VLOOKUP(VALUE(W$44),'SE Data'!$A$4:$AD$57,15,0))</f>
        <v>0</v>
      </c>
      <c r="X65" s="293">
        <f>IF(ISERR(VLOOKUP(VALUE(X$44),'SE Data'!$A$4:$AD$57,15,0)="TRUE"),0,VLOOKUP(VALUE(X$44),'SE Data'!$A$4:$AD$57,15,0))</f>
        <v>0</v>
      </c>
      <c r="Y65" s="293">
        <v>76.13</v>
      </c>
      <c r="Z65" s="293"/>
      <c r="AA65" s="293">
        <f>IF(ISERR(VLOOKUP(VALUE(AA$44),'SE Data'!$A$4:$AD$57,15,0)="TRUE"),0,VLOOKUP(VALUE(AA$44),'SE Data'!$A$4:$AD$57,15,0))</f>
        <v>0</v>
      </c>
      <c r="AB65" s="293">
        <f>IF(ISERR(VLOOKUP(VALUE(AB$44),'SE Data'!$A$4:$AD$57,15,0)="TRUE"),0,VLOOKUP(VALUE(AB$44),'SE Data'!$A$4:$AD$57,15,0))</f>
        <v>165.45</v>
      </c>
      <c r="AC65" s="293">
        <f>IF(ISERR(VLOOKUP(VALUE(AC$44),'SE Data'!$A$4:$AD$57,15,0)="TRUE"),0,VLOOKUP(VALUE(AC$44),'SE Data'!$A$4:$AD$57,15,0))</f>
        <v>16.2</v>
      </c>
      <c r="AD65" s="293">
        <f>IF(ISERR(VLOOKUP(VALUE(AD$44),'SE Data'!$A$4:$AD$57,15,0)="TRUE"),0,VLOOKUP(VALUE(AD$44),'SE Data'!$A$4:$AD$57,15,0))</f>
        <v>0</v>
      </c>
      <c r="AE65" s="293">
        <f>IF(ISERR(VLOOKUP(VALUE(AE$44),'SE Data'!$A$4:$AD$57,15,0)="TRUE"),0,VLOOKUP(VALUE(AE$44),'SE Data'!$A$4:$AD$57,15,0))</f>
        <v>0</v>
      </c>
      <c r="AF65" s="293">
        <f>IF(ISERR(VLOOKUP(VALUE(AF$44),'SE Data'!$A$4:$AD$57,15,0)="TRUE"),0,VLOOKUP(VALUE(AF$44),'SE Data'!$A$4:$AD$57,15,0))</f>
        <v>0</v>
      </c>
      <c r="AG65" s="293">
        <f>IF(ISERR(VLOOKUP(VALUE(AG$44),'SE Data'!$A$4:$AD$57,15,0)="TRUE"),0,VLOOKUP(VALUE(AG$44),'SE Data'!$A$4:$AD$57,15,0))</f>
        <v>649.86</v>
      </c>
      <c r="AH65" s="293">
        <f>IF(ISERR(VLOOKUP(VALUE(AH$44),'SE Data'!$A$4:$AD$57,15,0)="TRUE"),0,VLOOKUP(VALUE(AH$44),'SE Data'!$A$4:$AD$57,15,0))</f>
        <v>0</v>
      </c>
      <c r="AI65" s="293">
        <f>IF(ISERR(VLOOKUP(VALUE(AI$44),'SE Data'!$A$4:$AD$57,15,0)="TRUE"),0,VLOOKUP(VALUE(AI$44),'SE Data'!$A$4:$AD$57,15,0))</f>
        <v>0</v>
      </c>
      <c r="AJ65" s="293">
        <f>IF(ISERR(VLOOKUP(VALUE(AJ$44),'SE Data'!$A$4:$AD$57,15,0)="TRUE"),0,VLOOKUP(VALUE(AJ$44),'SE Data'!$A$4:$AD$57,15,0))</f>
        <v>108783.66</v>
      </c>
      <c r="AK65" s="293">
        <f>IF(ISERR(VLOOKUP(VALUE(AK$44),'SE Data'!$A$4:$AD$57,15,0)="TRUE"),0,VLOOKUP(VALUE(AK$44),'SE Data'!$A$4:$AD$57,15,0))</f>
        <v>0</v>
      </c>
      <c r="AL65" s="293">
        <f>IF(ISERR(VLOOKUP(VALUE(AL$44),'SE Data'!$A$4:$AD$57,15,0)="TRUE"),0,VLOOKUP(VALUE(AL$44),'SE Data'!$A$4:$AD$57,15,0))</f>
        <v>0</v>
      </c>
      <c r="AM65" s="293">
        <f>IF(ISERR(VLOOKUP(VALUE(AM$44),'SE Data'!$A$4:$AD$57,15,0)="TRUE"),0,VLOOKUP(VALUE(AM$44),'SE Data'!$A$4:$AD$57,15,0))</f>
        <v>0</v>
      </c>
      <c r="AN65" s="293">
        <f>IF(ISERR(VLOOKUP(VALUE(AN$44),'SE Data'!$A$4:$AD$57,15,0)="TRUE"),0,VLOOKUP(VALUE(AN$44),'SE Data'!$A$4:$AD$57,15,0))</f>
        <v>0</v>
      </c>
      <c r="AO65" s="293">
        <f>IF(ISERR(VLOOKUP(VALUE(AO$44),'SE Data'!$A$4:$AD$57,15,0)="TRUE"),0,VLOOKUP(VALUE(AO$44),'SE Data'!$A$4:$AD$57,15,0))</f>
        <v>0</v>
      </c>
      <c r="AP65" s="293">
        <f>IF(ISERR(VLOOKUP(VALUE(AP$44),'SE Data'!$A$4:$AD$57,15,0)="TRUE"),0,VLOOKUP(VALUE(AP$44),'SE Data'!$A$4:$AD$57,15,0))</f>
        <v>0</v>
      </c>
      <c r="AQ65" s="293">
        <f>IF(ISERR(VLOOKUP(VALUE(AQ$44),'SE Data'!$A$4:$AD$57,15,0)="TRUE"),0,VLOOKUP(VALUE(AQ$44),'SE Data'!$A$4:$AD$57,15,0))</f>
        <v>0</v>
      </c>
      <c r="AR65" s="293">
        <f>IF(ISERR(VLOOKUP(VALUE(AR$44),'SE Data'!$A$4:$AD$57,15,0)="TRUE"),0,VLOOKUP(VALUE(AR$44),'SE Data'!$A$4:$AD$57,15,0))</f>
        <v>0</v>
      </c>
      <c r="AS65" s="293">
        <f>IF(ISERR(VLOOKUP(VALUE(AS$44),'SE Data'!$A$4:$AD$57,15,0)="TRUE"),0,VLOOKUP(VALUE(AS$44),'SE Data'!$A$4:$AD$57,15,0))</f>
        <v>0</v>
      </c>
      <c r="AT65" s="293">
        <f>IF(ISERR(VLOOKUP(VALUE(AT$44),'SE Data'!$A$4:$AD$57,15,0)="TRUE"),0,VLOOKUP(VALUE(AT$44),'SE Data'!$A$4:$AD$57,15,0))</f>
        <v>0</v>
      </c>
      <c r="AU65" s="293">
        <f>IF(ISERR(VLOOKUP(VALUE(AU$44),'SE Data'!$A$4:$AD$57,15,0)="TRUE"),0,VLOOKUP(VALUE(AU$44),'SE Data'!$A$4:$AD$57,15,0))</f>
        <v>0</v>
      </c>
      <c r="AV65" s="293">
        <f>IF(ISERR(VLOOKUP(VALUE(AV$44),'SE Data'!$A$4:$AD$57,15,0)="TRUE"),0,VLOOKUP(VALUE(AV$44),'SE Data'!$A$4:$AD$57,15,0))</f>
        <v>0</v>
      </c>
      <c r="AW65" s="293">
        <f>IF(ISERR(VLOOKUP(VALUE(AW$44),'SE Data'!$A$4:$AD$57,15,0)="TRUE"),0,VLOOKUP(VALUE(AW$44),'SE Data'!$A$4:$AD$57,15,0))</f>
        <v>0</v>
      </c>
      <c r="AX65" s="293">
        <f>IF(ISERR(VLOOKUP(VALUE(AX$44),'SE Data'!$A$4:$AD$57,15,0)="TRUE"),0,VLOOKUP(VALUE(AX$44),'SE Data'!$A$4:$AD$57,15,0))</f>
        <v>0</v>
      </c>
      <c r="AY65" s="293">
        <f>IF(ISERR(VLOOKUP(VALUE(AY$44),'SE Data'!$A$4:$AD$57,15,0)="TRUE"),0,VLOOKUP(VALUE(AY$44),'SE Data'!$A$4:$AD$57,15,0))</f>
        <v>361.11</v>
      </c>
      <c r="AZ65" s="293">
        <f>IF(ISERR(VLOOKUP(VALUE(AZ$44),'SE Data'!$A$4:$AD$57,15,0)="TRUE"),0,VLOOKUP(VALUE(AZ$44),'SE Data'!$A$4:$AD$57,15,0))</f>
        <v>0</v>
      </c>
      <c r="BA65" s="293">
        <f>IF(ISERR(VLOOKUP(VALUE(BA$44),'SE Data'!$A$4:$AD$57,15,0)="TRUE"),0,VLOOKUP(VALUE(BA$44),'SE Data'!$A$4:$AD$57,15,0))</f>
        <v>0</v>
      </c>
      <c r="BB65" s="293">
        <f>IF(ISERR(VLOOKUP(VALUE(BB$44),'SE Data'!$A$4:$AD$57,15,0)="TRUE"),0,VLOOKUP(VALUE(BB$44),'SE Data'!$A$4:$AD$57,15,0))</f>
        <v>0</v>
      </c>
      <c r="BC65" s="293">
        <f>IF(ISERR(VLOOKUP(VALUE(BC$44),'SE Data'!$A$4:$AD$57,15,0)="TRUE"),0,VLOOKUP(VALUE(BC$44),'SE Data'!$A$4:$AD$57,15,0))</f>
        <v>0</v>
      </c>
      <c r="BD65" s="293">
        <f>IF(ISERR(VLOOKUP(VALUE(BD$44),'SE Data'!$A$4:$AD$57,15,0)="TRUE"),0,VLOOKUP(VALUE(BD$44),'SE Data'!$A$4:$AD$57,15,0))</f>
        <v>0</v>
      </c>
      <c r="BE65" s="293">
        <f>IF(ISERR(VLOOKUP(VALUE(BE$44),'SE Data'!$A$4:$AD$57,15,0)="TRUE"),0,VLOOKUP(VALUE(BE$44),'SE Data'!$A$4:$AD$57,15,0))</f>
        <v>408804.30999999994</v>
      </c>
      <c r="BF65" s="293">
        <f>IF(ISERR(VLOOKUP(VALUE(BF$44),'SE Data'!$A$4:$AD$57,15,0)="TRUE"),0,VLOOKUP(VALUE(BF$44),'SE Data'!$A$4:$AD$57,15,0))</f>
        <v>368.27</v>
      </c>
      <c r="BG65" s="293">
        <f>IF(ISERR(VLOOKUP(VALUE(BG$44),'SE Data'!$A$4:$AD$57,15,0)="TRUE"),0,VLOOKUP(VALUE(BG$44),'SE Data'!$A$4:$AD$57,15,0))</f>
        <v>33153.119999999995</v>
      </c>
      <c r="BH65" s="293">
        <f>IF(ISERR(VLOOKUP(VALUE(BH$44),'SE Data'!$A$4:$AD$57,15,0)="TRUE"),0,VLOOKUP(VALUE(BH$44),'SE Data'!$A$4:$AD$57,15,0))</f>
        <v>0</v>
      </c>
      <c r="BI65" s="293">
        <f>IF(ISERR(VLOOKUP(VALUE(BI$44),'SE Data'!$A$4:$AD$57,15,0)="TRUE"),0,VLOOKUP(VALUE(BI$44),'SE Data'!$A$4:$AD$57,15,0))</f>
        <v>0</v>
      </c>
      <c r="BJ65" s="293">
        <f>IF(ISERR(VLOOKUP(VALUE(BJ$44),'SE Data'!$A$4:$AD$57,15,0)="TRUE"),0,VLOOKUP(VALUE(BJ$44),'SE Data'!$A$4:$AD$57,15,0))</f>
        <v>0</v>
      </c>
      <c r="BK65" s="293">
        <f>IF(ISERR(VLOOKUP(VALUE(BK$44),'SE Data'!$A$4:$AD$57,15,0)="TRUE"),0,VLOOKUP(VALUE(BK$44),'SE Data'!$A$4:$AD$57,15,0))</f>
        <v>0</v>
      </c>
      <c r="BL65" s="293">
        <f>IF(ISERR(VLOOKUP(VALUE(BL$44),'SE Data'!$A$4:$AD$57,15,0)="TRUE"),0,VLOOKUP(VALUE(BL$44),'SE Data'!$A$4:$AD$57,15,0))</f>
        <v>0</v>
      </c>
      <c r="BM65" s="293">
        <f>IF(ISERR(VLOOKUP(VALUE(BM$44),'SE Data'!$A$4:$AD$57,15,0)="TRUE"),0,VLOOKUP(VALUE(BM$44),'SE Data'!$A$4:$AD$57,15,0))</f>
        <v>0</v>
      </c>
      <c r="BN65" s="293">
        <f>IF(ISERR(VLOOKUP(VALUE(BN$44),'SE Data'!$A$4:$AD$57,15,0)="TRUE"),0,VLOOKUP(VALUE(BN$44),'SE Data'!$A$4:$AD$57,15,0))</f>
        <v>441.81</v>
      </c>
      <c r="BO65" s="293">
        <f>IF(ISERR(VLOOKUP(VALUE(BO$44),'SE Data'!$A$4:$AD$57,15,0)="TRUE"),0,VLOOKUP(VALUE(BO$44),'SE Data'!$A$4:$AD$57,15,0))</f>
        <v>0</v>
      </c>
      <c r="BP65" s="293">
        <f>IF(ISERR(VLOOKUP(VALUE(BP$44),'SE Data'!$A$4:$AD$57,15,0)="TRUE"),0,VLOOKUP(VALUE(BP$44),'SE Data'!$A$4:$AD$57,15,0))</f>
        <v>0</v>
      </c>
      <c r="BQ65" s="293">
        <f>IF(ISERR(VLOOKUP(VALUE(BQ$44),'SE Data'!$A$4:$AD$57,15,0)="TRUE"),0,VLOOKUP(VALUE(BQ$44),'SE Data'!$A$4:$AD$57,15,0))</f>
        <v>0</v>
      </c>
      <c r="BR65" s="293">
        <f>IF(ISERR(VLOOKUP(VALUE(BR$44),'SE Data'!$A$4:$AD$57,15,0)="TRUE"),0,VLOOKUP(VALUE(BR$44),'SE Data'!$A$4:$AD$57,15,0))</f>
        <v>0</v>
      </c>
      <c r="BS65" s="293">
        <f>IF(ISERR(VLOOKUP(VALUE(BS$44),'SE Data'!$A$4:$AD$57,15,0)="TRUE"),0,VLOOKUP(VALUE(BS$44),'SE Data'!$A$4:$AD$57,15,0))</f>
        <v>0</v>
      </c>
      <c r="BT65" s="293">
        <f>IF(ISERR(VLOOKUP(VALUE(BT$44),'SE Data'!$A$4:$AD$57,15,0)="TRUE"),0,VLOOKUP(VALUE(BT$44),'SE Data'!$A$4:$AD$57,15,0))</f>
        <v>0</v>
      </c>
      <c r="BU65" s="293">
        <f>IF(ISERR(VLOOKUP(VALUE(BU$44),'SE Data'!$A$4:$AD$57,15,0)="TRUE"),0,VLOOKUP(VALUE(BU$44),'SE Data'!$A$4:$AD$57,15,0))</f>
        <v>0</v>
      </c>
      <c r="BV65" s="293">
        <f>IF(ISERR(VLOOKUP(VALUE(BV$44),'SE Data'!$A$4:$AD$57,15,0)="TRUE"),0,VLOOKUP(VALUE(BV$44),'SE Data'!$A$4:$AD$57,15,0))</f>
        <v>0</v>
      </c>
      <c r="BW65" s="293">
        <f>IF(ISERR(VLOOKUP(VALUE(BW$44),'SE Data'!$A$4:$AD$57,15,0)="TRUE"),0,VLOOKUP(VALUE(BW$44),'SE Data'!$A$4:$AD$57,15,0))</f>
        <v>0</v>
      </c>
      <c r="BX65" s="293">
        <f>IF(ISERR(VLOOKUP(VALUE(BX$44),'SE Data'!$A$4:$AD$57,15,0)="TRUE"),0,VLOOKUP(VALUE(BX$44),'SE Data'!$A$4:$AD$57,15,0))</f>
        <v>0</v>
      </c>
      <c r="BY65" s="293">
        <f>IF(ISERR(VLOOKUP(VALUE(BY$44),'SE Data'!$A$4:$AD$57,15,0)="TRUE"),0,VLOOKUP(VALUE(BY$44),'SE Data'!$A$4:$AD$57,15,0))</f>
        <v>707.34999999999991</v>
      </c>
      <c r="BZ65" s="293">
        <f>IF(ISERR(VLOOKUP(VALUE(BZ$44),'SE Data'!$A$4:$AD$57,15,0)="TRUE"),0,VLOOKUP(VALUE(BZ$44),'SE Data'!$A$4:$AD$57,15,0))</f>
        <v>0</v>
      </c>
      <c r="CA65" s="293">
        <f>IF(ISERR(VLOOKUP(VALUE(CA$44),'SE Data'!$A$4:$AD$57,15,0)="TRUE"),0,VLOOKUP(VALUE(CA$44),'SE Data'!$A$4:$AD$57,15,0))</f>
        <v>0</v>
      </c>
      <c r="CB65" s="293">
        <f>IF(ISERR(VLOOKUP(VALUE(CB$44),'SE Data'!$A$4:$AD$57,15,0)="TRUE"),0,VLOOKUP(VALUE(CB$44),'SE Data'!$A$4:$AD$57,15,0))</f>
        <v>0</v>
      </c>
      <c r="CC65" s="293">
        <f>IF(ISERR(VLOOKUP(VALUE(CC$44),'SE Data'!$A$4:$AD$57,15,0)="TRUE"),0,VLOOKUP(VALUE(CC$44),'SE Data'!$A$4:$AD$57,15,0))</f>
        <v>0</v>
      </c>
      <c r="CD65" s="249" t="s">
        <v>221</v>
      </c>
      <c r="CE65" s="195">
        <f t="shared" si="0"/>
        <v>556384.34</v>
      </c>
      <c r="CF65" s="252"/>
    </row>
    <row r="66" spans="1:84" ht="12.6" customHeight="1" x14ac:dyDescent="0.25">
      <c r="A66" s="171" t="s">
        <v>239</v>
      </c>
      <c r="B66" s="175"/>
      <c r="C66" s="293">
        <f>IF(ISERR(VLOOKUP(VALUE(C$44),'SE Data'!$A$4:$AD$57,13,0)="TRUE"),0,VLOOKUP(VALUE(C$44),'SE Data'!$A$4:$AD$57,13,0))</f>
        <v>0</v>
      </c>
      <c r="D66" s="293">
        <f>IF(ISERR(VLOOKUP(VALUE(D$44),'SE Data'!$A$4:$AD$57,13,0)="TRUE"),0,VLOOKUP(VALUE(D$44),'SE Data'!$A$4:$AD$57,13,0))</f>
        <v>0</v>
      </c>
      <c r="E66" s="293">
        <f>IF(ISERR(VLOOKUP(VALUE(E$44),'SE Data'!$A$4:$AD$57,13,0)="TRUE"),0,VLOOKUP(VALUE(E$44),'SE Data'!$A$4:$AD$57,13,0))</f>
        <v>149867.68025</v>
      </c>
      <c r="F66" s="293">
        <f>IF(ISERR(VLOOKUP(VALUE(F$44),'SE Data'!$A$4:$AD$57,13,0)="TRUE"),0,VLOOKUP(VALUE(F$44),'SE Data'!$A$4:$AD$57,13,0))</f>
        <v>0</v>
      </c>
      <c r="G66" s="293">
        <f>IF(ISERR(VLOOKUP(VALUE(G$44),'SE Data'!$A$4:$AD$57,13,0)="TRUE"),0,VLOOKUP(VALUE(G$44),'SE Data'!$A$4:$AD$57,13,0))</f>
        <v>11978.464750000001</v>
      </c>
      <c r="H66" s="293">
        <f>IF(ISERR(VLOOKUP(VALUE(H$44),'SE Data'!$A$4:$AD$57,13,0)="TRUE"),0,VLOOKUP(VALUE(H$44),'SE Data'!$A$4:$AD$57,13,0))</f>
        <v>0</v>
      </c>
      <c r="I66" s="293">
        <f>IF(ISERR(VLOOKUP(VALUE(I$44),'SE Data'!$A$4:$AD$57,13,0)="TRUE"),0,VLOOKUP(VALUE(I$44),'SE Data'!$A$4:$AD$57,13,0))</f>
        <v>0</v>
      </c>
      <c r="J66" s="293">
        <f>IF(ISERR(VLOOKUP(VALUE(J$44),'SE Data'!$A$4:$AD$57,13,0)="TRUE"),0,VLOOKUP(VALUE(J$44),'SE Data'!$A$4:$AD$57,13,0))</f>
        <v>0</v>
      </c>
      <c r="K66" s="293">
        <f>IF(ISERR(VLOOKUP(VALUE(K$44),'SE Data'!$A$4:$AD$57,13,0)="TRUE"),0,VLOOKUP(VALUE(K$44),'SE Data'!$A$4:$AD$57,13,0))</f>
        <v>0</v>
      </c>
      <c r="L66" s="293">
        <f>IF(ISERR(VLOOKUP(VALUE(L$44),'SE Data'!$A$4:$AD$57,13,0)="TRUE"),0,VLOOKUP(VALUE(L$44),'SE Data'!$A$4:$AD$57,13,0))</f>
        <v>0</v>
      </c>
      <c r="M66" s="293">
        <f>IF(ISERR(VLOOKUP(VALUE(M$44),'SE Data'!$A$4:$AD$57,13,0)="TRUE"),0,VLOOKUP(VALUE(M$44),'SE Data'!$A$4:$AD$57,13,0))</f>
        <v>0</v>
      </c>
      <c r="N66" s="293">
        <f>IF(ISERR(VLOOKUP(VALUE(N$44),'SE Data'!$A$4:$AD$57,13,0)="TRUE"),0,VLOOKUP(VALUE(N$44),'SE Data'!$A$4:$AD$57,13,0))</f>
        <v>0</v>
      </c>
      <c r="O66" s="293">
        <f>IF(ISERR(VLOOKUP(VALUE(O$44),'SE Data'!$A$4:$AD$57,13,0)="TRUE"),0,VLOOKUP(VALUE(O$44),'SE Data'!$A$4:$AD$57,13,0))</f>
        <v>64099.780000000006</v>
      </c>
      <c r="P66" s="293">
        <f>IF(ISERR(VLOOKUP(VALUE(P$44),'SE Data'!$A$4:$AD$57,13,0)="TRUE"),0,VLOOKUP(VALUE(P$44),'SE Data'!$A$4:$AD$57,13,0))</f>
        <v>377754.8015</v>
      </c>
      <c r="Q66" s="293">
        <f>IF(ISERR(VLOOKUP(VALUE(Q$44),'SE Data'!$A$4:$AD$57,13,0)="TRUE"),0,VLOOKUP(VALUE(Q$44),'SE Data'!$A$4:$AD$57,13,0))</f>
        <v>10167.469999999998</v>
      </c>
      <c r="R66" s="293">
        <f>IF(ISERR(VLOOKUP(VALUE(R$44),'SE Data'!$A$4:$AD$57,13,0)="TRUE"),0,VLOOKUP(VALUE(R$44),'SE Data'!$A$4:$AD$57,13,0))</f>
        <v>18997.919999999998</v>
      </c>
      <c r="S66" s="293">
        <f>IF(ISERR(VLOOKUP(VALUE(S$44),'SE Data'!$A$4:$AD$57,13,0)="TRUE"),0,VLOOKUP(VALUE(S$44),'SE Data'!$A$4:$AD$57,13,0))</f>
        <v>49455.885445250002</v>
      </c>
      <c r="T66" s="293">
        <f>IF(ISERR(VLOOKUP(VALUE(T$44),'SE Data'!$A$4:$AD$57,13,0)="TRUE"),0,VLOOKUP(VALUE(T$44),'SE Data'!$A$4:$AD$57,13,0))</f>
        <v>21561.998500000002</v>
      </c>
      <c r="U66" s="293">
        <f>IF(ISERR(VLOOKUP(VALUE(U$44),'SE Data'!$A$4:$AD$57,13,0)="TRUE"),0,VLOOKUP(VALUE(U$44),'SE Data'!$A$4:$AD$57,13,0))</f>
        <v>295653.44999999995</v>
      </c>
      <c r="V66" s="293">
        <f>IF(ISERR(VLOOKUP(VALUE(V$44),'SE Data'!$A$4:$AD$57,13,0)="TRUE"),0,VLOOKUP(VALUE(V$44),'SE Data'!$A$4:$AD$57,13,0))</f>
        <v>0</v>
      </c>
      <c r="W66" s="293">
        <f>IF(ISERR(VLOOKUP(VALUE(W$44),'SE Data'!$A$4:$AD$57,13,0)="TRUE"),0,VLOOKUP(VALUE(W$44),'SE Data'!$A$4:$AD$57,13,0))</f>
        <v>134669.01</v>
      </c>
      <c r="X66" s="293">
        <f>IF(ISERR(VLOOKUP(VALUE(X$44),'SE Data'!$A$4:$AD$57,13,0)="TRUE"),0,VLOOKUP(VALUE(X$44),'SE Data'!$A$4:$AD$57,13,0))</f>
        <v>101234.34999999999</v>
      </c>
      <c r="Y66" s="293">
        <f>IF(ISERR(VLOOKUP(VALUE(Y$44),'SE Data'!$A$4:$AD$57,13,0)="TRUE"),0,VLOOKUP(VALUE(Y$44),'SE Data'!$A$4:$AD$57,13,0))</f>
        <v>158235</v>
      </c>
      <c r="Z66" s="293">
        <f>IF(ISERR(VLOOKUP(VALUE(Z$44),'SE Data'!$A$4:$AD$57,13,0)="TRUE"),0,VLOOKUP(VALUE(Z$44),'SE Data'!$A$4:$AD$57,13,0))</f>
        <v>0</v>
      </c>
      <c r="AA66" s="293">
        <f>IF(ISERR(VLOOKUP(VALUE(AA$44),'SE Data'!$A$4:$AD$57,13,0)="TRUE"),0,VLOOKUP(VALUE(AA$44),'SE Data'!$A$4:$AD$57,13,0))</f>
        <v>21442.89</v>
      </c>
      <c r="AB66" s="293">
        <f>IF(ISERR(VLOOKUP(VALUE(AB$44),'SE Data'!$A$4:$AD$57,13,0)="TRUE"),0,VLOOKUP(VALUE(AB$44),'SE Data'!$A$4:$AD$57,13,0))</f>
        <v>91188.98</v>
      </c>
      <c r="AC66" s="293">
        <f>IF(ISERR(VLOOKUP(VALUE(AC$44),'SE Data'!$A$4:$AD$57,13,0)="TRUE"),0,VLOOKUP(VALUE(AC$44),'SE Data'!$A$4:$AD$57,13,0))</f>
        <v>458.7</v>
      </c>
      <c r="AD66" s="293">
        <f>IF(ISERR(VLOOKUP(VALUE(AD$44),'SE Data'!$A$4:$AD$57,13,0)="TRUE"),0,VLOOKUP(VALUE(AD$44),'SE Data'!$A$4:$AD$57,13,0))</f>
        <v>0</v>
      </c>
      <c r="AE66" s="293">
        <f>IF(ISERR(VLOOKUP(VALUE(AE$44),'SE Data'!$A$4:$AD$57,13,0)="TRUE"),0,VLOOKUP(VALUE(AE$44),'SE Data'!$A$4:$AD$57,13,0))</f>
        <v>129464.20999999998</v>
      </c>
      <c r="AF66" s="293">
        <f>IF(ISERR(VLOOKUP(VALUE(AF$44),'SE Data'!$A$4:$AD$57,13,0)="TRUE"),0,VLOOKUP(VALUE(AF$44),'SE Data'!$A$4:$AD$57,13,0))</f>
        <v>0</v>
      </c>
      <c r="AG66" s="293">
        <f>IF(ISERR(VLOOKUP(VALUE(AG$44),'SE Data'!$A$4:$AD$57,13,0)="TRUE"),0,VLOOKUP(VALUE(AG$44),'SE Data'!$A$4:$AD$57,13,0))</f>
        <v>138003.81160000002</v>
      </c>
      <c r="AH66" s="293">
        <f>IF(ISERR(VLOOKUP(VALUE(AH$44),'SE Data'!$A$4:$AD$57,13,0)="TRUE"),0,VLOOKUP(VALUE(AH$44),'SE Data'!$A$4:$AD$57,13,0))</f>
        <v>0</v>
      </c>
      <c r="AI66" s="293">
        <f>IF(ISERR(VLOOKUP(VALUE(AI$44),'SE Data'!$A$4:$AD$57,13,0)="TRUE"),0,VLOOKUP(VALUE(AI$44),'SE Data'!$A$4:$AD$57,13,0))</f>
        <v>0</v>
      </c>
      <c r="AJ66" s="293">
        <f>IF(ISERR(VLOOKUP(VALUE(AJ$44),'SE Data'!$A$4:$AD$57,13,0)="TRUE"),0,VLOOKUP(VALUE(AJ$44),'SE Data'!$A$4:$AD$57,13,0))</f>
        <v>908390.35</v>
      </c>
      <c r="AK66" s="293">
        <f>IF(ISERR(VLOOKUP(VALUE(AK$44),'SE Data'!$A$4:$AD$57,13,0)="TRUE"),0,VLOOKUP(VALUE(AK$44),'SE Data'!$A$4:$AD$57,13,0))</f>
        <v>66540.460000000006</v>
      </c>
      <c r="AL66" s="293">
        <f>IF(ISERR(VLOOKUP(VALUE(AL$44),'SE Data'!$A$4:$AD$57,13,0)="TRUE"),0,VLOOKUP(VALUE(AL$44),'SE Data'!$A$4:$AD$57,13,0))</f>
        <v>21219.3</v>
      </c>
      <c r="AM66" s="293">
        <f>IF(ISERR(VLOOKUP(VALUE(AM$44),'SE Data'!$A$4:$AD$57,13,0)="TRUE"),0,VLOOKUP(VALUE(AM$44),'SE Data'!$A$4:$AD$57,13,0))</f>
        <v>0</v>
      </c>
      <c r="AN66" s="293">
        <f>IF(ISERR(VLOOKUP(VALUE(AN$44),'SE Data'!$A$4:$AD$57,13,0)="TRUE"),0,VLOOKUP(VALUE(AN$44),'SE Data'!$A$4:$AD$57,13,0))</f>
        <v>0</v>
      </c>
      <c r="AO66" s="293">
        <f>IF(ISERR(VLOOKUP(VALUE(AO$44),'SE Data'!$A$4:$AD$57,13,0)="TRUE"),0,VLOOKUP(VALUE(AO$44),'SE Data'!$A$4:$AD$57,13,0))</f>
        <v>0</v>
      </c>
      <c r="AP66" s="293">
        <f>IF(ISERR(VLOOKUP(VALUE(AP$44),'SE Data'!$A$4:$AD$57,13,0)="TRUE"),0,VLOOKUP(VALUE(AP$44),'SE Data'!$A$4:$AD$57,13,0))</f>
        <v>0</v>
      </c>
      <c r="AQ66" s="293">
        <f>IF(ISERR(VLOOKUP(VALUE(AQ$44),'SE Data'!$A$4:$AD$57,13,0)="TRUE"),0,VLOOKUP(VALUE(AQ$44),'SE Data'!$A$4:$AD$57,13,0))</f>
        <v>0</v>
      </c>
      <c r="AR66" s="293">
        <f>IF(ISERR(VLOOKUP(VALUE(AR$44),'SE Data'!$A$4:$AD$57,13,0)="TRUE"),0,VLOOKUP(VALUE(AR$44),'SE Data'!$A$4:$AD$57,13,0))</f>
        <v>0</v>
      </c>
      <c r="AS66" s="293">
        <f>IF(ISERR(VLOOKUP(VALUE(AS$44),'SE Data'!$A$4:$AD$57,13,0)="TRUE"),0,VLOOKUP(VALUE(AS$44),'SE Data'!$A$4:$AD$57,13,0))</f>
        <v>0</v>
      </c>
      <c r="AT66" s="293">
        <f>IF(ISERR(VLOOKUP(VALUE(AT$44),'SE Data'!$A$4:$AD$57,13,0)="TRUE"),0,VLOOKUP(VALUE(AT$44),'SE Data'!$A$4:$AD$57,13,0))</f>
        <v>0</v>
      </c>
      <c r="AU66" s="293">
        <f>IF(ISERR(VLOOKUP(VALUE(AU$44),'SE Data'!$A$4:$AD$57,13,0)="TRUE"),0,VLOOKUP(VALUE(AU$44),'SE Data'!$A$4:$AD$57,13,0))</f>
        <v>0</v>
      </c>
      <c r="AV66" s="293">
        <f>IF(ISERR(VLOOKUP(VALUE(AV$44),'SE Data'!$A$4:$AD$57,13,0)="TRUE"),0,VLOOKUP(VALUE(AV$44),'SE Data'!$A$4:$AD$57,13,0))</f>
        <v>230421.08142</v>
      </c>
      <c r="AW66" s="293">
        <f>IF(ISERR(VLOOKUP(VALUE(AW$44),'SE Data'!$A$4:$AD$57,13,0)="TRUE"),0,VLOOKUP(VALUE(AW$44),'SE Data'!$A$4:$AD$57,13,0))</f>
        <v>0</v>
      </c>
      <c r="AX66" s="293">
        <f>IF(ISERR(VLOOKUP(VALUE(AX$44),'SE Data'!$A$4:$AD$57,13,0)="TRUE"),0,VLOOKUP(VALUE(AX$44),'SE Data'!$A$4:$AD$57,13,0))</f>
        <v>19488.455999999998</v>
      </c>
      <c r="AY66" s="293">
        <f>IF(ISERR(VLOOKUP(VALUE(AY$44),'SE Data'!$A$4:$AD$57,13,0)="TRUE"),0,VLOOKUP(VALUE(AY$44),'SE Data'!$A$4:$AD$57,13,0))</f>
        <v>314824.19</v>
      </c>
      <c r="AZ66" s="293">
        <f>IF(ISERR(VLOOKUP(VALUE(AZ$44),'SE Data'!$A$4:$AD$57,13,0)="TRUE"),0,VLOOKUP(VALUE(AZ$44),'SE Data'!$A$4:$AD$57,13,0))</f>
        <v>0</v>
      </c>
      <c r="BA66" s="293">
        <f>IF(ISERR(VLOOKUP(VALUE(BA$44),'SE Data'!$A$4:$AD$57,13,0)="TRUE"),0,VLOOKUP(VALUE(BA$44),'SE Data'!$A$4:$AD$57,13,0))</f>
        <v>0</v>
      </c>
      <c r="BB66" s="293">
        <f>IF(ISERR(VLOOKUP(VALUE(BB$44),'SE Data'!$A$4:$AD$57,13,0)="TRUE"),0,VLOOKUP(VALUE(BB$44),'SE Data'!$A$4:$AD$57,13,0))</f>
        <v>0</v>
      </c>
      <c r="BC66" s="293">
        <f>IF(ISERR(VLOOKUP(VALUE(BC$44),'SE Data'!$A$4:$AD$57,13,0)="TRUE"),0,VLOOKUP(VALUE(BC$44),'SE Data'!$A$4:$AD$57,13,0))</f>
        <v>0</v>
      </c>
      <c r="BD66" s="293">
        <f>IF(ISERR(VLOOKUP(VALUE(BD$44),'SE Data'!$A$4:$AD$57,13,0)="TRUE"),0,VLOOKUP(VALUE(BD$44),'SE Data'!$A$4:$AD$57,13,0))</f>
        <v>0</v>
      </c>
      <c r="BE66" s="293">
        <f>IF(ISERR(VLOOKUP(VALUE(BE$44),'SE Data'!$A$4:$AD$57,13,0)="TRUE"),0,VLOOKUP(VALUE(BE$44),'SE Data'!$A$4:$AD$57,13,0))</f>
        <v>1715730.0719999997</v>
      </c>
      <c r="BF66" s="293">
        <f>IF(ISERR(VLOOKUP(VALUE(BF$44),'SE Data'!$A$4:$AD$57,13,0)="TRUE"),0,VLOOKUP(VALUE(BF$44),'SE Data'!$A$4:$AD$57,13,0))</f>
        <v>94333.430000000022</v>
      </c>
      <c r="BG66" s="293">
        <f>IF(ISERR(VLOOKUP(VALUE(BG$44),'SE Data'!$A$4:$AD$57,13,0)="TRUE"),0,VLOOKUP(VALUE(BG$44),'SE Data'!$A$4:$AD$57,13,0))</f>
        <v>83895.798250000007</v>
      </c>
      <c r="BH66" s="293">
        <f>IF(ISERR(VLOOKUP(VALUE(BH$44),'SE Data'!$A$4:$AD$57,13,0)="TRUE"),0,VLOOKUP(VALUE(BH$44),'SE Data'!$A$4:$AD$57,13,0))</f>
        <v>614012.13500000001</v>
      </c>
      <c r="BI66" s="293">
        <f>IF(ISERR(VLOOKUP(VALUE(BI$44),'SE Data'!$A$4:$AD$57,13,0)="TRUE"),0,VLOOKUP(VALUE(BI$44),'SE Data'!$A$4:$AD$57,13,0))</f>
        <v>0</v>
      </c>
      <c r="BJ66" s="293">
        <f>IF(ISERR(VLOOKUP(VALUE(BJ$44),'SE Data'!$A$4:$AD$57,13,0)="TRUE"),0,VLOOKUP(VALUE(BJ$44),'SE Data'!$A$4:$AD$57,13,0))</f>
        <v>87264.259249999988</v>
      </c>
      <c r="BK66" s="293">
        <f>IF(ISERR(VLOOKUP(VALUE(BK$44),'SE Data'!$A$4:$AD$57,13,0)="TRUE"),0,VLOOKUP(VALUE(BK$44),'SE Data'!$A$4:$AD$57,13,0))</f>
        <v>557814.17985347495</v>
      </c>
      <c r="BL66" s="293">
        <f>IF(ISERR(VLOOKUP(VALUE(BL$44),'SE Data'!$A$4:$AD$57,13,0)="TRUE"),0,VLOOKUP(VALUE(BL$44),'SE Data'!$A$4:$AD$57,13,0))</f>
        <v>1505435.66738</v>
      </c>
      <c r="BM66" s="293">
        <f>IF(ISERR(VLOOKUP(VALUE(BM$44),'SE Data'!$A$4:$AD$57,13,0)="TRUE"),0,VLOOKUP(VALUE(BM$44),'SE Data'!$A$4:$AD$57,13,0))</f>
        <v>0</v>
      </c>
      <c r="BN66" s="293">
        <f>IF(ISERR(VLOOKUP(VALUE(BN$44),'SE Data'!$A$4:$AD$57,13,0)="TRUE"),0,VLOOKUP(VALUE(BN$44),'SE Data'!$A$4:$AD$57,13,0))</f>
        <v>635143.1647136251</v>
      </c>
      <c r="BO66" s="293">
        <f>IF(ISERR(VLOOKUP(VALUE(BO$44),'SE Data'!$A$4:$AD$57,13,0)="TRUE"),0,VLOOKUP(VALUE(BO$44),'SE Data'!$A$4:$AD$57,13,0))</f>
        <v>63607.626500000006</v>
      </c>
      <c r="BP66" s="293">
        <f>IF(ISERR(VLOOKUP(VALUE(BP$44),'SE Data'!$A$4:$AD$57,13,0)="TRUE"),0,VLOOKUP(VALUE(BP$44),'SE Data'!$A$4:$AD$57,13,0))</f>
        <v>335208.30449999997</v>
      </c>
      <c r="BQ66" s="293">
        <f>IF(ISERR(VLOOKUP(VALUE(BQ$44),'SE Data'!$A$4:$AD$57,13,0)="TRUE"),0,VLOOKUP(VALUE(BQ$44),'SE Data'!$A$4:$AD$57,13,0))</f>
        <v>0</v>
      </c>
      <c r="BR66" s="293">
        <f>IF(ISERR(VLOOKUP(VALUE(BR$44),'SE Data'!$A$4:$AD$57,13,0)="TRUE"),0,VLOOKUP(VALUE(BR$44),'SE Data'!$A$4:$AD$57,13,0))</f>
        <v>214014.21275000001</v>
      </c>
      <c r="BS66" s="293">
        <f>IF(ISERR(VLOOKUP(VALUE(BS$44),'SE Data'!$A$4:$AD$57,13,0)="TRUE"),0,VLOOKUP(VALUE(BS$44),'SE Data'!$A$4:$AD$57,13,0))</f>
        <v>17575.629749999996</v>
      </c>
      <c r="BT66" s="293">
        <f>IF(ISERR(VLOOKUP(VALUE(BT$44),'SE Data'!$A$4:$AD$57,13,0)="TRUE"),0,VLOOKUP(VALUE(BT$44),'SE Data'!$A$4:$AD$57,13,0))</f>
        <v>30091.622249999997</v>
      </c>
      <c r="BU66" s="293">
        <f>IF(ISERR(VLOOKUP(VALUE(BU$44),'SE Data'!$A$4:$AD$57,13,0)="TRUE"),0,VLOOKUP(VALUE(BU$44),'SE Data'!$A$4:$AD$57,13,0))</f>
        <v>10482.752750000003</v>
      </c>
      <c r="BV66" s="293">
        <f>IF(ISERR(VLOOKUP(VALUE(BV$44),'SE Data'!$A$4:$AD$57,13,0)="TRUE"),0,VLOOKUP(VALUE(BV$44),'SE Data'!$A$4:$AD$57,13,0))</f>
        <v>767035.98836307495</v>
      </c>
      <c r="BW66" s="293">
        <f>IF(ISERR(VLOOKUP(VALUE(BW$44),'SE Data'!$A$4:$AD$57,13,0)="TRUE"),0,VLOOKUP(VALUE(BW$44),'SE Data'!$A$4:$AD$57,13,0))</f>
        <v>154452.670456375</v>
      </c>
      <c r="BX66" s="293">
        <f>IF(ISERR(VLOOKUP(VALUE(BX$44),'SE Data'!$A$4:$AD$57,13,0)="TRUE"),0,VLOOKUP(VALUE(BX$44),'SE Data'!$A$4:$AD$57,13,0))</f>
        <v>798463.59161359991</v>
      </c>
      <c r="BY66" s="293">
        <f>IF(ISERR(VLOOKUP(VALUE(BY$44),'SE Data'!$A$4:$AD$57,13,0)="TRUE"),0,VLOOKUP(VALUE(BY$44),'SE Data'!$A$4:$AD$57,13,0))</f>
        <v>28829.389150000003</v>
      </c>
      <c r="BZ66" s="293">
        <f>IF(ISERR(VLOOKUP(VALUE(BZ$44),'SE Data'!$A$4:$AD$57,13,0)="TRUE"),0,VLOOKUP(VALUE(BZ$44),'SE Data'!$A$4:$AD$57,13,0))</f>
        <v>0</v>
      </c>
      <c r="CA66" s="293">
        <f>IF(ISERR(VLOOKUP(VALUE(CA$44),'SE Data'!$A$4:$AD$57,13,0)="TRUE"),0,VLOOKUP(VALUE(CA$44),'SE Data'!$A$4:$AD$57,13,0))</f>
        <v>93033.581999999995</v>
      </c>
      <c r="CB66" s="293">
        <f>IF(ISERR(VLOOKUP(VALUE(CB$44),'SE Data'!$A$4:$AD$57,13,0)="TRUE"),0,VLOOKUP(VALUE(CB$44),'SE Data'!$A$4:$AD$57,13,0))</f>
        <v>11254.406750000002</v>
      </c>
      <c r="CC66" s="293">
        <f>IF(ISERR(VLOOKUP(VALUE(CC$44),'SE Data'!$A$4:$AD$57,13,0)="TRUE"),0,VLOOKUP(VALUE(CC$44),'SE Data'!$A$4:$AD$57,13,0))+5251965</f>
        <v>5259419.3632049002</v>
      </c>
      <c r="CD66" s="249" t="s">
        <v>221</v>
      </c>
      <c r="CE66" s="195">
        <f t="shared" si="0"/>
        <v>16412216.085950296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399024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155252</v>
      </c>
      <c r="P67" s="195">
        <f t="shared" si="3"/>
        <v>1254494</v>
      </c>
      <c r="Q67" s="195">
        <f t="shared" si="3"/>
        <v>36674</v>
      </c>
      <c r="R67" s="195">
        <f t="shared" si="3"/>
        <v>5886</v>
      </c>
      <c r="S67" s="195">
        <f t="shared" si="3"/>
        <v>58068</v>
      </c>
      <c r="T67" s="195">
        <f t="shared" si="3"/>
        <v>0</v>
      </c>
      <c r="U67" s="195">
        <f t="shared" si="3"/>
        <v>60320</v>
      </c>
      <c r="V67" s="195">
        <f t="shared" si="3"/>
        <v>0</v>
      </c>
      <c r="W67" s="195">
        <f t="shared" si="3"/>
        <v>178944</v>
      </c>
      <c r="X67" s="195">
        <f t="shared" si="3"/>
        <v>11319</v>
      </c>
      <c r="Y67" s="195">
        <f t="shared" si="3"/>
        <v>396770</v>
      </c>
      <c r="Z67" s="195">
        <f t="shared" si="3"/>
        <v>0</v>
      </c>
      <c r="AA67" s="195">
        <f t="shared" si="3"/>
        <v>10963</v>
      </c>
      <c r="AB67" s="195">
        <f t="shared" si="3"/>
        <v>84117</v>
      </c>
      <c r="AC67" s="195">
        <f t="shared" si="3"/>
        <v>13087</v>
      </c>
      <c r="AD67" s="195">
        <f t="shared" si="3"/>
        <v>0</v>
      </c>
      <c r="AE67" s="195">
        <f t="shared" si="3"/>
        <v>3773</v>
      </c>
      <c r="AF67" s="195">
        <f t="shared" si="3"/>
        <v>0</v>
      </c>
      <c r="AG67" s="195">
        <f t="shared" si="3"/>
        <v>208147</v>
      </c>
      <c r="AH67" s="195">
        <f t="shared" si="3"/>
        <v>0</v>
      </c>
      <c r="AI67" s="195">
        <f t="shared" si="3"/>
        <v>0</v>
      </c>
      <c r="AJ67" s="195">
        <f t="shared" si="3"/>
        <v>669015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122274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92235</v>
      </c>
      <c r="BF67" s="195">
        <f t="shared" si="3"/>
        <v>38558</v>
      </c>
      <c r="BG67" s="195">
        <f t="shared" si="3"/>
        <v>0</v>
      </c>
      <c r="BH67" s="195">
        <f t="shared" si="3"/>
        <v>84114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142</v>
      </c>
      <c r="BM67" s="195">
        <f t="shared" si="3"/>
        <v>0</v>
      </c>
      <c r="BN67" s="195">
        <f t="shared" si="3"/>
        <v>444746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41502</v>
      </c>
      <c r="BW67" s="195">
        <f t="shared" si="4"/>
        <v>0</v>
      </c>
      <c r="BX67" s="195">
        <f t="shared" si="4"/>
        <v>0</v>
      </c>
      <c r="BY67" s="195">
        <f t="shared" si="4"/>
        <v>3459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4372883</v>
      </c>
      <c r="CF67" s="252"/>
    </row>
    <row r="68" spans="1:84" ht="12.6" customHeight="1" x14ac:dyDescent="0.25">
      <c r="A68" s="171" t="s">
        <v>240</v>
      </c>
      <c r="B68" s="175"/>
      <c r="C68" s="293">
        <f>IF(ISERR(VLOOKUP(VALUE(C$44),'SE Data'!$A$4:$AD$57,16,0)="TRUE"),0,VLOOKUP(VALUE(C$44),'SE Data'!$A$4:$AD$57,16,0))</f>
        <v>0</v>
      </c>
      <c r="D68" s="293">
        <f>IF(ISERR(VLOOKUP(VALUE(D$44),'SE Data'!$A$4:$AD$57,16,0)="TRUE"),0,VLOOKUP(VALUE(D$44),'SE Data'!$A$4:$AD$57,16,0))</f>
        <v>0</v>
      </c>
      <c r="E68" s="293">
        <f>IF(ISERR(VLOOKUP(VALUE(E$44),'SE Data'!$A$4:$AD$57,16,0)="TRUE"),0,VLOOKUP(VALUE(E$44),'SE Data'!$A$4:$AD$57,16,0))</f>
        <v>3508.5299999999997</v>
      </c>
      <c r="F68" s="293">
        <f>IF(ISERR(VLOOKUP(VALUE(F$44),'SE Data'!$A$4:$AD$57,16,0)="TRUE"),0,VLOOKUP(VALUE(F$44),'SE Data'!$A$4:$AD$57,16,0))</f>
        <v>0</v>
      </c>
      <c r="G68" s="293">
        <f>IF(ISERR(VLOOKUP(VALUE(G$44),'SE Data'!$A$4:$AD$57,16,0)="TRUE"),0,VLOOKUP(VALUE(G$44),'SE Data'!$A$4:$AD$57,16,0))</f>
        <v>0</v>
      </c>
      <c r="H68" s="293">
        <f>IF(ISERR(VLOOKUP(VALUE(H$44),'SE Data'!$A$4:$AD$57,16,0)="TRUE"),0,VLOOKUP(VALUE(H$44),'SE Data'!$A$4:$AD$57,16,0))</f>
        <v>0</v>
      </c>
      <c r="I68" s="293">
        <f>IF(ISERR(VLOOKUP(VALUE(I$44),'SE Data'!$A$4:$AD$57,16,0)="TRUE"),0,VLOOKUP(VALUE(I$44),'SE Data'!$A$4:$AD$57,16,0))</f>
        <v>0</v>
      </c>
      <c r="J68" s="293">
        <f>IF(ISERR(VLOOKUP(VALUE(J$44),'SE Data'!$A$4:$AD$57,16,0)="TRUE"),0,VLOOKUP(VALUE(J$44),'SE Data'!$A$4:$AD$57,16,0))</f>
        <v>0</v>
      </c>
      <c r="K68" s="293">
        <f>IF(ISERR(VLOOKUP(VALUE(K$44),'SE Data'!$A$4:$AD$57,16,0)="TRUE"),0,VLOOKUP(VALUE(K$44),'SE Data'!$A$4:$AD$57,16,0))</f>
        <v>0</v>
      </c>
      <c r="L68" s="293">
        <f>IF(ISERR(VLOOKUP(VALUE(L$44),'SE Data'!$A$4:$AD$57,16,0)="TRUE"),0,VLOOKUP(VALUE(L$44),'SE Data'!$A$4:$AD$57,16,0))</f>
        <v>0</v>
      </c>
      <c r="M68" s="293">
        <f>IF(ISERR(VLOOKUP(VALUE(M$44),'SE Data'!$A$4:$AD$57,16,0)="TRUE"),0,VLOOKUP(VALUE(M$44),'SE Data'!$A$4:$AD$57,16,0))</f>
        <v>0</v>
      </c>
      <c r="N68" s="293">
        <f>IF(ISERR(VLOOKUP(VALUE(N$44),'SE Data'!$A$4:$AD$57,16,0)="TRUE"),0,VLOOKUP(VALUE(N$44),'SE Data'!$A$4:$AD$57,16,0))</f>
        <v>0</v>
      </c>
      <c r="O68" s="293">
        <f>IF(ISERR(VLOOKUP(VALUE(O$44),'SE Data'!$A$4:$AD$57,16,0)="TRUE"),0,VLOOKUP(VALUE(O$44),'SE Data'!$A$4:$AD$57,16,0))</f>
        <v>1470.44</v>
      </c>
      <c r="P68" s="293">
        <f>IF(ISERR(VLOOKUP(VALUE(P$44),'SE Data'!$A$4:$AD$57,16,0)="TRUE"),0,VLOOKUP(VALUE(P$44),'SE Data'!$A$4:$AD$57,16,0))</f>
        <v>19328.41</v>
      </c>
      <c r="Q68" s="293">
        <f>IF(ISERR(VLOOKUP(VALUE(Q$44),'SE Data'!$A$4:$AD$57,16,0)="TRUE"),0,VLOOKUP(VALUE(Q$44),'SE Data'!$A$4:$AD$57,16,0))</f>
        <v>1733.72</v>
      </c>
      <c r="R68" s="293">
        <f>IF(ISERR(VLOOKUP(VALUE(R$44),'SE Data'!$A$4:$AD$57,16,0)="TRUE"),0,VLOOKUP(VALUE(R$44),'SE Data'!$A$4:$AD$57,16,0))</f>
        <v>-95.78</v>
      </c>
      <c r="S68" s="293">
        <f>IF(ISERR(VLOOKUP(VALUE(S$44),'SE Data'!$A$4:$AD$57,16,0)="TRUE"),0,VLOOKUP(VALUE(S$44),'SE Data'!$A$4:$AD$57,16,0))</f>
        <v>1621.07</v>
      </c>
      <c r="T68" s="293">
        <f>IF(ISERR(VLOOKUP(VALUE(T$44),'SE Data'!$A$4:$AD$57,16,0)="TRUE"),0,VLOOKUP(VALUE(T$44),'SE Data'!$A$4:$AD$57,16,0))</f>
        <v>0</v>
      </c>
      <c r="U68" s="293">
        <f>IF(ISERR(VLOOKUP(VALUE(U$44),'SE Data'!$A$4:$AD$57,16,0)="TRUE"),0,VLOOKUP(VALUE(U$44),'SE Data'!$A$4:$AD$57,16,0))</f>
        <v>69001.740000000005</v>
      </c>
      <c r="V68" s="293">
        <f>IF(ISERR(VLOOKUP(VALUE(V$44),'SE Data'!$A$4:$AD$57,16,0)="TRUE"),0,VLOOKUP(VALUE(V$44),'SE Data'!$A$4:$AD$57,16,0))</f>
        <v>0</v>
      </c>
      <c r="W68" s="293">
        <f>IF(ISERR(VLOOKUP(VALUE(W$44),'SE Data'!$A$4:$AD$57,16,0)="TRUE"),0,VLOOKUP(VALUE(W$44),'SE Data'!$A$4:$AD$57,16,0))</f>
        <v>0</v>
      </c>
      <c r="X68" s="293">
        <f>IF(ISERR(VLOOKUP(VALUE(X$44),'SE Data'!$A$4:$AD$57,16,0)="TRUE"),0,VLOOKUP(VALUE(X$44),'SE Data'!$A$4:$AD$57,16,0))</f>
        <v>0</v>
      </c>
      <c r="Y68" s="293">
        <v>4070.01</v>
      </c>
      <c r="Z68" s="293"/>
      <c r="AA68" s="293">
        <f>IF(ISERR(VLOOKUP(VALUE(AA$44),'SE Data'!$A$4:$AD$57,16,0)="TRUE"),0,VLOOKUP(VALUE(AA$44),'SE Data'!$A$4:$AD$57,16,0))</f>
        <v>0</v>
      </c>
      <c r="AB68" s="293">
        <f>IF(ISERR(VLOOKUP(VALUE(AB$44),'SE Data'!$A$4:$AD$57,16,0)="TRUE"),0,VLOOKUP(VALUE(AB$44),'SE Data'!$A$4:$AD$57,16,0))</f>
        <v>9168.36</v>
      </c>
      <c r="AC68" s="293">
        <f>IF(ISERR(VLOOKUP(VALUE(AC$44),'SE Data'!$A$4:$AD$57,16,0)="TRUE"),0,VLOOKUP(VALUE(AC$44),'SE Data'!$A$4:$AD$57,16,0))</f>
        <v>42.029999999999994</v>
      </c>
      <c r="AD68" s="293">
        <f>IF(ISERR(VLOOKUP(VALUE(AD$44),'SE Data'!$A$4:$AD$57,16,0)="TRUE"),0,VLOOKUP(VALUE(AD$44),'SE Data'!$A$4:$AD$57,16,0))</f>
        <v>0</v>
      </c>
      <c r="AE68" s="293">
        <f>IF(ISERR(VLOOKUP(VALUE(AE$44),'SE Data'!$A$4:$AD$57,16,0)="TRUE"),0,VLOOKUP(VALUE(AE$44),'SE Data'!$A$4:$AD$57,16,0))</f>
        <v>0</v>
      </c>
      <c r="AF68" s="293">
        <f>IF(ISERR(VLOOKUP(VALUE(AF$44),'SE Data'!$A$4:$AD$57,16,0)="TRUE"),0,VLOOKUP(VALUE(AF$44),'SE Data'!$A$4:$AD$57,16,0))</f>
        <v>0</v>
      </c>
      <c r="AG68" s="293">
        <f>IF(ISERR(VLOOKUP(VALUE(AG$44),'SE Data'!$A$4:$AD$57,16,0)="TRUE"),0,VLOOKUP(VALUE(AG$44),'SE Data'!$A$4:$AD$57,16,0))</f>
        <v>1171.17</v>
      </c>
      <c r="AH68" s="293">
        <f>IF(ISERR(VLOOKUP(VALUE(AH$44),'SE Data'!$A$4:$AD$57,16,0)="TRUE"),0,VLOOKUP(VALUE(AH$44),'SE Data'!$A$4:$AD$57,16,0))</f>
        <v>0</v>
      </c>
      <c r="AI68" s="293">
        <f>IF(ISERR(VLOOKUP(VALUE(AI$44),'SE Data'!$A$4:$AD$57,16,0)="TRUE"),0,VLOOKUP(VALUE(AI$44),'SE Data'!$A$4:$AD$57,16,0))</f>
        <v>0</v>
      </c>
      <c r="AJ68" s="293">
        <f>IF(ISERR(VLOOKUP(VALUE(AJ$44),'SE Data'!$A$4:$AD$57,16,0)="TRUE"),0,VLOOKUP(VALUE(AJ$44),'SE Data'!$A$4:$AD$57,16,0))</f>
        <v>1379973.0699999998</v>
      </c>
      <c r="AK68" s="293">
        <f>IF(ISERR(VLOOKUP(VALUE(AK$44),'SE Data'!$A$4:$AD$57,16,0)="TRUE"),0,VLOOKUP(VALUE(AK$44),'SE Data'!$A$4:$AD$57,16,0))</f>
        <v>0</v>
      </c>
      <c r="AL68" s="293">
        <f>IF(ISERR(VLOOKUP(VALUE(AL$44),'SE Data'!$A$4:$AD$57,16,0)="TRUE"),0,VLOOKUP(VALUE(AL$44),'SE Data'!$A$4:$AD$57,16,0))</f>
        <v>0</v>
      </c>
      <c r="AM68" s="293">
        <f>IF(ISERR(VLOOKUP(VALUE(AM$44),'SE Data'!$A$4:$AD$57,16,0)="TRUE"),0,VLOOKUP(VALUE(AM$44),'SE Data'!$A$4:$AD$57,16,0))</f>
        <v>0</v>
      </c>
      <c r="AN68" s="293">
        <f>IF(ISERR(VLOOKUP(VALUE(AN$44),'SE Data'!$A$4:$AD$57,16,0)="TRUE"),0,VLOOKUP(VALUE(AN$44),'SE Data'!$A$4:$AD$57,16,0))</f>
        <v>0</v>
      </c>
      <c r="AO68" s="293">
        <f>IF(ISERR(VLOOKUP(VALUE(AO$44),'SE Data'!$A$4:$AD$57,16,0)="TRUE"),0,VLOOKUP(VALUE(AO$44),'SE Data'!$A$4:$AD$57,16,0))</f>
        <v>0</v>
      </c>
      <c r="AP68" s="293">
        <f>IF(ISERR(VLOOKUP(VALUE(AP$44),'SE Data'!$A$4:$AD$57,16,0)="TRUE"),0,VLOOKUP(VALUE(AP$44),'SE Data'!$A$4:$AD$57,16,0))</f>
        <v>0</v>
      </c>
      <c r="AQ68" s="293">
        <f>IF(ISERR(VLOOKUP(VALUE(AQ$44),'SE Data'!$A$4:$AD$57,16,0)="TRUE"),0,VLOOKUP(VALUE(AQ$44),'SE Data'!$A$4:$AD$57,16,0))</f>
        <v>0</v>
      </c>
      <c r="AR68" s="293">
        <f>IF(ISERR(VLOOKUP(VALUE(AR$44),'SE Data'!$A$4:$AD$57,16,0)="TRUE"),0,VLOOKUP(VALUE(AR$44),'SE Data'!$A$4:$AD$57,16,0))</f>
        <v>0</v>
      </c>
      <c r="AS68" s="293">
        <f>IF(ISERR(VLOOKUP(VALUE(AS$44),'SE Data'!$A$4:$AD$57,16,0)="TRUE"),0,VLOOKUP(VALUE(AS$44),'SE Data'!$A$4:$AD$57,16,0))</f>
        <v>0</v>
      </c>
      <c r="AT68" s="293">
        <f>IF(ISERR(VLOOKUP(VALUE(AT$44),'SE Data'!$A$4:$AD$57,16,0)="TRUE"),0,VLOOKUP(VALUE(AT$44),'SE Data'!$A$4:$AD$57,16,0))</f>
        <v>0</v>
      </c>
      <c r="AU68" s="293">
        <f>IF(ISERR(VLOOKUP(VALUE(AU$44),'SE Data'!$A$4:$AD$57,16,0)="TRUE"),0,VLOOKUP(VALUE(AU$44),'SE Data'!$A$4:$AD$57,16,0))</f>
        <v>0</v>
      </c>
      <c r="AV68" s="293">
        <f>IF(ISERR(VLOOKUP(VALUE(AV$44),'SE Data'!$A$4:$AD$57,16,0)="TRUE"),0,VLOOKUP(VALUE(AV$44),'SE Data'!$A$4:$AD$57,16,0))</f>
        <v>0</v>
      </c>
      <c r="AW68" s="293">
        <f>IF(ISERR(VLOOKUP(VALUE(AW$44),'SE Data'!$A$4:$AD$57,16,0)="TRUE"),0,VLOOKUP(VALUE(AW$44),'SE Data'!$A$4:$AD$57,16,0))</f>
        <v>0</v>
      </c>
      <c r="AX68" s="293">
        <f>IF(ISERR(VLOOKUP(VALUE(AX$44),'SE Data'!$A$4:$AD$57,16,0)="TRUE"),0,VLOOKUP(VALUE(AX$44),'SE Data'!$A$4:$AD$57,16,0))</f>
        <v>0</v>
      </c>
      <c r="AY68" s="293">
        <f>IF(ISERR(VLOOKUP(VALUE(AY$44),'SE Data'!$A$4:$AD$57,16,0)="TRUE"),0,VLOOKUP(VALUE(AY$44),'SE Data'!$A$4:$AD$57,16,0))</f>
        <v>3497.49</v>
      </c>
      <c r="AZ68" s="293">
        <f>IF(ISERR(VLOOKUP(VALUE(AZ$44),'SE Data'!$A$4:$AD$57,16,0)="TRUE"),0,VLOOKUP(VALUE(AZ$44),'SE Data'!$A$4:$AD$57,16,0))</f>
        <v>0</v>
      </c>
      <c r="BA68" s="293">
        <f>IF(ISERR(VLOOKUP(VALUE(BA$44),'SE Data'!$A$4:$AD$57,16,0)="TRUE"),0,VLOOKUP(VALUE(BA$44),'SE Data'!$A$4:$AD$57,16,0))</f>
        <v>0</v>
      </c>
      <c r="BB68" s="293">
        <f>IF(ISERR(VLOOKUP(VALUE(BB$44),'SE Data'!$A$4:$AD$57,16,0)="TRUE"),0,VLOOKUP(VALUE(BB$44),'SE Data'!$A$4:$AD$57,16,0))</f>
        <v>0</v>
      </c>
      <c r="BC68" s="293">
        <f>IF(ISERR(VLOOKUP(VALUE(BC$44),'SE Data'!$A$4:$AD$57,16,0)="TRUE"),0,VLOOKUP(VALUE(BC$44),'SE Data'!$A$4:$AD$57,16,0))</f>
        <v>0</v>
      </c>
      <c r="BD68" s="293">
        <f>IF(ISERR(VLOOKUP(VALUE(BD$44),'SE Data'!$A$4:$AD$57,16,0)="TRUE"),0,VLOOKUP(VALUE(BD$44),'SE Data'!$A$4:$AD$57,16,0))</f>
        <v>0</v>
      </c>
      <c r="BE68" s="293">
        <f>IF(ISERR(VLOOKUP(VALUE(BE$44),'SE Data'!$A$4:$AD$57,16,0)="TRUE"),0,VLOOKUP(VALUE(BE$44),'SE Data'!$A$4:$AD$57,16,0))</f>
        <v>10257.879999999999</v>
      </c>
      <c r="BF68" s="293">
        <f>IF(ISERR(VLOOKUP(VALUE(BF$44),'SE Data'!$A$4:$AD$57,16,0)="TRUE"),0,VLOOKUP(VALUE(BF$44),'SE Data'!$A$4:$AD$57,16,0))</f>
        <v>2010.77</v>
      </c>
      <c r="BG68" s="293">
        <f>IF(ISERR(VLOOKUP(VALUE(BG$44),'SE Data'!$A$4:$AD$57,16,0)="TRUE"),0,VLOOKUP(VALUE(BG$44),'SE Data'!$A$4:$AD$57,16,0))</f>
        <v>0</v>
      </c>
      <c r="BH68" s="293">
        <f>IF(ISERR(VLOOKUP(VALUE(BH$44),'SE Data'!$A$4:$AD$57,16,0)="TRUE"),0,VLOOKUP(VALUE(BH$44),'SE Data'!$A$4:$AD$57,16,0))</f>
        <v>2824.17</v>
      </c>
      <c r="BI68" s="293">
        <f>IF(ISERR(VLOOKUP(VALUE(BI$44),'SE Data'!$A$4:$AD$57,16,0)="TRUE"),0,VLOOKUP(VALUE(BI$44),'SE Data'!$A$4:$AD$57,16,0))</f>
        <v>0</v>
      </c>
      <c r="BJ68" s="293">
        <f>IF(ISERR(VLOOKUP(VALUE(BJ$44),'SE Data'!$A$4:$AD$57,16,0)="TRUE"),0,VLOOKUP(VALUE(BJ$44),'SE Data'!$A$4:$AD$57,16,0))</f>
        <v>0</v>
      </c>
      <c r="BK68" s="293">
        <f>IF(ISERR(VLOOKUP(VALUE(BK$44),'SE Data'!$A$4:$AD$57,16,0)="TRUE"),0,VLOOKUP(VALUE(BK$44),'SE Data'!$A$4:$AD$57,16,0))</f>
        <v>0</v>
      </c>
      <c r="BL68" s="293">
        <f>IF(ISERR(VLOOKUP(VALUE(BL$44),'SE Data'!$A$4:$AD$57,16,0)="TRUE"),0,VLOOKUP(VALUE(BL$44),'SE Data'!$A$4:$AD$57,16,0))</f>
        <v>9236.6</v>
      </c>
      <c r="BM68" s="293">
        <f>IF(ISERR(VLOOKUP(VALUE(BM$44),'SE Data'!$A$4:$AD$57,16,0)="TRUE"),0,VLOOKUP(VALUE(BM$44),'SE Data'!$A$4:$AD$57,16,0))</f>
        <v>0</v>
      </c>
      <c r="BN68" s="293">
        <f>IF(ISERR(VLOOKUP(VALUE(BN$44),'SE Data'!$A$4:$AD$57,16,0)="TRUE"),0,VLOOKUP(VALUE(BN$44),'SE Data'!$A$4:$AD$57,16,0))</f>
        <v>12098.840000000002</v>
      </c>
      <c r="BO68" s="293">
        <f>IF(ISERR(VLOOKUP(VALUE(BO$44),'SE Data'!$A$4:$AD$57,16,0)="TRUE"),0,VLOOKUP(VALUE(BO$44),'SE Data'!$A$4:$AD$57,16,0))</f>
        <v>0</v>
      </c>
      <c r="BP68" s="293">
        <f>IF(ISERR(VLOOKUP(VALUE(BP$44),'SE Data'!$A$4:$AD$57,16,0)="TRUE"),0,VLOOKUP(VALUE(BP$44),'SE Data'!$A$4:$AD$57,16,0))</f>
        <v>0</v>
      </c>
      <c r="BQ68" s="293">
        <f>IF(ISERR(VLOOKUP(VALUE(BQ$44),'SE Data'!$A$4:$AD$57,16,0)="TRUE"),0,VLOOKUP(VALUE(BQ$44),'SE Data'!$A$4:$AD$57,16,0))</f>
        <v>0</v>
      </c>
      <c r="BR68" s="293">
        <f>IF(ISERR(VLOOKUP(VALUE(BR$44),'SE Data'!$A$4:$AD$57,16,0)="TRUE"),0,VLOOKUP(VALUE(BR$44),'SE Data'!$A$4:$AD$57,16,0))</f>
        <v>0</v>
      </c>
      <c r="BS68" s="293">
        <f>IF(ISERR(VLOOKUP(VALUE(BS$44),'SE Data'!$A$4:$AD$57,16,0)="TRUE"),0,VLOOKUP(VALUE(BS$44),'SE Data'!$A$4:$AD$57,16,0))</f>
        <v>0</v>
      </c>
      <c r="BT68" s="293">
        <f>IF(ISERR(VLOOKUP(VALUE(BT$44),'SE Data'!$A$4:$AD$57,16,0)="TRUE"),0,VLOOKUP(VALUE(BT$44),'SE Data'!$A$4:$AD$57,16,0))</f>
        <v>0</v>
      </c>
      <c r="BU68" s="293">
        <f>IF(ISERR(VLOOKUP(VALUE(BU$44),'SE Data'!$A$4:$AD$57,16,0)="TRUE"),0,VLOOKUP(VALUE(BU$44),'SE Data'!$A$4:$AD$57,16,0))</f>
        <v>0</v>
      </c>
      <c r="BV68" s="293">
        <f>IF(ISERR(VLOOKUP(VALUE(BV$44),'SE Data'!$A$4:$AD$57,16,0)="TRUE"),0,VLOOKUP(VALUE(BV$44),'SE Data'!$A$4:$AD$57,16,0))</f>
        <v>0</v>
      </c>
      <c r="BW68" s="293">
        <f>IF(ISERR(VLOOKUP(VALUE(BW$44),'SE Data'!$A$4:$AD$57,16,0)="TRUE"),0,VLOOKUP(VALUE(BW$44),'SE Data'!$A$4:$AD$57,16,0))</f>
        <v>0</v>
      </c>
      <c r="BX68" s="293">
        <f>IF(ISERR(VLOOKUP(VALUE(BX$44),'SE Data'!$A$4:$AD$57,16,0)="TRUE"),0,VLOOKUP(VALUE(BX$44),'SE Data'!$A$4:$AD$57,16,0))</f>
        <v>83.02</v>
      </c>
      <c r="BY68" s="293">
        <f>IF(ISERR(VLOOKUP(VALUE(BY$44),'SE Data'!$A$4:$AD$57,16,0)="TRUE"),0,VLOOKUP(VALUE(BY$44),'SE Data'!$A$4:$AD$57,16,0))</f>
        <v>4559.3599999999997</v>
      </c>
      <c r="BZ68" s="293">
        <f>IF(ISERR(VLOOKUP(VALUE(BZ$44),'SE Data'!$A$4:$AD$57,16,0)="TRUE"),0,VLOOKUP(VALUE(BZ$44),'SE Data'!$A$4:$AD$57,16,0))</f>
        <v>0</v>
      </c>
      <c r="CA68" s="293">
        <f>IF(ISERR(VLOOKUP(VALUE(CA$44),'SE Data'!$A$4:$AD$57,16,0)="TRUE"),0,VLOOKUP(VALUE(CA$44),'SE Data'!$A$4:$AD$57,16,0))</f>
        <v>0</v>
      </c>
      <c r="CB68" s="293">
        <f>IF(ISERR(VLOOKUP(VALUE(CB$44),'SE Data'!$A$4:$AD$57,16,0)="TRUE"),0,VLOOKUP(VALUE(CB$44),'SE Data'!$A$4:$AD$57,16,0))</f>
        <v>0</v>
      </c>
      <c r="CC68" s="293">
        <f>IF(ISERR(VLOOKUP(VALUE(CC$44),'SE Data'!$A$4:$AD$57,16,0)="TRUE"),0,VLOOKUP(VALUE(CC$44),'SE Data'!$A$4:$AD$57,16,0))+41780</f>
        <v>41780</v>
      </c>
      <c r="CD68" s="249" t="s">
        <v>221</v>
      </c>
      <c r="CE68" s="195">
        <f t="shared" si="0"/>
        <v>1577340.9</v>
      </c>
      <c r="CF68" s="252"/>
    </row>
    <row r="69" spans="1:84" ht="12.6" customHeight="1" x14ac:dyDescent="0.25">
      <c r="A69" s="171" t="s">
        <v>241</v>
      </c>
      <c r="B69" s="175"/>
      <c r="C69" s="293">
        <f>IF(ISERR(VLOOKUP(VALUE(C$44),'SE Data'!$A$4:$AD$57,18,0)="TRUE"),0,VLOOKUP(VALUE(C$44),'SE Data'!$A$4:$AD$57,18,0))</f>
        <v>0</v>
      </c>
      <c r="D69" s="293">
        <f>IF(ISERR(VLOOKUP(VALUE(D$44),'SE Data'!$A$4:$AD$57,18,0)="TRUE"),0,VLOOKUP(VALUE(D$44),'SE Data'!$A$4:$AD$57,18,0))</f>
        <v>0</v>
      </c>
      <c r="E69" s="293">
        <f>IF(ISERR(VLOOKUP(VALUE(E$44),'SE Data'!$A$4:$AD$57,18,0)="TRUE"),0,VLOOKUP(VALUE(E$44),'SE Data'!$A$4:$AD$57,18,0))</f>
        <v>14702.240000000002</v>
      </c>
      <c r="F69" s="293">
        <f>IF(ISERR(VLOOKUP(VALUE(F$44),'SE Data'!$A$4:$AD$57,18,0)="TRUE"),0,VLOOKUP(VALUE(F$44),'SE Data'!$A$4:$AD$57,18,0))</f>
        <v>0</v>
      </c>
      <c r="G69" s="293">
        <f>IF(ISERR(VLOOKUP(VALUE(G$44),'SE Data'!$A$4:$AD$57,18,0)="TRUE"),0,VLOOKUP(VALUE(G$44),'SE Data'!$A$4:$AD$57,18,0))</f>
        <v>0</v>
      </c>
      <c r="H69" s="293">
        <f>IF(ISERR(VLOOKUP(VALUE(H$44),'SE Data'!$A$4:$AD$57,18,0)="TRUE"),0,VLOOKUP(VALUE(H$44),'SE Data'!$A$4:$AD$57,18,0))</f>
        <v>0</v>
      </c>
      <c r="I69" s="293">
        <f>IF(ISERR(VLOOKUP(VALUE(I$44),'SE Data'!$A$4:$AD$57,18,0)="TRUE"),0,VLOOKUP(VALUE(I$44),'SE Data'!$A$4:$AD$57,18,0))</f>
        <v>0</v>
      </c>
      <c r="J69" s="293">
        <f>IF(ISERR(VLOOKUP(VALUE(J$44),'SE Data'!$A$4:$AD$57,18,0)="TRUE"),0,VLOOKUP(VALUE(J$44),'SE Data'!$A$4:$AD$57,18,0))</f>
        <v>0</v>
      </c>
      <c r="K69" s="293">
        <f>IF(ISERR(VLOOKUP(VALUE(K$44),'SE Data'!$A$4:$AD$57,18,0)="TRUE"),0,VLOOKUP(VALUE(K$44),'SE Data'!$A$4:$AD$57,18,0))</f>
        <v>0</v>
      </c>
      <c r="L69" s="293">
        <f>IF(ISERR(VLOOKUP(VALUE(L$44),'SE Data'!$A$4:$AD$57,18,0)="TRUE"),0,VLOOKUP(VALUE(L$44),'SE Data'!$A$4:$AD$57,18,0))</f>
        <v>0</v>
      </c>
      <c r="M69" s="293">
        <f>IF(ISERR(VLOOKUP(VALUE(M$44),'SE Data'!$A$4:$AD$57,18,0)="TRUE"),0,VLOOKUP(VALUE(M$44),'SE Data'!$A$4:$AD$57,18,0))</f>
        <v>0</v>
      </c>
      <c r="N69" s="293">
        <f>IF(ISERR(VLOOKUP(VALUE(N$44),'SE Data'!$A$4:$AD$57,18,0)="TRUE"),0,VLOOKUP(VALUE(N$44),'SE Data'!$A$4:$AD$57,18,0))</f>
        <v>0</v>
      </c>
      <c r="O69" s="293">
        <f>IF(ISERR(VLOOKUP(VALUE(O$44),'SE Data'!$A$4:$AD$57,18,0)="TRUE"),0,VLOOKUP(VALUE(O$44),'SE Data'!$A$4:$AD$57,18,0))</f>
        <v>9558.56</v>
      </c>
      <c r="P69" s="293">
        <f>IF(ISERR(VLOOKUP(VALUE(P$44),'SE Data'!$A$4:$AD$57,18,0)="TRUE"),0,VLOOKUP(VALUE(P$44),'SE Data'!$A$4:$AD$57,18,0))</f>
        <v>19381.240000000002</v>
      </c>
      <c r="Q69" s="293">
        <f>IF(ISERR(VLOOKUP(VALUE(Q$44),'SE Data'!$A$4:$AD$57,18,0)="TRUE"),0,VLOOKUP(VALUE(Q$44),'SE Data'!$A$4:$AD$57,18,0))</f>
        <v>2879.92</v>
      </c>
      <c r="R69" s="293">
        <f>IF(ISERR(VLOOKUP(VALUE(R$44),'SE Data'!$A$4:$AD$57,18,0)="TRUE"),0,VLOOKUP(VALUE(R$44),'SE Data'!$A$4:$AD$57,18,0))</f>
        <v>0</v>
      </c>
      <c r="S69" s="293">
        <f>IF(ISERR(VLOOKUP(VALUE(S$44),'SE Data'!$A$4:$AD$57,18,0)="TRUE"),0,VLOOKUP(VALUE(S$44),'SE Data'!$A$4:$AD$57,18,0))</f>
        <v>1189.9299999999998</v>
      </c>
      <c r="T69" s="293">
        <f>IF(ISERR(VLOOKUP(VALUE(T$44),'SE Data'!$A$4:$AD$57,18,0)="TRUE"),0,VLOOKUP(VALUE(T$44),'SE Data'!$A$4:$AD$57,18,0))</f>
        <v>0</v>
      </c>
      <c r="U69" s="293">
        <f>IF(ISERR(VLOOKUP(VALUE(U$44),'SE Data'!$A$4:$AD$57,18,0)="TRUE"),0,VLOOKUP(VALUE(U$44),'SE Data'!$A$4:$AD$57,18,0))</f>
        <v>46034.03</v>
      </c>
      <c r="V69" s="293">
        <f>IF(ISERR(VLOOKUP(VALUE(V$44),'SE Data'!$A$4:$AD$57,18,0)="TRUE"),0,VLOOKUP(VALUE(V$44),'SE Data'!$A$4:$AD$57,18,0))</f>
        <v>0</v>
      </c>
      <c r="W69" s="293">
        <f>IF(ISERR(VLOOKUP(VALUE(W$44),'SE Data'!$A$4:$AD$57,18,0)="TRUE"),0,VLOOKUP(VALUE(W$44),'SE Data'!$A$4:$AD$57,18,0))</f>
        <v>0</v>
      </c>
      <c r="X69" s="293">
        <f>IF(ISERR(VLOOKUP(VALUE(X$44),'SE Data'!$A$4:$AD$57,18,0)="TRUE"),0,VLOOKUP(VALUE(X$44),'SE Data'!$A$4:$AD$57,18,0))</f>
        <v>391.62</v>
      </c>
      <c r="Y69" s="293">
        <v>2135</v>
      </c>
      <c r="Z69" s="293"/>
      <c r="AA69" s="293">
        <f>IF(ISERR(VLOOKUP(VALUE(AA$44),'SE Data'!$A$4:$AD$57,18,0)="TRUE"),0,VLOOKUP(VALUE(AA$44),'SE Data'!$A$4:$AD$57,18,0))</f>
        <v>254.37</v>
      </c>
      <c r="AB69" s="293">
        <f>IF(ISERR(VLOOKUP(VALUE(AB$44),'SE Data'!$A$4:$AD$57,18,0)="TRUE"),0,VLOOKUP(VALUE(AB$44),'SE Data'!$A$4:$AD$57,18,0))</f>
        <v>2746.4</v>
      </c>
      <c r="AC69" s="293">
        <f>IF(ISERR(VLOOKUP(VALUE(AC$44),'SE Data'!$A$4:$AD$57,18,0)="TRUE"),0,VLOOKUP(VALUE(AC$44),'SE Data'!$A$4:$AD$57,18,0))</f>
        <v>3461.2700000000004</v>
      </c>
      <c r="AD69" s="293">
        <f>IF(ISERR(VLOOKUP(VALUE(AD$44),'SE Data'!$A$4:$AD$57,18,0)="TRUE"),0,VLOOKUP(VALUE(AD$44),'SE Data'!$A$4:$AD$57,18,0))</f>
        <v>0</v>
      </c>
      <c r="AE69" s="293">
        <f>IF(ISERR(VLOOKUP(VALUE(AE$44),'SE Data'!$A$4:$AD$57,18,0)="TRUE"),0,VLOOKUP(VALUE(AE$44),'SE Data'!$A$4:$AD$57,18,0))</f>
        <v>0</v>
      </c>
      <c r="AF69" s="293">
        <f>IF(ISERR(VLOOKUP(VALUE(AF$44),'SE Data'!$A$4:$AD$57,18,0)="TRUE"),0,VLOOKUP(VALUE(AF$44),'SE Data'!$A$4:$AD$57,18,0))</f>
        <v>0</v>
      </c>
      <c r="AG69" s="293">
        <f>IF(ISERR(VLOOKUP(VALUE(AG$44),'SE Data'!$A$4:$AD$57,18,0)="TRUE"),0,VLOOKUP(VALUE(AG$44),'SE Data'!$A$4:$AD$57,18,0))</f>
        <v>7519.880000000001</v>
      </c>
      <c r="AH69" s="293">
        <f>IF(ISERR(VLOOKUP(VALUE(AH$44),'SE Data'!$A$4:$AD$57,18,0)="TRUE"),0,VLOOKUP(VALUE(AH$44),'SE Data'!$A$4:$AD$57,18,0))</f>
        <v>0</v>
      </c>
      <c r="AI69" s="293">
        <f>IF(ISERR(VLOOKUP(VALUE(AI$44),'SE Data'!$A$4:$AD$57,18,0)="TRUE"),0,VLOOKUP(VALUE(AI$44),'SE Data'!$A$4:$AD$57,18,0))</f>
        <v>0</v>
      </c>
      <c r="AJ69" s="293">
        <f>IF(ISERR(VLOOKUP(VALUE(AJ$44),'SE Data'!$A$4:$AD$57,18,0)="TRUE"),0,VLOOKUP(VALUE(AJ$44),'SE Data'!$A$4:$AD$57,18,0))</f>
        <v>539749.29</v>
      </c>
      <c r="AK69" s="293">
        <f>IF(ISERR(VLOOKUP(VALUE(AK$44),'SE Data'!$A$4:$AD$57,18,0)="TRUE"),0,VLOOKUP(VALUE(AK$44),'SE Data'!$A$4:$AD$57,18,0))</f>
        <v>0</v>
      </c>
      <c r="AL69" s="293">
        <f>IF(ISERR(VLOOKUP(VALUE(AL$44),'SE Data'!$A$4:$AD$57,18,0)="TRUE"),0,VLOOKUP(VALUE(AL$44),'SE Data'!$A$4:$AD$57,18,0))</f>
        <v>33.64</v>
      </c>
      <c r="AM69" s="293">
        <f>IF(ISERR(VLOOKUP(VALUE(AM$44),'SE Data'!$A$4:$AD$57,18,0)="TRUE"),0,VLOOKUP(VALUE(AM$44),'SE Data'!$A$4:$AD$57,18,0))</f>
        <v>0</v>
      </c>
      <c r="AN69" s="293">
        <f>IF(ISERR(VLOOKUP(VALUE(AN$44),'SE Data'!$A$4:$AD$57,18,0)="TRUE"),0,VLOOKUP(VALUE(AN$44),'SE Data'!$A$4:$AD$57,18,0))</f>
        <v>0</v>
      </c>
      <c r="AO69" s="293">
        <f>IF(ISERR(VLOOKUP(VALUE(AO$44),'SE Data'!$A$4:$AD$57,18,0)="TRUE"),0,VLOOKUP(VALUE(AO$44),'SE Data'!$A$4:$AD$57,18,0))</f>
        <v>0</v>
      </c>
      <c r="AP69" s="293">
        <f>IF(ISERR(VLOOKUP(VALUE(AP$44),'SE Data'!$A$4:$AD$57,18,0)="TRUE"),0,VLOOKUP(VALUE(AP$44),'SE Data'!$A$4:$AD$57,18,0))</f>
        <v>0</v>
      </c>
      <c r="AQ69" s="293">
        <f>IF(ISERR(VLOOKUP(VALUE(AQ$44),'SE Data'!$A$4:$AD$57,18,0)="TRUE"),0,VLOOKUP(VALUE(AQ$44),'SE Data'!$A$4:$AD$57,18,0))</f>
        <v>0</v>
      </c>
      <c r="AR69" s="293">
        <f>IF(ISERR(VLOOKUP(VALUE(AR$44),'SE Data'!$A$4:$AD$57,18,0)="TRUE"),0,VLOOKUP(VALUE(AR$44),'SE Data'!$A$4:$AD$57,18,0))</f>
        <v>0</v>
      </c>
      <c r="AS69" s="293">
        <f>IF(ISERR(VLOOKUP(VALUE(AS$44),'SE Data'!$A$4:$AD$57,18,0)="TRUE"),0,VLOOKUP(VALUE(AS$44),'SE Data'!$A$4:$AD$57,18,0))</f>
        <v>0</v>
      </c>
      <c r="AT69" s="293">
        <f>IF(ISERR(VLOOKUP(VALUE(AT$44),'SE Data'!$A$4:$AD$57,18,0)="TRUE"),0,VLOOKUP(VALUE(AT$44),'SE Data'!$A$4:$AD$57,18,0))</f>
        <v>0</v>
      </c>
      <c r="AU69" s="293">
        <f>IF(ISERR(VLOOKUP(VALUE(AU$44),'SE Data'!$A$4:$AD$57,18,0)="TRUE"),0,VLOOKUP(VALUE(AU$44),'SE Data'!$A$4:$AD$57,18,0))</f>
        <v>0</v>
      </c>
      <c r="AV69" s="293">
        <f>IF(ISERR(VLOOKUP(VALUE(AV$44),'SE Data'!$A$4:$AD$57,18,0)="TRUE"),0,VLOOKUP(VALUE(AV$44),'SE Data'!$A$4:$AD$57,18,0))</f>
        <v>0</v>
      </c>
      <c r="AW69" s="293">
        <f>IF(ISERR(VLOOKUP(VALUE(AW$44),'SE Data'!$A$4:$AD$57,18,0)="TRUE"),0,VLOOKUP(VALUE(AW$44),'SE Data'!$A$4:$AD$57,18,0))</f>
        <v>0</v>
      </c>
      <c r="AX69" s="293">
        <f>IF(ISERR(VLOOKUP(VALUE(AX$44),'SE Data'!$A$4:$AD$57,18,0)="TRUE"),0,VLOOKUP(VALUE(AX$44),'SE Data'!$A$4:$AD$57,18,0))</f>
        <v>0</v>
      </c>
      <c r="AY69" s="293">
        <f>IF(ISERR(VLOOKUP(VALUE(AY$44),'SE Data'!$A$4:$AD$57,18,0)="TRUE"),0,VLOOKUP(VALUE(AY$44),'SE Data'!$A$4:$AD$57,18,0))</f>
        <v>21381.279999999999</v>
      </c>
      <c r="AZ69" s="293">
        <f>IF(ISERR(VLOOKUP(VALUE(AZ$44),'SE Data'!$A$4:$AD$57,18,0)="TRUE"),0,VLOOKUP(VALUE(AZ$44),'SE Data'!$A$4:$AD$57,18,0))</f>
        <v>0</v>
      </c>
      <c r="BA69" s="293">
        <f>IF(ISERR(VLOOKUP(VALUE(BA$44),'SE Data'!$A$4:$AD$57,18,0)="TRUE"),0,VLOOKUP(VALUE(BA$44),'SE Data'!$A$4:$AD$57,18,0))</f>
        <v>0</v>
      </c>
      <c r="BB69" s="293">
        <f>IF(ISERR(VLOOKUP(VALUE(BB$44),'SE Data'!$A$4:$AD$57,18,0)="TRUE"),0,VLOOKUP(VALUE(BB$44),'SE Data'!$A$4:$AD$57,18,0))</f>
        <v>0</v>
      </c>
      <c r="BC69" s="293">
        <f>IF(ISERR(VLOOKUP(VALUE(BC$44),'SE Data'!$A$4:$AD$57,18,0)="TRUE"),0,VLOOKUP(VALUE(BC$44),'SE Data'!$A$4:$AD$57,18,0))</f>
        <v>0</v>
      </c>
      <c r="BD69" s="293">
        <f>IF(ISERR(VLOOKUP(VALUE(BD$44),'SE Data'!$A$4:$AD$57,18,0)="TRUE"),0,VLOOKUP(VALUE(BD$44),'SE Data'!$A$4:$AD$57,18,0))</f>
        <v>0</v>
      </c>
      <c r="BE69" s="293">
        <f>IF(ISERR(VLOOKUP(VALUE(BE$44),'SE Data'!$A$4:$AD$57,18,0)="TRUE"),0,VLOOKUP(VALUE(BE$44),'SE Data'!$A$4:$AD$57,18,0))</f>
        <v>1883.3000000000004</v>
      </c>
      <c r="BF69" s="293">
        <f>IF(ISERR(VLOOKUP(VALUE(BF$44),'SE Data'!$A$4:$AD$57,18,0)="TRUE"),0,VLOOKUP(VALUE(BF$44),'SE Data'!$A$4:$AD$57,18,0))</f>
        <v>455.27</v>
      </c>
      <c r="BG69" s="293">
        <f>IF(ISERR(VLOOKUP(VALUE(BG$44),'SE Data'!$A$4:$AD$57,18,0)="TRUE"),0,VLOOKUP(VALUE(BG$44),'SE Data'!$A$4:$AD$57,18,0))</f>
        <v>0</v>
      </c>
      <c r="BH69" s="293">
        <f>IF(ISERR(VLOOKUP(VALUE(BH$44),'SE Data'!$A$4:$AD$57,18,0)="TRUE"),0,VLOOKUP(VALUE(BH$44),'SE Data'!$A$4:$AD$57,18,0))</f>
        <v>0</v>
      </c>
      <c r="BI69" s="293">
        <f>IF(ISERR(VLOOKUP(VALUE(BI$44),'SE Data'!$A$4:$AD$57,18,0)="TRUE"),0,VLOOKUP(VALUE(BI$44),'SE Data'!$A$4:$AD$57,18,0))</f>
        <v>0</v>
      </c>
      <c r="BJ69" s="293">
        <f>IF(ISERR(VLOOKUP(VALUE(BJ$44),'SE Data'!$A$4:$AD$57,18,0)="TRUE"),0,VLOOKUP(VALUE(BJ$44),'SE Data'!$A$4:$AD$57,18,0))</f>
        <v>0</v>
      </c>
      <c r="BK69" s="293">
        <f>IF(ISERR(VLOOKUP(VALUE(BK$44),'SE Data'!$A$4:$AD$57,18,0)="TRUE"),0,VLOOKUP(VALUE(BK$44),'SE Data'!$A$4:$AD$57,18,0))</f>
        <v>0</v>
      </c>
      <c r="BL69" s="293">
        <f>IF(ISERR(VLOOKUP(VALUE(BL$44),'SE Data'!$A$4:$AD$57,18,0)="TRUE"),0,VLOOKUP(VALUE(BL$44),'SE Data'!$A$4:$AD$57,18,0))</f>
        <v>7.52</v>
      </c>
      <c r="BM69" s="293">
        <f>IF(ISERR(VLOOKUP(VALUE(BM$44),'SE Data'!$A$4:$AD$57,18,0)="TRUE"),0,VLOOKUP(VALUE(BM$44),'SE Data'!$A$4:$AD$57,18,0))</f>
        <v>0</v>
      </c>
      <c r="BN69" s="293">
        <f>IF(ISERR(VLOOKUP(VALUE(BN$44),'SE Data'!$A$4:$AD$57,18,0)="TRUE"),0,VLOOKUP(VALUE(BN$44),'SE Data'!$A$4:$AD$57,18,0))</f>
        <v>39300.89</v>
      </c>
      <c r="BO69" s="293">
        <f>IF(ISERR(VLOOKUP(VALUE(BO$44),'SE Data'!$A$4:$AD$57,18,0)="TRUE"),0,VLOOKUP(VALUE(BO$44),'SE Data'!$A$4:$AD$57,18,0))</f>
        <v>0</v>
      </c>
      <c r="BP69" s="293">
        <f>IF(ISERR(VLOOKUP(VALUE(BP$44),'SE Data'!$A$4:$AD$57,18,0)="TRUE"),0,VLOOKUP(VALUE(BP$44),'SE Data'!$A$4:$AD$57,18,0))</f>
        <v>0</v>
      </c>
      <c r="BQ69" s="293">
        <f>IF(ISERR(VLOOKUP(VALUE(BQ$44),'SE Data'!$A$4:$AD$57,18,0)="TRUE"),0,VLOOKUP(VALUE(BQ$44),'SE Data'!$A$4:$AD$57,18,0))</f>
        <v>0</v>
      </c>
      <c r="BR69" s="293">
        <f>IF(ISERR(VLOOKUP(VALUE(BR$44),'SE Data'!$A$4:$AD$57,18,0)="TRUE"),0,VLOOKUP(VALUE(BR$44),'SE Data'!$A$4:$AD$57,18,0))</f>
        <v>218.95</v>
      </c>
      <c r="BS69" s="293">
        <f>IF(ISERR(VLOOKUP(VALUE(BS$44),'SE Data'!$A$4:$AD$57,18,0)="TRUE"),0,VLOOKUP(VALUE(BS$44),'SE Data'!$A$4:$AD$57,18,0))</f>
        <v>0</v>
      </c>
      <c r="BT69" s="293">
        <f>IF(ISERR(VLOOKUP(VALUE(BT$44),'SE Data'!$A$4:$AD$57,18,0)="TRUE"),0,VLOOKUP(VALUE(BT$44),'SE Data'!$A$4:$AD$57,18,0))</f>
        <v>0</v>
      </c>
      <c r="BU69" s="293">
        <f>IF(ISERR(VLOOKUP(VALUE(BU$44),'SE Data'!$A$4:$AD$57,18,0)="TRUE"),0,VLOOKUP(VALUE(BU$44),'SE Data'!$A$4:$AD$57,18,0))</f>
        <v>0</v>
      </c>
      <c r="BV69" s="293">
        <f>IF(ISERR(VLOOKUP(VALUE(BV$44),'SE Data'!$A$4:$AD$57,18,0)="TRUE"),0,VLOOKUP(VALUE(BV$44),'SE Data'!$A$4:$AD$57,18,0))</f>
        <v>0</v>
      </c>
      <c r="BW69" s="293">
        <f>IF(ISERR(VLOOKUP(VALUE(BW$44),'SE Data'!$A$4:$AD$57,18,0)="TRUE"),0,VLOOKUP(VALUE(BW$44),'SE Data'!$A$4:$AD$57,18,0))</f>
        <v>0</v>
      </c>
      <c r="BX69" s="293">
        <f>IF(ISERR(VLOOKUP(VALUE(BX$44),'SE Data'!$A$4:$AD$57,18,0)="TRUE"),0,VLOOKUP(VALUE(BX$44),'SE Data'!$A$4:$AD$57,18,0))</f>
        <v>498.93</v>
      </c>
      <c r="BY69" s="293">
        <f>IF(ISERR(VLOOKUP(VALUE(BY$44),'SE Data'!$A$4:$AD$57,18,0)="TRUE"),0,VLOOKUP(VALUE(BY$44),'SE Data'!$A$4:$AD$57,18,0))</f>
        <v>6401.09</v>
      </c>
      <c r="BZ69" s="293">
        <f>IF(ISERR(VLOOKUP(VALUE(BZ$44),'SE Data'!$A$4:$AD$57,18,0)="TRUE"),0,VLOOKUP(VALUE(BZ$44),'SE Data'!$A$4:$AD$57,18,0))</f>
        <v>0</v>
      </c>
      <c r="CA69" s="293">
        <f>IF(ISERR(VLOOKUP(VALUE(CA$44),'SE Data'!$A$4:$AD$57,18,0)="TRUE"),0,VLOOKUP(VALUE(CA$44),'SE Data'!$A$4:$AD$57,18,0))</f>
        <v>0</v>
      </c>
      <c r="CB69" s="293">
        <f>IF(ISERR(VLOOKUP(VALUE(CB$44),'SE Data'!$A$4:$AD$57,18,0)="TRUE"),0,VLOOKUP(VALUE(CB$44),'SE Data'!$A$4:$AD$57,18,0))</f>
        <v>0</v>
      </c>
      <c r="CC69" s="301">
        <f>-1521503+'SE Data'!R49+'SE Data'!R54</f>
        <v>-255287.73000000021</v>
      </c>
      <c r="CD69" s="301">
        <f>IF(ISERR(VLOOKUP(VALUE(CD$44),'SE Data'!$A$4:$AD$57,18,0)="TRUE"),0,VLOOKUP(VALUE(CD$44),'SE Data'!$A$4:$AD$57,18,0))+1521503</f>
        <v>1521503</v>
      </c>
      <c r="CE69" s="195">
        <f t="shared" si="0"/>
        <v>1986399.89</v>
      </c>
      <c r="CF69" s="252"/>
    </row>
    <row r="70" spans="1:84" ht="12.6" customHeight="1" x14ac:dyDescent="0.25">
      <c r="A70" s="171" t="s">
        <v>242</v>
      </c>
      <c r="B70" s="175"/>
      <c r="C70" s="293">
        <f>IF(ISERR(VLOOKUP(VALUE(C$44),'SE Data'!$A$4:$AD$57,18,0)="TRUE"),0,VLOOKUP(VALUE(C$44),'SE Data'!$A$4:$AD$57,18,0))</f>
        <v>0</v>
      </c>
      <c r="D70" s="293">
        <f>IF(ISERR(VLOOKUP(VALUE(D$44),'SE Data'!$A$4:$AD$57,8,0)="TRUE"),0,VLOOKUP(VALUE(D$44),'SE Data'!$A$4:$AD$57,8,0))</f>
        <v>0</v>
      </c>
      <c r="E70" s="293">
        <f>IF(ISERR(VLOOKUP(VALUE(E$44),'SE Data'!$A$4:$AD$57,8,0)="TRUE"),0,VLOOKUP(VALUE(E$44),'SE Data'!$A$4:$AD$57,8,0))</f>
        <v>3000</v>
      </c>
      <c r="F70" s="293">
        <f>IF(ISERR(VLOOKUP(VALUE(F$44),'SE Data'!$A$4:$AD$57,8,0)="TRUE"),0,VLOOKUP(VALUE(F$44),'SE Data'!$A$4:$AD$57,8,0))</f>
        <v>0</v>
      </c>
      <c r="G70" s="293">
        <f>IF(ISERR(VLOOKUP(VALUE(G$44),'SE Data'!$A$4:$AD$57,8,0)="TRUE"),0,VLOOKUP(VALUE(G$44),'SE Data'!$A$4:$AD$57,8,0))</f>
        <v>0</v>
      </c>
      <c r="H70" s="293">
        <f>IF(ISERR(VLOOKUP(VALUE(H$44),'SE Data'!$A$4:$AD$57,8,0)="TRUE"),0,VLOOKUP(VALUE(H$44),'SE Data'!$A$4:$AD$57,8,0))</f>
        <v>0</v>
      </c>
      <c r="I70" s="293">
        <f>IF(ISERR(VLOOKUP(VALUE(I$44),'SE Data'!$A$4:$AD$57,8,0)="TRUE"),0,VLOOKUP(VALUE(I$44),'SE Data'!$A$4:$AD$57,8,0))</f>
        <v>0</v>
      </c>
      <c r="J70" s="293">
        <f>IF(ISERR(VLOOKUP(VALUE(J$44),'SE Data'!$A$4:$AD$57,8,0)="TRUE"),0,VLOOKUP(VALUE(J$44),'SE Data'!$A$4:$AD$57,8,0))</f>
        <v>0</v>
      </c>
      <c r="K70" s="293">
        <f>IF(ISERR(VLOOKUP(VALUE(K$44),'SE Data'!$A$4:$AD$57,8,0)="TRUE"),0,VLOOKUP(VALUE(K$44),'SE Data'!$A$4:$AD$57,8,0))</f>
        <v>0</v>
      </c>
      <c r="L70" s="293">
        <f>IF(ISERR(VLOOKUP(VALUE(L$44),'SE Data'!$A$4:$AD$57,8,0)="TRUE"),0,VLOOKUP(VALUE(L$44),'SE Data'!$A$4:$AD$57,8,0))</f>
        <v>0</v>
      </c>
      <c r="M70" s="293">
        <f>IF(ISERR(VLOOKUP(VALUE(M$44),'SE Data'!$A$4:$AD$57,8,0)="TRUE"),0,VLOOKUP(VALUE(M$44),'SE Data'!$A$4:$AD$57,8,0))</f>
        <v>0</v>
      </c>
      <c r="N70" s="293">
        <f>IF(ISERR(VLOOKUP(VALUE(N$44),'SE Data'!$A$4:$AD$57,8,0)="TRUE"),0,VLOOKUP(VALUE(N$44),'SE Data'!$A$4:$AD$57,8,0))</f>
        <v>0</v>
      </c>
      <c r="O70" s="293">
        <f>IF(ISERR(VLOOKUP(VALUE(O$44),'SE Data'!$A$4:$AD$57,8,0)="TRUE"),0,VLOOKUP(VALUE(O$44),'SE Data'!$A$4:$AD$57,8,0))</f>
        <v>920</v>
      </c>
      <c r="P70" s="293">
        <f>IF(ISERR(VLOOKUP(VALUE(P$44),'SE Data'!$A$4:$AD$57,8,0)="TRUE"),0,VLOOKUP(VALUE(P$44),'SE Data'!$A$4:$AD$57,8,0))</f>
        <v>0</v>
      </c>
      <c r="Q70" s="293">
        <f>IF(ISERR(VLOOKUP(VALUE(Q$44),'SE Data'!$A$4:$AD$57,8,0)="TRUE"),0,VLOOKUP(VALUE(Q$44),'SE Data'!$A$4:$AD$57,8,0))</f>
        <v>0</v>
      </c>
      <c r="R70" s="293">
        <f>IF(ISERR(VLOOKUP(VALUE(R$44),'SE Data'!$A$4:$AD$57,8,0)="TRUE"),0,VLOOKUP(VALUE(R$44),'SE Data'!$A$4:$AD$57,8,0))</f>
        <v>0</v>
      </c>
      <c r="S70" s="293">
        <f>IF(ISERR(VLOOKUP(VALUE(S$44),'SE Data'!$A$4:$AD$57,8,0)="TRUE"),0,VLOOKUP(VALUE(S$44),'SE Data'!$A$4:$AD$57,8,0))</f>
        <v>0</v>
      </c>
      <c r="T70" s="293">
        <f>IF(ISERR(VLOOKUP(VALUE(T$44),'SE Data'!$A$4:$AD$57,8,0)="TRUE"),0,VLOOKUP(VALUE(T$44),'SE Data'!$A$4:$AD$57,8,0))</f>
        <v>0</v>
      </c>
      <c r="U70" s="293">
        <f>IF(ISERR(VLOOKUP(VALUE(U$44),'SE Data'!$A$4:$AD$57,8,0)="TRUE"),0,VLOOKUP(VALUE(U$44),'SE Data'!$A$4:$AD$57,8,0))</f>
        <v>43396.52</v>
      </c>
      <c r="V70" s="293">
        <f>IF(ISERR(VLOOKUP(VALUE(V$44),'SE Data'!$A$4:$AD$57,8,0)="TRUE"),0,VLOOKUP(VALUE(V$44),'SE Data'!$A$4:$AD$57,8,0))</f>
        <v>0</v>
      </c>
      <c r="W70" s="293">
        <f>IF(ISERR(VLOOKUP(VALUE(W$44),'SE Data'!$A$4:$AD$57,8,0)="TRUE"),0,VLOOKUP(VALUE(W$44),'SE Data'!$A$4:$AD$57,8,0))</f>
        <v>0</v>
      </c>
      <c r="X70" s="293">
        <f>IF(ISERR(VLOOKUP(VALUE(X$44),'SE Data'!$A$4:$AD$57,8,0)="TRUE"),0,VLOOKUP(VALUE(X$44),'SE Data'!$A$4:$AD$57,8,0))</f>
        <v>0</v>
      </c>
      <c r="Y70" s="293">
        <v>4294.76</v>
      </c>
      <c r="Z70" s="293"/>
      <c r="AA70" s="293">
        <f>IF(ISERR(VLOOKUP(VALUE(AA$44),'SE Data'!$A$4:$AD$57,8,0)="TRUE"),0,VLOOKUP(VALUE(AA$44),'SE Data'!$A$4:$AD$57,8,0))</f>
        <v>0</v>
      </c>
      <c r="AB70" s="293">
        <f>IF(ISERR(VLOOKUP(VALUE(AB$44),'SE Data'!$A$4:$AD$57,8,0)="TRUE"),0,VLOOKUP(VALUE(AB$44),'SE Data'!$A$4:$AD$57,8,0))</f>
        <v>0</v>
      </c>
      <c r="AC70" s="293">
        <f>IF(ISERR(VLOOKUP(VALUE(AC$44),'SE Data'!$A$4:$AD$57,8,0)="TRUE"),0,VLOOKUP(VALUE(AC$44),'SE Data'!$A$4:$AD$57,8,0))</f>
        <v>0</v>
      </c>
      <c r="AD70" s="293">
        <f>IF(ISERR(VLOOKUP(VALUE(AD$44),'SE Data'!$A$4:$AD$57,8,0)="TRUE"),0,VLOOKUP(VALUE(AD$44),'SE Data'!$A$4:$AD$57,8,0))</f>
        <v>0</v>
      </c>
      <c r="AE70" s="293">
        <f>IF(ISERR(VLOOKUP(VALUE(AE$44),'SE Data'!$A$4:$AD$57,8,0)="TRUE"),0,VLOOKUP(VALUE(AE$44),'SE Data'!$A$4:$AD$57,8,0))</f>
        <v>0</v>
      </c>
      <c r="AF70" s="293">
        <f>IF(ISERR(VLOOKUP(VALUE(AF$44),'SE Data'!$A$4:$AD$57,8,0)="TRUE"),0,VLOOKUP(VALUE(AF$44),'SE Data'!$A$4:$AD$57,8,0))</f>
        <v>0</v>
      </c>
      <c r="AG70" s="293">
        <f>IF(ISERR(VLOOKUP(VALUE(AG$44),'SE Data'!$A$4:$AD$57,8,0)="TRUE"),0,VLOOKUP(VALUE(AG$44),'SE Data'!$A$4:$AD$57,8,0))</f>
        <v>0</v>
      </c>
      <c r="AH70" s="293">
        <f>IF(ISERR(VLOOKUP(VALUE(AH$44),'SE Data'!$A$4:$AD$57,8,0)="TRUE"),0,VLOOKUP(VALUE(AH$44),'SE Data'!$A$4:$AD$57,8,0))</f>
        <v>0</v>
      </c>
      <c r="AI70" s="293">
        <f>IF(ISERR(VLOOKUP(VALUE(AI$44),'SE Data'!$A$4:$AD$57,8,0)="TRUE"),0,VLOOKUP(VALUE(AI$44),'SE Data'!$A$4:$AD$57,8,0))</f>
        <v>0</v>
      </c>
      <c r="AJ70" s="293">
        <f>IF(ISERR(VLOOKUP(VALUE(AJ$44),'SE Data'!$A$4:$AD$57,8,0)="TRUE"),0,VLOOKUP(VALUE(AJ$44),'SE Data'!$A$4:$AD$57,8,0))</f>
        <v>298814.52</v>
      </c>
      <c r="AK70" s="293">
        <f>IF(ISERR(VLOOKUP(VALUE(AK$44),'SE Data'!$A$4:$AD$57,8,0)="TRUE"),0,VLOOKUP(VALUE(AK$44),'SE Data'!$A$4:$AD$57,8,0))</f>
        <v>0</v>
      </c>
      <c r="AL70" s="293">
        <f>IF(ISERR(VLOOKUP(VALUE(AL$44),'SE Data'!$A$4:$AD$57,8,0)="TRUE"),0,VLOOKUP(VALUE(AL$44),'SE Data'!$A$4:$AD$57,8,0))</f>
        <v>0</v>
      </c>
      <c r="AM70" s="293">
        <f>IF(ISERR(VLOOKUP(VALUE(AM$44),'SE Data'!$A$4:$AD$57,8,0)="TRUE"),0,VLOOKUP(VALUE(AM$44),'SE Data'!$A$4:$AD$57,8,0))</f>
        <v>0</v>
      </c>
      <c r="AN70" s="293">
        <f>IF(ISERR(VLOOKUP(VALUE(AN$44),'SE Data'!$A$4:$AD$57,8,0)="TRUE"),0,VLOOKUP(VALUE(AN$44),'SE Data'!$A$4:$AD$57,8,0))</f>
        <v>0</v>
      </c>
      <c r="AO70" s="293">
        <f>IF(ISERR(VLOOKUP(VALUE(AO$44),'SE Data'!$A$4:$AD$57,8,0)="TRUE"),0,VLOOKUP(VALUE(AO$44),'SE Data'!$A$4:$AD$57,8,0))</f>
        <v>0</v>
      </c>
      <c r="AP70" s="293">
        <f>IF(ISERR(VLOOKUP(VALUE(AP$44),'SE Data'!$A$4:$AD$57,8,0)="TRUE"),0,VLOOKUP(VALUE(AP$44),'SE Data'!$A$4:$AD$57,8,0))</f>
        <v>0</v>
      </c>
      <c r="AQ70" s="293">
        <f>IF(ISERR(VLOOKUP(VALUE(AQ$44),'SE Data'!$A$4:$AD$57,8,0)="TRUE"),0,VLOOKUP(VALUE(AQ$44),'SE Data'!$A$4:$AD$57,8,0))</f>
        <v>0</v>
      </c>
      <c r="AR70" s="293">
        <f>IF(ISERR(VLOOKUP(VALUE(AR$44),'SE Data'!$A$4:$AD$57,8,0)="TRUE"),0,VLOOKUP(VALUE(AR$44),'SE Data'!$A$4:$AD$57,8,0))</f>
        <v>0</v>
      </c>
      <c r="AS70" s="293">
        <f>IF(ISERR(VLOOKUP(VALUE(AS$44),'SE Data'!$A$4:$AD$57,8,0)="TRUE"),0,VLOOKUP(VALUE(AS$44),'SE Data'!$A$4:$AD$57,8,0))</f>
        <v>0</v>
      </c>
      <c r="AT70" s="293">
        <f>IF(ISERR(VLOOKUP(VALUE(AT$44),'SE Data'!$A$4:$AD$57,8,0)="TRUE"),0,VLOOKUP(VALUE(AT$44),'SE Data'!$A$4:$AD$57,8,0))</f>
        <v>0</v>
      </c>
      <c r="AU70" s="293">
        <f>IF(ISERR(VLOOKUP(VALUE(AU$44),'SE Data'!$A$4:$AD$57,8,0)="TRUE"),0,VLOOKUP(VALUE(AU$44),'SE Data'!$A$4:$AD$57,8,0))</f>
        <v>0</v>
      </c>
      <c r="AV70" s="293">
        <f>IF(ISERR(VLOOKUP(VALUE(AV$44),'SE Data'!$A$4:$AD$57,8,0)="TRUE"),0,VLOOKUP(VALUE(AV$44),'SE Data'!$A$4:$AD$57,8,0))</f>
        <v>0</v>
      </c>
      <c r="AW70" s="293">
        <f>IF(ISERR(VLOOKUP(VALUE(AW$44),'SE Data'!$A$4:$AD$57,8,0)="TRUE"),0,VLOOKUP(VALUE(AW$44),'SE Data'!$A$4:$AD$57,8,0))</f>
        <v>0</v>
      </c>
      <c r="AX70" s="293">
        <f>IF(ISERR(VLOOKUP(VALUE(AX$44),'SE Data'!$A$4:$AD$57,8,0)="TRUE"),0,VLOOKUP(VALUE(AX$44),'SE Data'!$A$4:$AD$57,8,0))</f>
        <v>0</v>
      </c>
      <c r="AY70" s="293">
        <f>IF(ISERR(VLOOKUP(VALUE(AY$44),'SE Data'!$A$4:$AD$57,8,0)="TRUE"),0,VLOOKUP(VALUE(AY$44),'SE Data'!$A$4:$AD$57,8,0))</f>
        <v>368135.84</v>
      </c>
      <c r="AZ70" s="293">
        <f>IF(ISERR(VLOOKUP(VALUE(AZ$44),'SE Data'!$A$4:$AD$57,8,0)="TRUE"),0,VLOOKUP(VALUE(AZ$44),'SE Data'!$A$4:$AD$57,8,0))</f>
        <v>0</v>
      </c>
      <c r="BA70" s="293">
        <f>IF(ISERR(VLOOKUP(VALUE(BA$44),'SE Data'!$A$4:$AD$57,8,0)="TRUE"),0,VLOOKUP(VALUE(BA$44),'SE Data'!$A$4:$AD$57,8,0))</f>
        <v>0</v>
      </c>
      <c r="BB70" s="293">
        <f>IF(ISERR(VLOOKUP(VALUE(BB$44),'SE Data'!$A$4:$AD$57,8,0)="TRUE"),0,VLOOKUP(VALUE(BB$44),'SE Data'!$A$4:$AD$57,8,0))</f>
        <v>0</v>
      </c>
      <c r="BC70" s="293">
        <f>IF(ISERR(VLOOKUP(VALUE(BC$44),'SE Data'!$A$4:$AD$57,8,0)="TRUE"),0,VLOOKUP(VALUE(BC$44),'SE Data'!$A$4:$AD$57,8,0))</f>
        <v>0</v>
      </c>
      <c r="BD70" s="293">
        <f>IF(ISERR(VLOOKUP(VALUE(BD$44),'SE Data'!$A$4:$AD$57,8,0)="TRUE"),0,VLOOKUP(VALUE(BD$44),'SE Data'!$A$4:$AD$57,8,0))</f>
        <v>0</v>
      </c>
      <c r="BE70" s="293">
        <f>IF(ISERR(VLOOKUP(VALUE(BE$44),'SE Data'!$A$4:$AD$57,8,0)="TRUE"),0,VLOOKUP(VALUE(BE$44),'SE Data'!$A$4:$AD$57,8,0))</f>
        <v>10.89</v>
      </c>
      <c r="BF70" s="293">
        <f>IF(ISERR(VLOOKUP(VALUE(BF$44),'SE Data'!$A$4:$AD$57,8,0)="TRUE"),0,VLOOKUP(VALUE(BF$44),'SE Data'!$A$4:$AD$57,8,0))</f>
        <v>0</v>
      </c>
      <c r="BG70" s="293">
        <f>IF(ISERR(VLOOKUP(VALUE(BG$44),'SE Data'!$A$4:$AD$57,8,0)="TRUE"),0,VLOOKUP(VALUE(BG$44),'SE Data'!$A$4:$AD$57,8,0))</f>
        <v>0</v>
      </c>
      <c r="BH70" s="293">
        <f>IF(ISERR(VLOOKUP(VALUE(BH$44),'SE Data'!$A$4:$AD$57,8,0)="TRUE"),0,VLOOKUP(VALUE(BH$44),'SE Data'!$A$4:$AD$57,8,0))</f>
        <v>0</v>
      </c>
      <c r="BI70" s="293">
        <f>IF(ISERR(VLOOKUP(VALUE(BI$44),'SE Data'!$A$4:$AD$57,8,0)="TRUE"),0,VLOOKUP(VALUE(BI$44),'SE Data'!$A$4:$AD$57,8,0))</f>
        <v>0.17000000000007276</v>
      </c>
      <c r="BJ70" s="293">
        <f>IF(ISERR(VLOOKUP(VALUE(BJ$44),'SE Data'!$A$4:$AD$57,8,0)="TRUE"),0,VLOOKUP(VALUE(BJ$44),'SE Data'!$A$4:$AD$57,8,0))</f>
        <v>0</v>
      </c>
      <c r="BK70" s="293">
        <f>IF(ISERR(VLOOKUP(VALUE(BK$44),'SE Data'!$A$4:$AD$57,8,0)="TRUE"),0,VLOOKUP(VALUE(BK$44),'SE Data'!$A$4:$AD$57,8,0))</f>
        <v>0</v>
      </c>
      <c r="BL70" s="293">
        <f>IF(ISERR(VLOOKUP(VALUE(BL$44),'SE Data'!$A$4:$AD$57,8,0)="TRUE"),0,VLOOKUP(VALUE(BL$44),'SE Data'!$A$4:$AD$57,8,0))</f>
        <v>0</v>
      </c>
      <c r="BM70" s="293">
        <f>IF(ISERR(VLOOKUP(VALUE(BM$44),'SE Data'!$A$4:$AD$57,8,0)="TRUE"),0,VLOOKUP(VALUE(BM$44),'SE Data'!$A$4:$AD$57,8,0))</f>
        <v>0</v>
      </c>
      <c r="BN70" s="293">
        <f>IF(ISERR(VLOOKUP(VALUE(BN$44),'SE Data'!$A$4:$AD$57,8,0)="TRUE"),0,VLOOKUP(VALUE(BN$44),'SE Data'!$A$4:$AD$57,8,0))</f>
        <v>6715.5899999999992</v>
      </c>
      <c r="BO70" s="293">
        <f>IF(ISERR(VLOOKUP(VALUE(BO$44),'SE Data'!$A$4:$AD$57,8,0)="TRUE"),0,VLOOKUP(VALUE(BO$44),'SE Data'!$A$4:$AD$57,8,0))</f>
        <v>0</v>
      </c>
      <c r="BP70" s="293">
        <f>IF(ISERR(VLOOKUP(VALUE(BP$44),'SE Data'!$A$4:$AD$57,8,0)="TRUE"),0,VLOOKUP(VALUE(BP$44),'SE Data'!$A$4:$AD$57,8,0))</f>
        <v>0</v>
      </c>
      <c r="BQ70" s="293">
        <f>IF(ISERR(VLOOKUP(VALUE(BQ$44),'SE Data'!$A$4:$AD$57,8,0)="TRUE"),0,VLOOKUP(VALUE(BQ$44),'SE Data'!$A$4:$AD$57,8,0))</f>
        <v>0</v>
      </c>
      <c r="BR70" s="293">
        <f>IF(ISERR(VLOOKUP(VALUE(BR$44),'SE Data'!$A$4:$AD$57,8,0)="TRUE"),0,VLOOKUP(VALUE(BR$44),'SE Data'!$A$4:$AD$57,8,0))</f>
        <v>0</v>
      </c>
      <c r="BS70" s="293">
        <f>IF(ISERR(VLOOKUP(VALUE(BS$44),'SE Data'!$A$4:$AD$57,8,0)="TRUE"),0,VLOOKUP(VALUE(BS$44),'SE Data'!$A$4:$AD$57,8,0))</f>
        <v>0</v>
      </c>
      <c r="BT70" s="293">
        <f>IF(ISERR(VLOOKUP(VALUE(BT$44),'SE Data'!$A$4:$AD$57,8,0)="TRUE"),0,VLOOKUP(VALUE(BT$44),'SE Data'!$A$4:$AD$57,8,0))</f>
        <v>0</v>
      </c>
      <c r="BU70" s="293">
        <f>IF(ISERR(VLOOKUP(VALUE(BU$44),'SE Data'!$A$4:$AD$57,8,0)="TRUE"),0,VLOOKUP(VALUE(BU$44),'SE Data'!$A$4:$AD$57,8,0))</f>
        <v>0</v>
      </c>
      <c r="BV70" s="293">
        <f>IF(ISERR(VLOOKUP(VALUE(BV$44),'SE Data'!$A$4:$AD$57,8,0)="TRUE"),0,VLOOKUP(VALUE(BV$44),'SE Data'!$A$4:$AD$57,8,0))</f>
        <v>0</v>
      </c>
      <c r="BW70" s="293">
        <f>IF(ISERR(VLOOKUP(VALUE(BW$44),'SE Data'!$A$4:$AD$57,8,0)="TRUE"),0,VLOOKUP(VALUE(BW$44),'SE Data'!$A$4:$AD$57,8,0))</f>
        <v>0</v>
      </c>
      <c r="BX70" s="293">
        <f>IF(ISERR(VLOOKUP(VALUE(BX$44),'SE Data'!$A$4:$AD$57,8,0)="TRUE"),0,VLOOKUP(VALUE(BX$44),'SE Data'!$A$4:$AD$57,8,0))</f>
        <v>0</v>
      </c>
      <c r="BY70" s="293">
        <f>IF(ISERR(VLOOKUP(VALUE(BY$44),'SE Data'!$A$4:$AD$57,8,0)="TRUE"),0,VLOOKUP(VALUE(BY$44),'SE Data'!$A$4:$AD$57,8,0))</f>
        <v>331.77</v>
      </c>
      <c r="BZ70" s="293">
        <f>IF(ISERR(VLOOKUP(VALUE(BZ$44),'SE Data'!$A$4:$AD$57,8,0)="TRUE"),0,VLOOKUP(VALUE(BZ$44),'SE Data'!$A$4:$AD$57,8,0))</f>
        <v>0</v>
      </c>
      <c r="CA70" s="293">
        <f>IF(ISERR(VLOOKUP(VALUE(CA$44),'SE Data'!$A$4:$AD$57,8,0)="TRUE"),0,VLOOKUP(VALUE(CA$44),'SE Data'!$A$4:$AD$57,8,0))</f>
        <v>0</v>
      </c>
      <c r="CB70" s="293">
        <f>IF(ISERR(VLOOKUP(VALUE(CB$44),'SE Data'!$A$4:$AD$57,8,0)="TRUE"),0,VLOOKUP(VALUE(CB$44),'SE Data'!$A$4:$AD$57,8,0))</f>
        <v>0</v>
      </c>
      <c r="CC70" s="293">
        <f>IF(ISERR(VLOOKUP(VALUE(CC$44),'SE Data'!$A$4:$AD$57,8,0)="TRUE"),0,VLOOKUP(VALUE(CC$44),'SE Data'!$A$4:$AD$57,8,0))</f>
        <v>0</v>
      </c>
      <c r="CD70" s="293">
        <f>IF(ISERR(VLOOKUP(VALUE(CD$44),'SE Data'!$A$4:$AD$57,8,0)="TRUE"),0,VLOOKUP(VALUE(CD$44),'SE Data'!$A$4:$AD$57,8,0))</f>
        <v>0</v>
      </c>
      <c r="CE70" s="195">
        <f t="shared" si="0"/>
        <v>725620.06000000017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5247745.7302500019</v>
      </c>
      <c r="F71" s="195">
        <f t="shared" si="5"/>
        <v>0</v>
      </c>
      <c r="G71" s="195">
        <f t="shared" si="5"/>
        <v>11978.464750000001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2055503.9400000002</v>
      </c>
      <c r="P71" s="195">
        <f t="shared" si="5"/>
        <v>7162807.1215000013</v>
      </c>
      <c r="Q71" s="195">
        <f t="shared" si="5"/>
        <v>1532860.09</v>
      </c>
      <c r="R71" s="195">
        <f t="shared" si="5"/>
        <v>278029.60999999993</v>
      </c>
      <c r="S71" s="195">
        <f t="shared" si="5"/>
        <v>431682.87544525001</v>
      </c>
      <c r="T71" s="195">
        <f t="shared" si="5"/>
        <v>72241.908500000005</v>
      </c>
      <c r="U71" s="195">
        <f t="shared" si="5"/>
        <v>2031263.5699999998</v>
      </c>
      <c r="V71" s="195">
        <f t="shared" si="5"/>
        <v>0</v>
      </c>
      <c r="W71" s="195">
        <f t="shared" si="5"/>
        <v>586559.12000000011</v>
      </c>
      <c r="X71" s="195">
        <f t="shared" si="5"/>
        <v>790098.48</v>
      </c>
      <c r="Y71" s="195">
        <f t="shared" si="5"/>
        <v>1897392.6099999999</v>
      </c>
      <c r="Z71" s="195">
        <f t="shared" si="5"/>
        <v>0</v>
      </c>
      <c r="AA71" s="195">
        <f t="shared" si="5"/>
        <v>288605.42</v>
      </c>
      <c r="AB71" s="195">
        <f t="shared" si="5"/>
        <v>1990191.68</v>
      </c>
      <c r="AC71" s="195">
        <f t="shared" si="5"/>
        <v>691589.66999999993</v>
      </c>
      <c r="AD71" s="195">
        <f t="shared" si="5"/>
        <v>0</v>
      </c>
      <c r="AE71" s="195">
        <f t="shared" si="5"/>
        <v>133237.20999999996</v>
      </c>
      <c r="AF71" s="195">
        <f t="shared" si="5"/>
        <v>0</v>
      </c>
      <c r="AG71" s="195">
        <f t="shared" si="5"/>
        <v>3609521.5616000001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18657135.259999998</v>
      </c>
      <c r="AK71" s="195">
        <f t="shared" si="6"/>
        <v>66540.460000000006</v>
      </c>
      <c r="AL71" s="195">
        <f t="shared" si="6"/>
        <v>21467.82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230421.08142</v>
      </c>
      <c r="AW71" s="195">
        <f t="shared" si="6"/>
        <v>0</v>
      </c>
      <c r="AX71" s="195">
        <f t="shared" si="6"/>
        <v>19488.455999999998</v>
      </c>
      <c r="AY71" s="195">
        <f t="shared" si="6"/>
        <v>1047690.1399999999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2588641.3619999993</v>
      </c>
      <c r="BF71" s="195">
        <f t="shared" si="6"/>
        <v>949029.59000000008</v>
      </c>
      <c r="BG71" s="195">
        <f t="shared" si="6"/>
        <v>115061.53825</v>
      </c>
      <c r="BH71" s="195">
        <f t="shared" si="6"/>
        <v>701073.65500000003</v>
      </c>
      <c r="BI71" s="195">
        <f t="shared" si="6"/>
        <v>-0.17000000000007276</v>
      </c>
      <c r="BJ71" s="195">
        <f t="shared" si="6"/>
        <v>87264.259249999988</v>
      </c>
      <c r="BK71" s="195">
        <f t="shared" si="6"/>
        <v>557814.17985347495</v>
      </c>
      <c r="BL71" s="195">
        <f t="shared" si="6"/>
        <v>1524112.41738</v>
      </c>
      <c r="BM71" s="195">
        <f t="shared" si="6"/>
        <v>0</v>
      </c>
      <c r="BN71" s="195">
        <f t="shared" si="6"/>
        <v>1517407.834713625</v>
      </c>
      <c r="BO71" s="195">
        <f t="shared" si="6"/>
        <v>63607.626500000006</v>
      </c>
      <c r="BP71" s="195">
        <f t="shared" ref="BP71:CC71" si="7">SUM(BP61:BP69)-BP70</f>
        <v>335208.30449999997</v>
      </c>
      <c r="BQ71" s="195">
        <f t="shared" si="7"/>
        <v>0</v>
      </c>
      <c r="BR71" s="195">
        <f t="shared" si="7"/>
        <v>214280.16275000002</v>
      </c>
      <c r="BS71" s="195">
        <f t="shared" si="7"/>
        <v>17575.629749999996</v>
      </c>
      <c r="BT71" s="195">
        <f t="shared" si="7"/>
        <v>30091.622249999997</v>
      </c>
      <c r="BU71" s="195">
        <f t="shared" si="7"/>
        <v>10482.752750000003</v>
      </c>
      <c r="BV71" s="195">
        <f t="shared" si="7"/>
        <v>808537.98836307495</v>
      </c>
      <c r="BW71" s="195">
        <f t="shared" si="7"/>
        <v>154452.670456375</v>
      </c>
      <c r="BX71" s="195">
        <f t="shared" si="7"/>
        <v>908323.51161359996</v>
      </c>
      <c r="BY71" s="195">
        <f t="shared" si="7"/>
        <v>1508484.8191500003</v>
      </c>
      <c r="BZ71" s="195">
        <f t="shared" si="7"/>
        <v>0</v>
      </c>
      <c r="CA71" s="195">
        <f t="shared" si="7"/>
        <v>93033.581999999995</v>
      </c>
      <c r="CB71" s="195">
        <f t="shared" si="7"/>
        <v>11254.406750000002</v>
      </c>
      <c r="CC71" s="195">
        <f t="shared" si="7"/>
        <v>7174374.3732049</v>
      </c>
      <c r="CD71" s="245">
        <f>CD69-CD70</f>
        <v>1521503</v>
      </c>
      <c r="CE71" s="195">
        <f>SUM(CE61:CE69)-CE70</f>
        <v>69745667.395950302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293">
        <f>IF(ISERR(VLOOKUP(VALUE(C$44),'SE Data'!$A$4:$AD$57,3,0)="TRUE"),0,VLOOKUP(VALUE(C$44),'SE Data'!$A$4:$AD$57,3,0))</f>
        <v>0</v>
      </c>
      <c r="D73" s="293">
        <f>IF(ISERR(VLOOKUP(VALUE(D$44),'SE Data'!$A$4:$AD$57,3,0)="TRUE"),0,VLOOKUP(VALUE(D$44),'SE Data'!$A$4:$AD$57,3,0))</f>
        <v>0</v>
      </c>
      <c r="E73" s="293">
        <f>IF(ISERR(VLOOKUP(VALUE(E$44),'SE Data'!$A$4:$AD$57,3,0)="TRUE"),0,VLOOKUP(VALUE(E$44),'SE Data'!$A$4:$AD$57,3,0))</f>
        <v>16994767.060000002</v>
      </c>
      <c r="F73" s="293">
        <f>IF(ISERR(VLOOKUP(VALUE(F$44),'SE Data'!$A$4:$AD$57,3,0)="TRUE"),0,VLOOKUP(VALUE(F$44),'SE Data'!$A$4:$AD$57,3,0))</f>
        <v>0</v>
      </c>
      <c r="G73" s="293">
        <f>IF(ISERR(VLOOKUP(VALUE(G$44),'SE Data'!$A$4:$AD$57,3,0)="TRUE"),0,VLOOKUP(VALUE(G$44),'SE Data'!$A$4:$AD$57,3,0))</f>
        <v>0</v>
      </c>
      <c r="H73" s="293">
        <f>IF(ISERR(VLOOKUP(VALUE(H$44),'SE Data'!$A$4:$AD$57,3,0)="TRUE"),0,VLOOKUP(VALUE(H$44),'SE Data'!$A$4:$AD$57,3,0))</f>
        <v>0</v>
      </c>
      <c r="I73" s="293">
        <f>IF(ISERR(VLOOKUP(VALUE(I$44),'SE Data'!$A$4:$AD$57,3,0)="TRUE"),0,VLOOKUP(VALUE(I$44),'SE Data'!$A$4:$AD$57,3,0))</f>
        <v>0</v>
      </c>
      <c r="J73" s="293">
        <f>IF(ISERR(VLOOKUP(VALUE(J$44),'SE Data'!$A$4:$AD$57,3,0)="TRUE"),0,VLOOKUP(VALUE(J$44),'SE Data'!$A$4:$AD$57,3,0))</f>
        <v>0</v>
      </c>
      <c r="K73" s="293">
        <f>IF(ISERR(VLOOKUP(VALUE(K$44),'SE Data'!$A$4:$AD$57,3,0)="TRUE"),0,VLOOKUP(VALUE(K$44),'SE Data'!$A$4:$AD$57,3,0))</f>
        <v>0</v>
      </c>
      <c r="L73" s="293">
        <f>IF(ISERR(VLOOKUP(VALUE(L$44),'SE Data'!$A$4:$AD$57,3,0)="TRUE"),0,VLOOKUP(VALUE(L$44),'SE Data'!$A$4:$AD$57,3,0))</f>
        <v>0</v>
      </c>
      <c r="M73" s="293">
        <f>IF(ISERR(VLOOKUP(VALUE(M$44),'SE Data'!$A$4:$AD$57,3,0)="TRUE"),0,VLOOKUP(VALUE(M$44),'SE Data'!$A$4:$AD$57,3,0))</f>
        <v>0</v>
      </c>
      <c r="N73" s="293">
        <f>IF(ISERR(VLOOKUP(VALUE(N$44),'SE Data'!$A$4:$AD$57,3,0)="TRUE"),0,VLOOKUP(VALUE(N$44),'SE Data'!$A$4:$AD$57,3,0))</f>
        <v>0</v>
      </c>
      <c r="O73" s="293">
        <f>IF(ISERR(VLOOKUP(VALUE(O$44),'SE Data'!$A$4:$AD$57,3,0)="TRUE"),0,VLOOKUP(VALUE(O$44),'SE Data'!$A$4:$AD$57,3,0))</f>
        <v>7312352.2300000004</v>
      </c>
      <c r="P73" s="293">
        <f>IF(ISERR(VLOOKUP(VALUE(P$44),'SE Data'!$A$4:$AD$57,3,0)="TRUE"),0,VLOOKUP(VALUE(P$44),'SE Data'!$A$4:$AD$57,3,0))</f>
        <v>15708190.959999997</v>
      </c>
      <c r="Q73" s="293">
        <f>IF(ISERR(VLOOKUP(VALUE(Q$44),'SE Data'!$A$4:$AD$57,3,0)="TRUE"),0,VLOOKUP(VALUE(Q$44),'SE Data'!$A$4:$AD$57,3,0))</f>
        <v>1200513.04</v>
      </c>
      <c r="R73" s="293">
        <f>IF(ISERR(VLOOKUP(VALUE(R$44),'SE Data'!$A$4:$AD$57,3,0)="TRUE"),0,VLOOKUP(VALUE(R$44),'SE Data'!$A$4:$AD$57,3,0))</f>
        <v>1475042.26</v>
      </c>
      <c r="S73" s="293">
        <f>IF(ISERR(VLOOKUP(VALUE(S$44),'SE Data'!$A$4:$AD$57,3,0)="TRUE"),0,VLOOKUP(VALUE(S$44),'SE Data'!$A$4:$AD$57,3,0))</f>
        <v>0</v>
      </c>
      <c r="T73" s="293">
        <f>IF(ISERR(VLOOKUP(VALUE(T$44),'SE Data'!$A$4:$AD$57,3,0)="TRUE"),0,VLOOKUP(VALUE(T$44),'SE Data'!$A$4:$AD$57,3,0))</f>
        <v>396494.5</v>
      </c>
      <c r="U73" s="293">
        <f>IF(ISERR(VLOOKUP(VALUE(U$44),'SE Data'!$A$4:$AD$57,3,0)="TRUE"),0,VLOOKUP(VALUE(U$44),'SE Data'!$A$4:$AD$57,3,0))</f>
        <v>3759650.0199999996</v>
      </c>
      <c r="V73" s="293">
        <f>IF(ISERR(VLOOKUP(VALUE(V$44),'SE Data'!$A$4:$AD$57,3,0)="TRUE"),0,VLOOKUP(VALUE(V$44),'SE Data'!$A$4:$AD$57,3,0))</f>
        <v>0</v>
      </c>
      <c r="W73" s="293">
        <f>IF(ISERR(VLOOKUP(VALUE(W$44),'SE Data'!$A$4:$AD$57,3,0)="TRUE"),0,VLOOKUP(VALUE(W$44),'SE Data'!$A$4:$AD$57,3,0))</f>
        <v>213265.9</v>
      </c>
      <c r="X73" s="293">
        <f>IF(ISERR(VLOOKUP(VALUE(X$44),'SE Data'!$A$4:$AD$57,3,0)="TRUE"),0,VLOOKUP(VALUE(X$44),'SE Data'!$A$4:$AD$57,3,0))</f>
        <v>1226179.54</v>
      </c>
      <c r="Y73" s="293">
        <v>656273.42000000004</v>
      </c>
      <c r="Z73" s="293"/>
      <c r="AA73" s="293">
        <f>IF(ISERR(VLOOKUP(VALUE(AA$44),'SE Data'!$A$4:$AD$57,3,0)="TRUE"),0,VLOOKUP(VALUE(AA$44),'SE Data'!$A$4:$AD$57,3,0))</f>
        <v>56820.73</v>
      </c>
      <c r="AB73" s="293">
        <f>IF(ISERR(VLOOKUP(VALUE(AB$44),'SE Data'!$A$4:$AD$57,3,0)="TRUE"),0,VLOOKUP(VALUE(AB$44),'SE Data'!$A$4:$AD$57,3,0))</f>
        <v>8885593.6999999993</v>
      </c>
      <c r="AC73" s="293">
        <f>IF(ISERR(VLOOKUP(VALUE(AC$44),'SE Data'!$A$4:$AD$57,3,0)="TRUE"),0,VLOOKUP(VALUE(AC$44),'SE Data'!$A$4:$AD$57,3,0))</f>
        <v>2241837.59</v>
      </c>
      <c r="AD73" s="293">
        <f>IF(ISERR(VLOOKUP(VALUE(AD$44),'SE Data'!$A$4:$AD$57,3,0)="TRUE"),0,VLOOKUP(VALUE(AD$44),'SE Data'!$A$4:$AD$57,3,0))</f>
        <v>0</v>
      </c>
      <c r="AE73" s="293">
        <f>IF(ISERR(VLOOKUP(VALUE(AE$44),'SE Data'!$A$4:$AD$57,3,0)="TRUE"),0,VLOOKUP(VALUE(AE$44),'SE Data'!$A$4:$AD$57,3,0))</f>
        <v>369191.35</v>
      </c>
      <c r="AF73" s="293">
        <f>IF(ISERR(VLOOKUP(VALUE(AF$44),'SE Data'!$A$4:$AD$57,3,0)="TRUE"),0,VLOOKUP(VALUE(AF$44),'SE Data'!$A$4:$AD$57,3,0))</f>
        <v>0</v>
      </c>
      <c r="AG73" s="293">
        <f>IF(ISERR(VLOOKUP(VALUE(AG$44),'SE Data'!$A$4:$AD$57,3,0)="TRUE"),0,VLOOKUP(VALUE(AG$44),'SE Data'!$A$4:$AD$57,3,0))</f>
        <v>1976398.42</v>
      </c>
      <c r="AH73" s="293">
        <f>IF(ISERR(VLOOKUP(VALUE(AH$44),'SE Data'!$A$4:$AD$57,3,0)="TRUE"),0,VLOOKUP(VALUE(AH$44),'SE Data'!$A$4:$AD$57,3,0))</f>
        <v>0</v>
      </c>
      <c r="AI73" s="293">
        <f>IF(ISERR(VLOOKUP(VALUE(AI$44),'SE Data'!$A$4:$AD$57,3,0)="TRUE"),0,VLOOKUP(VALUE(AI$44),'SE Data'!$A$4:$AD$57,3,0))</f>
        <v>0</v>
      </c>
      <c r="AJ73" s="293">
        <f>IF(ISERR(VLOOKUP(VALUE(AJ$44),'SE Data'!$A$4:$AD$57,3,0)="TRUE"),0,VLOOKUP(VALUE(AJ$44),'SE Data'!$A$4:$AD$57,3,0))</f>
        <v>0</v>
      </c>
      <c r="AK73" s="293">
        <f>IF(ISERR(VLOOKUP(VALUE(AK$44),'SE Data'!$A$4:$AD$57,3,0)="TRUE"),0,VLOOKUP(VALUE(AK$44),'SE Data'!$A$4:$AD$57,3,0))</f>
        <v>250755.29</v>
      </c>
      <c r="AL73" s="293">
        <f>IF(ISERR(VLOOKUP(VALUE(AL$44),'SE Data'!$A$4:$AD$57,3,0)="TRUE"),0,VLOOKUP(VALUE(AL$44),'SE Data'!$A$4:$AD$57,3,0))</f>
        <v>59859.149999999994</v>
      </c>
      <c r="AM73" s="293">
        <f>IF(ISERR(VLOOKUP(VALUE(AM$44),'SE Data'!$A$4:$AD$57,3,0)="TRUE"),0,VLOOKUP(VALUE(AM$44),'SE Data'!$A$4:$AD$57,3,0))</f>
        <v>0</v>
      </c>
      <c r="AN73" s="293">
        <f>IF(ISERR(VLOOKUP(VALUE(AN$44),'SE Data'!$A$4:$AD$57,3,0)="TRUE"),0,VLOOKUP(VALUE(AN$44),'SE Data'!$A$4:$AD$57,3,0))</f>
        <v>0</v>
      </c>
      <c r="AO73" s="293">
        <f>IF(ISERR(VLOOKUP(VALUE(AO$44),'SE Data'!$A$4:$AD$57,3,0)="TRUE"),0,VLOOKUP(VALUE(AO$44),'SE Data'!$A$4:$AD$57,3,0))</f>
        <v>0</v>
      </c>
      <c r="AP73" s="293">
        <f>IF(ISERR(VLOOKUP(VALUE(AP$44),'SE Data'!$A$4:$AD$57,3,0)="TRUE"),0,VLOOKUP(VALUE(AP$44),'SE Data'!$A$4:$AD$57,3,0))</f>
        <v>0</v>
      </c>
      <c r="AQ73" s="293">
        <f>IF(ISERR(VLOOKUP(VALUE(AQ$44),'SE Data'!$A$4:$AD$57,3,0)="TRUE"),0,VLOOKUP(VALUE(AQ$44),'SE Data'!$A$4:$AD$57,3,0))</f>
        <v>0</v>
      </c>
      <c r="AR73" s="293">
        <f>IF(ISERR(VLOOKUP(VALUE(AR$44),'SE Data'!$A$4:$AD$57,3,0)="TRUE"),0,VLOOKUP(VALUE(AR$44),'SE Data'!$A$4:$AD$57,3,0))</f>
        <v>0</v>
      </c>
      <c r="AS73" s="293">
        <f>IF(ISERR(VLOOKUP(VALUE(AS$44),'SE Data'!$A$4:$AD$57,3,0)="TRUE"),0,VLOOKUP(VALUE(AS$44),'SE Data'!$A$4:$AD$57,3,0))</f>
        <v>0</v>
      </c>
      <c r="AT73" s="293">
        <f>IF(ISERR(VLOOKUP(VALUE(AT$44),'SE Data'!$A$4:$AD$57,3,0)="TRUE"),0,VLOOKUP(VALUE(AT$44),'SE Data'!$A$4:$AD$57,3,0))</f>
        <v>0</v>
      </c>
      <c r="AU73" s="293">
        <f>IF(ISERR(VLOOKUP(VALUE(AU$44),'SE Data'!$A$4:$AD$57,3,0)="TRUE"),0,VLOOKUP(VALUE(AU$44),'SE Data'!$A$4:$AD$57,3,0))</f>
        <v>0</v>
      </c>
      <c r="AV73" s="293">
        <f>IF(ISERR(VLOOKUP(VALUE(AV$44),'SE Data'!$A$4:$AD$57,3,0)="TRUE"),0,VLOOKUP(VALUE(AV$44),'SE Data'!$A$4:$AD$57,3,0))-46604</f>
        <v>-46604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62736581.159999989</v>
      </c>
      <c r="CF73" s="252"/>
    </row>
    <row r="74" spans="1:84" ht="12.6" customHeight="1" x14ac:dyDescent="0.25">
      <c r="A74" s="171" t="s">
        <v>246</v>
      </c>
      <c r="B74" s="175"/>
      <c r="C74" s="293">
        <f>IF(ISERR(VLOOKUP(VALUE(C$44),'SE Data'!$A$4:$AD$57,5,0)="TRUE"),0,VLOOKUP(VALUE(C$44),'SE Data'!$A$4:$AD$57,5,0))</f>
        <v>0</v>
      </c>
      <c r="D74" s="293">
        <f>IF(ISERR(VLOOKUP(VALUE(D$44),'SE Data'!$A$4:$AD$57,5,0)="TRUE"),0,VLOOKUP(VALUE(D$44),'SE Data'!$A$4:$AD$57,5,0))</f>
        <v>0</v>
      </c>
      <c r="E74" s="293">
        <f>IF(ISERR(VLOOKUP(VALUE(E$44),'SE Data'!$A$4:$AD$57,5,0)="TRUE"),0,VLOOKUP(VALUE(E$44),'SE Data'!$A$4:$AD$57,5,0))</f>
        <v>3435680.12</v>
      </c>
      <c r="F74" s="293">
        <f>IF(ISERR(VLOOKUP(VALUE(F$44),'SE Data'!$A$4:$AD$57,5,0)="TRUE"),0,VLOOKUP(VALUE(F$44),'SE Data'!$A$4:$AD$57,5,0))</f>
        <v>0</v>
      </c>
      <c r="G74" s="293">
        <f>IF(ISERR(VLOOKUP(VALUE(G$44),'SE Data'!$A$4:$AD$57,5,0)="TRUE"),0,VLOOKUP(VALUE(G$44),'SE Data'!$A$4:$AD$57,5,0))</f>
        <v>0</v>
      </c>
      <c r="H74" s="293">
        <f>IF(ISERR(VLOOKUP(VALUE(H$44),'SE Data'!$A$4:$AD$57,5,0)="TRUE"),0,VLOOKUP(VALUE(H$44),'SE Data'!$A$4:$AD$57,5,0))</f>
        <v>0</v>
      </c>
      <c r="I74" s="293">
        <f>IF(ISERR(VLOOKUP(VALUE(I$44),'SE Data'!$A$4:$AD$57,5,0)="TRUE"),0,VLOOKUP(VALUE(I$44),'SE Data'!$A$4:$AD$57,5,0))</f>
        <v>0</v>
      </c>
      <c r="J74" s="293">
        <f>IF(ISERR(VLOOKUP(VALUE(J$44),'SE Data'!$A$4:$AD$57,5,0)="TRUE"),0,VLOOKUP(VALUE(J$44),'SE Data'!$A$4:$AD$57,5,0))</f>
        <v>0</v>
      </c>
      <c r="K74" s="293">
        <f>IF(ISERR(VLOOKUP(VALUE(K$44),'SE Data'!$A$4:$AD$57,5,0)="TRUE"),0,VLOOKUP(VALUE(K$44),'SE Data'!$A$4:$AD$57,5,0))</f>
        <v>0</v>
      </c>
      <c r="L74" s="293">
        <f>IF(ISERR(VLOOKUP(VALUE(L$44),'SE Data'!$A$4:$AD$57,5,0)="TRUE"),0,VLOOKUP(VALUE(L$44),'SE Data'!$A$4:$AD$57,5,0))</f>
        <v>0</v>
      </c>
      <c r="M74" s="293">
        <f>IF(ISERR(VLOOKUP(VALUE(M$44),'SE Data'!$A$4:$AD$57,5,0)="TRUE"),0,VLOOKUP(VALUE(M$44),'SE Data'!$A$4:$AD$57,5,0))</f>
        <v>0</v>
      </c>
      <c r="N74" s="293">
        <f>IF(ISERR(VLOOKUP(VALUE(N$44),'SE Data'!$A$4:$AD$57,5,0)="TRUE"),0,VLOOKUP(VALUE(N$44),'SE Data'!$A$4:$AD$57,5,0))</f>
        <v>0</v>
      </c>
      <c r="O74" s="293">
        <f>IF(ISERR(VLOOKUP(VALUE(O$44),'SE Data'!$A$4:$AD$57,5,0)="TRUE"),0,VLOOKUP(VALUE(O$44),'SE Data'!$A$4:$AD$57,5,0))</f>
        <v>443953.79000000004</v>
      </c>
      <c r="P74" s="293">
        <f>IF(ISERR(VLOOKUP(VALUE(P$44),'SE Data'!$A$4:$AD$57,5,0)="TRUE"),0,VLOOKUP(VALUE(P$44),'SE Data'!$A$4:$AD$57,5,0))</f>
        <v>46637505.379999995</v>
      </c>
      <c r="Q74" s="293">
        <f>IF(ISERR(VLOOKUP(VALUE(Q$44),'SE Data'!$A$4:$AD$57,5,0)="TRUE"),0,VLOOKUP(VALUE(Q$44),'SE Data'!$A$4:$AD$57,5,0))</f>
        <v>5481051.959999999</v>
      </c>
      <c r="R74" s="293">
        <f>IF(ISERR(VLOOKUP(VALUE(R$44),'SE Data'!$A$4:$AD$57,5,0)="TRUE"),0,VLOOKUP(VALUE(R$44),'SE Data'!$A$4:$AD$57,5,0))</f>
        <v>3812329.52</v>
      </c>
      <c r="S74" s="293">
        <f>IF(ISERR(VLOOKUP(VALUE(S$44),'SE Data'!$A$4:$AD$57,5,0)="TRUE"),0,VLOOKUP(VALUE(S$44),'SE Data'!$A$4:$AD$57,5,0))</f>
        <v>0</v>
      </c>
      <c r="T74" s="293">
        <f>IF(ISERR(VLOOKUP(VALUE(T$44),'SE Data'!$A$4:$AD$57,5,0)="TRUE"),0,VLOOKUP(VALUE(T$44),'SE Data'!$A$4:$AD$57,5,0))</f>
        <v>34394.660000000003</v>
      </c>
      <c r="U74" s="293">
        <f>IF(ISERR(VLOOKUP(VALUE(U$44),'SE Data'!$A$4:$AD$57,5,0)="TRUE"),0,VLOOKUP(VALUE(U$44),'SE Data'!$A$4:$AD$57,5,0))</f>
        <v>8633801.7400000002</v>
      </c>
      <c r="V74" s="293">
        <f>IF(ISERR(VLOOKUP(VALUE(V$44),'SE Data'!$A$4:$AD$57,5,0)="TRUE"),0,VLOOKUP(VALUE(V$44),'SE Data'!$A$4:$AD$57,5,0))</f>
        <v>0</v>
      </c>
      <c r="W74" s="293">
        <f>IF(ISERR(VLOOKUP(VALUE(W$44),'SE Data'!$A$4:$AD$57,5,0)="TRUE"),0,VLOOKUP(VALUE(W$44),'SE Data'!$A$4:$AD$57,5,0))</f>
        <v>2704707</v>
      </c>
      <c r="X74" s="293">
        <f>IF(ISERR(VLOOKUP(VALUE(X$44),'SE Data'!$A$4:$AD$57,5,0)="TRUE"),0,VLOOKUP(VALUE(X$44),'SE Data'!$A$4:$AD$57,5,0))</f>
        <v>10823852.74</v>
      </c>
      <c r="Y74" s="293">
        <v>6609568.4500000002</v>
      </c>
      <c r="Z74" s="293"/>
      <c r="AA74" s="293">
        <f>IF(ISERR(VLOOKUP(VALUE(AA$44),'SE Data'!$A$4:$AD$57,5,0)="TRUE"),0,VLOOKUP(VALUE(AA$44),'SE Data'!$A$4:$AD$57,5,0))</f>
        <v>820917.84000000008</v>
      </c>
      <c r="AB74" s="293">
        <f>IF(ISERR(VLOOKUP(VALUE(AB$44),'SE Data'!$A$4:$AD$57,5,0)="TRUE"),0,VLOOKUP(VALUE(AB$44),'SE Data'!$A$4:$AD$57,5,0))</f>
        <v>18910496.670000002</v>
      </c>
      <c r="AC74" s="293">
        <f>IF(ISERR(VLOOKUP(VALUE(AC$44),'SE Data'!$A$4:$AD$57,5,0)="TRUE"),0,VLOOKUP(VALUE(AC$44),'SE Data'!$A$4:$AD$57,5,0))</f>
        <v>2342872.6</v>
      </c>
      <c r="AD74" s="293">
        <f>IF(ISERR(VLOOKUP(VALUE(AD$44),'SE Data'!$A$4:$AD$57,5,0)="TRUE"),0,VLOOKUP(VALUE(AD$44),'SE Data'!$A$4:$AD$57,5,0))</f>
        <v>0</v>
      </c>
      <c r="AE74" s="293">
        <f>IF(ISERR(VLOOKUP(VALUE(AE$44),'SE Data'!$A$4:$AD$57,5,0)="TRUE"),0,VLOOKUP(VALUE(AE$44),'SE Data'!$A$4:$AD$57,5,0))</f>
        <v>93148.59</v>
      </c>
      <c r="AF74" s="293">
        <f>IF(ISERR(VLOOKUP(VALUE(AF$44),'SE Data'!$A$4:$AD$57,5,0)="TRUE"),0,VLOOKUP(VALUE(AF$44),'SE Data'!$A$4:$AD$57,5,0))</f>
        <v>0</v>
      </c>
      <c r="AG74" s="293">
        <f>IF(ISERR(VLOOKUP(VALUE(AG$44),'SE Data'!$A$4:$AD$57,5,0)="TRUE"),0,VLOOKUP(VALUE(AG$44),'SE Data'!$A$4:$AD$57,5,0))</f>
        <v>45075550.980000004</v>
      </c>
      <c r="AH74" s="293">
        <f>IF(ISERR(VLOOKUP(VALUE(AH$44),'SE Data'!$A$4:$AD$57,5,0)="TRUE"),0,VLOOKUP(VALUE(AH$44),'SE Data'!$A$4:$AD$57,5,0))</f>
        <v>0</v>
      </c>
      <c r="AI74" s="293">
        <f>IF(ISERR(VLOOKUP(VALUE(AI$44),'SE Data'!$A$4:$AD$57,5,0)="TRUE"),0,VLOOKUP(VALUE(AI$44),'SE Data'!$A$4:$AD$57,5,0))</f>
        <v>0</v>
      </c>
      <c r="AJ74" s="293">
        <f>IF(ISERR(VLOOKUP(VALUE(AJ$44),'SE Data'!$A$4:$AD$57,5,0)="TRUE"),0,VLOOKUP(VALUE(AJ$44),'SE Data'!$A$4:$AD$57,5,0))</f>
        <v>29749292.790000003</v>
      </c>
      <c r="AK74" s="293">
        <f>IF(ISERR(VLOOKUP(VALUE(AK$44),'SE Data'!$A$4:$AD$57,5,0)="TRUE"),0,VLOOKUP(VALUE(AK$44),'SE Data'!$A$4:$AD$57,5,0))</f>
        <v>41796.25</v>
      </c>
      <c r="AL74" s="293">
        <f>IF(ISERR(VLOOKUP(VALUE(AL$44),'SE Data'!$A$4:$AD$57,5,0)="TRUE"),0,VLOOKUP(VALUE(AL$44),'SE Data'!$A$4:$AD$57,5,0))</f>
        <v>8962.5999999999985</v>
      </c>
      <c r="AM74" s="293">
        <f>IF(ISERR(VLOOKUP(VALUE(AM$44),'SE Data'!$A$4:$AD$57,5,0)="TRUE"),0,VLOOKUP(VALUE(AM$44),'SE Data'!$A$4:$AD$57,5,0))</f>
        <v>0</v>
      </c>
      <c r="AN74" s="293">
        <f>IF(ISERR(VLOOKUP(VALUE(AN$44),'SE Data'!$A$4:$AD$57,5,0)="TRUE"),0,VLOOKUP(VALUE(AN$44),'SE Data'!$A$4:$AD$57,5,0))</f>
        <v>0</v>
      </c>
      <c r="AO74" s="293">
        <f>IF(ISERR(VLOOKUP(VALUE(AO$44),'SE Data'!$A$4:$AD$57,5,0)="TRUE"),0,VLOOKUP(VALUE(AO$44),'SE Data'!$A$4:$AD$57,5,0))</f>
        <v>0</v>
      </c>
      <c r="AP74" s="293">
        <f>IF(ISERR(VLOOKUP(VALUE(AP$44),'SE Data'!$A$4:$AD$57,5,0)="TRUE"),0,VLOOKUP(VALUE(AP$44),'SE Data'!$A$4:$AD$57,5,0))</f>
        <v>0</v>
      </c>
      <c r="AQ74" s="293">
        <f>IF(ISERR(VLOOKUP(VALUE(AQ$44),'SE Data'!$A$4:$AD$57,5,0)="TRUE"),0,VLOOKUP(VALUE(AQ$44),'SE Data'!$A$4:$AD$57,5,0))</f>
        <v>0</v>
      </c>
      <c r="AR74" s="293">
        <f>IF(ISERR(VLOOKUP(VALUE(AR$44),'SE Data'!$A$4:$AD$57,5,0)="TRUE"),0,VLOOKUP(VALUE(AR$44),'SE Data'!$A$4:$AD$57,5,0))</f>
        <v>0</v>
      </c>
      <c r="AS74" s="293">
        <f>IF(ISERR(VLOOKUP(VALUE(AS$44),'SE Data'!$A$4:$AD$57,5,0)="TRUE"),0,VLOOKUP(VALUE(AS$44),'SE Data'!$A$4:$AD$57,5,0))</f>
        <v>0</v>
      </c>
      <c r="AT74" s="293">
        <f>IF(ISERR(VLOOKUP(VALUE(AT$44),'SE Data'!$A$4:$AD$57,5,0)="TRUE"),0,VLOOKUP(VALUE(AT$44),'SE Data'!$A$4:$AD$57,5,0))</f>
        <v>0</v>
      </c>
      <c r="AU74" s="293">
        <f>IF(ISERR(VLOOKUP(VALUE(AU$44),'SE Data'!$A$4:$AD$57,5,0)="TRUE"),0,VLOOKUP(VALUE(AU$44),'SE Data'!$A$4:$AD$57,5,0))</f>
        <v>0</v>
      </c>
      <c r="AV74" s="293">
        <f>IF(ISERR(VLOOKUP(VALUE(AV$44),'SE Data'!$A$4:$AD$57,5,0)="TRUE"),0,VLOOKUP(VALUE(AV$44),'SE Data'!$A$4:$AD$57,5,0))-149117</f>
        <v>-149117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185510766.67999998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20430447.180000003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7756306.0200000005</v>
      </c>
      <c r="P75" s="195">
        <f t="shared" si="9"/>
        <v>62345696.339999989</v>
      </c>
      <c r="Q75" s="195">
        <f t="shared" si="9"/>
        <v>6681564.9999999991</v>
      </c>
      <c r="R75" s="195">
        <f t="shared" si="9"/>
        <v>5287371.78</v>
      </c>
      <c r="S75" s="195">
        <f t="shared" si="9"/>
        <v>0</v>
      </c>
      <c r="T75" s="195">
        <f t="shared" si="9"/>
        <v>430889.16000000003</v>
      </c>
      <c r="U75" s="195">
        <f t="shared" si="9"/>
        <v>12393451.76</v>
      </c>
      <c r="V75" s="195">
        <f t="shared" si="9"/>
        <v>0</v>
      </c>
      <c r="W75" s="195">
        <f t="shared" si="9"/>
        <v>2917972.9</v>
      </c>
      <c r="X75" s="195">
        <f t="shared" si="9"/>
        <v>12050032.280000001</v>
      </c>
      <c r="Y75" s="195">
        <f t="shared" si="9"/>
        <v>7265841.8700000001</v>
      </c>
      <c r="Z75" s="195">
        <f t="shared" si="9"/>
        <v>0</v>
      </c>
      <c r="AA75" s="195">
        <f t="shared" si="9"/>
        <v>877738.57000000007</v>
      </c>
      <c r="AB75" s="195">
        <f t="shared" si="9"/>
        <v>27796090.370000001</v>
      </c>
      <c r="AC75" s="195">
        <f t="shared" si="9"/>
        <v>4584710.1899999995</v>
      </c>
      <c r="AD75" s="195">
        <f t="shared" si="9"/>
        <v>0</v>
      </c>
      <c r="AE75" s="195">
        <f t="shared" si="9"/>
        <v>462339.93999999994</v>
      </c>
      <c r="AF75" s="195">
        <f t="shared" si="9"/>
        <v>0</v>
      </c>
      <c r="AG75" s="195">
        <f t="shared" si="9"/>
        <v>47051949.400000006</v>
      </c>
      <c r="AH75" s="195">
        <f t="shared" si="9"/>
        <v>0</v>
      </c>
      <c r="AI75" s="195">
        <f t="shared" si="9"/>
        <v>0</v>
      </c>
      <c r="AJ75" s="195">
        <f t="shared" si="9"/>
        <v>29749292.790000003</v>
      </c>
      <c r="AK75" s="195">
        <f t="shared" si="9"/>
        <v>292551.54000000004</v>
      </c>
      <c r="AL75" s="195">
        <f t="shared" si="9"/>
        <v>68821.75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-195721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248247347.83999997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303">
        <v>15865</v>
      </c>
      <c r="F76" s="185"/>
      <c r="G76" s="184"/>
      <c r="H76" s="184"/>
      <c r="I76" s="185"/>
      <c r="J76" s="303"/>
      <c r="K76" s="185"/>
      <c r="L76" s="185"/>
      <c r="M76" s="185"/>
      <c r="N76" s="185"/>
      <c r="O76" s="185">
        <f>192+5802</f>
        <v>5994</v>
      </c>
      <c r="P76" s="185">
        <v>17054</v>
      </c>
      <c r="Q76" s="185">
        <v>1200</v>
      </c>
      <c r="R76" s="185">
        <v>192</v>
      </c>
      <c r="S76" s="185">
        <v>2955</v>
      </c>
      <c r="T76" s="185"/>
      <c r="U76" s="185">
        <v>1626</v>
      </c>
      <c r="V76" s="185"/>
      <c r="W76" s="185">
        <v>720</v>
      </c>
      <c r="X76" s="185">
        <v>576</v>
      </c>
      <c r="Y76" s="185">
        <v>9797</v>
      </c>
      <c r="Z76" s="185"/>
      <c r="AA76" s="185"/>
      <c r="AB76" s="185">
        <f>53+1856</f>
        <v>1909</v>
      </c>
      <c r="AC76" s="185">
        <v>171</v>
      </c>
      <c r="AD76" s="185"/>
      <c r="AE76" s="185">
        <v>192</v>
      </c>
      <c r="AF76" s="185"/>
      <c r="AG76" s="185">
        <v>8332</v>
      </c>
      <c r="AH76" s="185"/>
      <c r="AI76" s="185"/>
      <c r="AJ76" s="303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f>1424+2747</f>
        <v>4171</v>
      </c>
      <c r="AZ76" s="303"/>
      <c r="BA76" s="303"/>
      <c r="BB76" s="185"/>
      <c r="BC76" s="185"/>
      <c r="BD76" s="185"/>
      <c r="BE76" s="185">
        <v>3559</v>
      </c>
      <c r="BF76" s="185">
        <f>192+1263</f>
        <v>1455</v>
      </c>
      <c r="BG76" s="185"/>
      <c r="BH76" s="185"/>
      <c r="BI76" s="303"/>
      <c r="BJ76" s="185"/>
      <c r="BK76" s="185"/>
      <c r="BL76" s="185"/>
      <c r="BM76" s="185"/>
      <c r="BN76" s="185">
        <v>22286</v>
      </c>
      <c r="BO76" s="185"/>
      <c r="BP76" s="185"/>
      <c r="BQ76" s="185"/>
      <c r="BR76" s="185">
        <f>224-224</f>
        <v>0</v>
      </c>
      <c r="BS76" s="185"/>
      <c r="BT76" s="185"/>
      <c r="BU76" s="185"/>
      <c r="BV76" s="185">
        <v>2112</v>
      </c>
      <c r="BW76" s="185"/>
      <c r="BX76" s="185"/>
      <c r="BY76" s="185">
        <v>176</v>
      </c>
      <c r="BZ76" s="185"/>
      <c r="CA76" s="185"/>
      <c r="CB76" s="185"/>
      <c r="CC76" s="185"/>
      <c r="CD76" s="249" t="s">
        <v>221</v>
      </c>
      <c r="CE76" s="195">
        <f t="shared" si="8"/>
        <v>100342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301">
        <v>24945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24945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293">
        <v>5676.67</v>
      </c>
      <c r="F78" s="293"/>
      <c r="G78" s="293"/>
      <c r="H78" s="293"/>
      <c r="I78" s="293"/>
      <c r="J78" s="293"/>
      <c r="K78" s="293"/>
      <c r="L78" s="293"/>
      <c r="M78" s="293"/>
      <c r="N78" s="293"/>
      <c r="O78" s="293">
        <v>2144.7199999999998</v>
      </c>
      <c r="P78" s="293">
        <v>6102.1</v>
      </c>
      <c r="Q78" s="293">
        <v>429.37</v>
      </c>
      <c r="R78" s="293">
        <v>68.7</v>
      </c>
      <c r="S78" s="293">
        <v>1057.33</v>
      </c>
      <c r="T78" s="293"/>
      <c r="U78" s="293">
        <v>581.79999999999995</v>
      </c>
      <c r="V78" s="293"/>
      <c r="W78" s="293">
        <v>257.62</v>
      </c>
      <c r="X78" s="293">
        <v>206.1</v>
      </c>
      <c r="Y78" s="293">
        <v>3505.47</v>
      </c>
      <c r="Z78" s="293"/>
      <c r="AA78" s="293"/>
      <c r="AB78" s="293">
        <v>683.06</v>
      </c>
      <c r="AC78" s="293">
        <v>61.19</v>
      </c>
      <c r="AD78" s="293"/>
      <c r="AE78" s="293">
        <v>68.7</v>
      </c>
      <c r="AF78" s="293"/>
      <c r="AG78" s="293">
        <v>2981.28</v>
      </c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293">
        <v>755.7</v>
      </c>
      <c r="BW78" s="184"/>
      <c r="BX78" s="184"/>
      <c r="BY78" s="293">
        <v>62.97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24642.780000000002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72592.28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19948.490000000002</v>
      </c>
      <c r="P79" s="184">
        <v>52876.05</v>
      </c>
      <c r="Q79" s="184"/>
      <c r="R79" s="184"/>
      <c r="S79" s="184"/>
      <c r="T79" s="184"/>
      <c r="U79" s="184"/>
      <c r="V79" s="184"/>
      <c r="W79" s="184"/>
      <c r="X79" s="184"/>
      <c r="Y79" s="184">
        <v>27417.040000000001</v>
      </c>
      <c r="Z79" s="184"/>
      <c r="AA79" s="184"/>
      <c r="AB79" s="184"/>
      <c r="AC79" s="184"/>
      <c r="AD79" s="184"/>
      <c r="AE79" s="184"/>
      <c r="AF79" s="184"/>
      <c r="AG79" s="184">
        <v>67279.25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240113.11000000002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23.09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10.55</v>
      </c>
      <c r="P80" s="187">
        <v>9.58</v>
      </c>
      <c r="Q80" s="187">
        <v>8.35</v>
      </c>
      <c r="R80" s="187"/>
      <c r="S80" s="187"/>
      <c r="T80" s="187">
        <v>0.08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14.9</v>
      </c>
      <c r="AH80" s="187"/>
      <c r="AI80" s="187"/>
      <c r="AJ80" s="187">
        <v>21.46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88.009999999999991</v>
      </c>
      <c r="CF80" s="255">
        <f>75.01-8.12-0.32-0.02+21.46</f>
        <v>88.010000000000019</v>
      </c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1506</v>
      </c>
      <c r="D111" s="174">
        <v>5143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302">
        <v>357</v>
      </c>
      <c r="D114" s="174">
        <v>524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499+210</f>
        <v>709</v>
      </c>
      <c r="C138" s="189">
        <f>41+223+1</f>
        <v>265</v>
      </c>
      <c r="D138" s="174">
        <f>1506-974</f>
        <v>532</v>
      </c>
      <c r="E138" s="175">
        <f>SUM(B138:D138)</f>
        <v>1506</v>
      </c>
    </row>
    <row r="139" spans="1:6" ht="12.6" customHeight="1" x14ac:dyDescent="0.25">
      <c r="A139" s="173" t="s">
        <v>215</v>
      </c>
      <c r="B139" s="174">
        <f>2004+984</f>
        <v>2988</v>
      </c>
      <c r="C139" s="189">
        <f>141+684+3</f>
        <v>828</v>
      </c>
      <c r="D139" s="174">
        <f>-3816+5143</f>
        <v>1327</v>
      </c>
      <c r="E139" s="175">
        <f>SUM(B139:D139)</f>
        <v>5143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28855193</v>
      </c>
      <c r="C141" s="189">
        <v>11521011</v>
      </c>
      <c r="D141" s="174">
        <f>-40376204+62736581</f>
        <v>22360377</v>
      </c>
      <c r="E141" s="175">
        <f>SUM(B141:D141)</f>
        <v>62736581</v>
      </c>
      <c r="F141" s="199"/>
    </row>
    <row r="142" spans="1:6" ht="12.6" customHeight="1" x14ac:dyDescent="0.25">
      <c r="A142" s="173" t="s">
        <v>246</v>
      </c>
      <c r="B142" s="174">
        <f>56686202+113041+8195560</f>
        <v>64994803</v>
      </c>
      <c r="C142" s="189">
        <f>28949843+114872+5401020</f>
        <v>34465735</v>
      </c>
      <c r="D142" s="174">
        <f>-99460538+155764902+532247+29213617</f>
        <v>86050228</v>
      </c>
      <c r="E142" s="175">
        <f>SUM(B142:D142)</f>
        <v>185510766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302">
        <v>1925686.86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-9852.38+625.61</f>
        <v>-9226.7699999999986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02">
        <f>218576.88-967.31+24989</f>
        <v>242598.57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2187438.18-330400.49+4.44+137739.17-52859.67+21001.03-20909.76+49547.57+966529</f>
        <v>2958089.47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49880.49-39445.06+12091</f>
        <v>22526.43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468913.51+348875.93+495523</f>
        <v>1313312.44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93969.6+123190+57003</f>
        <v>274162.59999999998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6727149.5999999996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981089.38+268560.36+102783.51</f>
        <v>1352433.25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126338.6+98569.11</f>
        <v>224907.71000000002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1577340.96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281585.37+231605.71</f>
        <v>513191.07999999996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72502.63-36729.38</f>
        <v>35773.250000000007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548964.32999999996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29758.09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774534</f>
        <v>774534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804292.09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158075.22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10170.959999999999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168246.18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3268423.02</v>
      </c>
      <c r="C195" s="189"/>
      <c r="D195" s="174"/>
      <c r="E195" s="175">
        <f t="shared" ref="E195:E203" si="10">SUM(B195:C195)-D195</f>
        <v>3268423.02</v>
      </c>
    </row>
    <row r="196" spans="1:8" ht="12.6" customHeight="1" x14ac:dyDescent="0.25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5">
      <c r="A197" s="173" t="s">
        <v>334</v>
      </c>
      <c r="B197" s="174">
        <f>56789921.08+16746</f>
        <v>56806667.079999998</v>
      </c>
      <c r="C197" s="189">
        <f>196179.35+6641.57+108627</f>
        <v>311447.92000000004</v>
      </c>
      <c r="D197" s="174"/>
      <c r="E197" s="175">
        <f t="shared" si="10"/>
        <v>57118115</v>
      </c>
    </row>
    <row r="198" spans="1:8" ht="12.6" customHeight="1" x14ac:dyDescent="0.25">
      <c r="A198" s="173" t="s">
        <v>335</v>
      </c>
      <c r="B198" s="30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f>1813323.04+82158+14754</f>
        <v>1910235.04</v>
      </c>
      <c r="C199" s="189">
        <f>7340</f>
        <v>7340</v>
      </c>
      <c r="D199" s="174"/>
      <c r="E199" s="175">
        <f t="shared" si="10"/>
        <v>1917575.04</v>
      </c>
    </row>
    <row r="200" spans="1:8" ht="12.6" customHeight="1" x14ac:dyDescent="0.25">
      <c r="A200" s="173" t="s">
        <v>337</v>
      </c>
      <c r="B200" s="174">
        <f>31355848.03+4124014</f>
        <v>35479862.030000001</v>
      </c>
      <c r="C200" s="189">
        <f>197116.03+208400.15+189341</f>
        <v>594857.17999999993</v>
      </c>
      <c r="D200" s="174">
        <f>28255.92+16938</f>
        <v>45193.919999999998</v>
      </c>
      <c r="E200" s="175">
        <f t="shared" si="10"/>
        <v>36029525.289999999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f>2059379</f>
        <v>2059379</v>
      </c>
      <c r="C202" s="189">
        <f>266729</f>
        <v>266729</v>
      </c>
      <c r="D202" s="174">
        <v>3295</v>
      </c>
      <c r="E202" s="175">
        <f t="shared" si="10"/>
        <v>2322813</v>
      </c>
    </row>
    <row r="203" spans="1:8" ht="12.6" customHeight="1" x14ac:dyDescent="0.25">
      <c r="A203" s="173" t="s">
        <v>340</v>
      </c>
      <c r="B203" s="174">
        <f>422947.67+364220+25790</f>
        <v>812957.66999999993</v>
      </c>
      <c r="C203" s="189">
        <f>231096.12+1-339214-16357-567028.16</f>
        <v>-691502.04</v>
      </c>
      <c r="D203" s="174"/>
      <c r="E203" s="175">
        <f t="shared" si="10"/>
        <v>121455.62999999989</v>
      </c>
    </row>
    <row r="204" spans="1:8" ht="12.6" customHeight="1" x14ac:dyDescent="0.25">
      <c r="A204" s="173" t="s">
        <v>203</v>
      </c>
      <c r="B204" s="175">
        <f>SUM(B195:B203)</f>
        <v>100914537.84</v>
      </c>
      <c r="C204" s="191">
        <f>SUM(C195:C203)</f>
        <v>488872.06000000006</v>
      </c>
      <c r="D204" s="175">
        <f>SUM(D195:D203)</f>
        <v>48488.92</v>
      </c>
      <c r="E204" s="175">
        <f>SUM(E195:E203)</f>
        <v>101354920.97999999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439276.31</v>
      </c>
      <c r="C209" s="189">
        <v>53840.65</v>
      </c>
      <c r="D209" s="174"/>
      <c r="E209" s="175">
        <f t="shared" ref="E209:E216" si="11">SUM(B209:C209)-D209</f>
        <v>493116.96</v>
      </c>
      <c r="H209" s="259"/>
    </row>
    <row r="210" spans="1:8" ht="12.6" customHeight="1" x14ac:dyDescent="0.25">
      <c r="A210" s="173" t="s">
        <v>334</v>
      </c>
      <c r="B210" s="174">
        <f>13573872+2721</f>
        <v>13576593</v>
      </c>
      <c r="C210" s="189">
        <f>574490.55+924230.7+12493</f>
        <v>1511214.25</v>
      </c>
      <c r="D210" s="174"/>
      <c r="E210" s="175">
        <f t="shared" si="11"/>
        <v>15087807.25</v>
      </c>
      <c r="H210" s="259"/>
    </row>
    <row r="211" spans="1:8" ht="12.6" customHeight="1" x14ac:dyDescent="0.25">
      <c r="A211" s="173" t="s">
        <v>335</v>
      </c>
      <c r="B211" s="174">
        <f>1070629.29+46785</f>
        <v>1117414.29</v>
      </c>
      <c r="C211" s="189">
        <f>96183.6+8632</f>
        <v>104815.6</v>
      </c>
      <c r="D211" s="174"/>
      <c r="E211" s="175">
        <f t="shared" si="11"/>
        <v>1222229.8900000001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f>25441354.1+2346153</f>
        <v>27787507.100000001</v>
      </c>
      <c r="C213" s="189">
        <f>2033578.44-8457.71+414433+1762+30000</f>
        <v>2471315.73</v>
      </c>
      <c r="D213" s="174">
        <f>28255.92-30000+1762+30000</f>
        <v>30017.919999999998</v>
      </c>
      <c r="E213" s="175">
        <f t="shared" si="11"/>
        <v>30228804.91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f>1029218</f>
        <v>1029218</v>
      </c>
      <c r="C215" s="189">
        <f>231695</f>
        <v>231695</v>
      </c>
      <c r="D215" s="174"/>
      <c r="E215" s="175">
        <f t="shared" si="11"/>
        <v>1260913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43950008.700000003</v>
      </c>
      <c r="C217" s="175">
        <f>SUM(C208:C216)</f>
        <v>4372881.2300000004</v>
      </c>
      <c r="D217" s="175">
        <f>SUM(D208:D216)</f>
        <v>30017.919999999998</v>
      </c>
      <c r="E217" s="175">
        <f>SUM(E208:E216)</f>
        <v>48292872.010000005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5" t="s">
        <v>1255</v>
      </c>
      <c r="C220" s="30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5012509.76</v>
      </c>
      <c r="D221" s="172">
        <f>C221</f>
        <v>5012509.76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19968504.73-840484-865643.54+369451+805344+44834124.88+70464.18+5349315.83</f>
        <v>69691077.080000013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8189806.27-73575.88-76235.7+23319112.13+76598.79+3805336.72</f>
        <v>35241042.329999998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491392.67+8346.81+4928807.97+680781.37</f>
        <v>6109328.8199999994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164163982.01-C223-C224-C228-C226</f>
        <v>49878494.919999979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917372.62+1972052.63+7003.09+347610.52</f>
        <v>3244038.86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164163982.00999999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1822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1147192.75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1962412.5+150939.4</f>
        <v>2113351.9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3260544.65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172437036.41999999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7806864.77-903969.22</f>
        <v>6902895.5499999998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28096229.58+3054410</f>
        <v>31150639.579999998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17545228.98+2669999.49+1900980.33</f>
        <v>22116208.799999997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50543.51+73266.7</f>
        <v>123810.20999999999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f>1228774.26+62827.81</f>
        <v>1291602.07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67608.01</f>
        <v>67608.009999999995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17420346.619999997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23757816.34+33249680.16-14754-0.3+16746+108627</f>
        <v>57118115.200000003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02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>1813322.77+82158+7340+14754</f>
        <v>1917574.77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31733108.44+4124014+189341-16938</f>
        <v>36029525.439999998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2059379+266729-3295</f>
        <v>2322813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41275+45741.6+364220-339214+25790-16357</f>
        <v>121455.59999999998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101354920.81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44200742.02+4092129.21</f>
        <v>48292871.230000004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53062049.579999998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58235856.45+2430</f>
        <v>58238286.450000003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58238286.450000003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f>412804</f>
        <v>412804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f>37811</f>
        <v>37811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450615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129171297.64999999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1224121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1949229.93+638680</f>
        <v>2587909.9299999997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-9234965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57258.23+81306</f>
        <v>138564.23000000001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-5284369.84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581345</f>
        <v>581345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581345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139988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57258+14356+34643+43046</f>
        <v>149303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289291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138564.23000000001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150726.76999999999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132284782.96+1438813</f>
        <v>133723595.95999999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129171297.88999999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129171297.64999999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62736580.859999999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155764902.45+532247.34+29213616.81</f>
        <v>185510766.59999999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248247347.45999998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5012509.76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164163982.00999999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3260544.65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172437036.41999999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75810311.039999992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725280.22+339.84</f>
        <v>725620.05999999994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725620.05999999994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76535931.099999994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29408251.42+578079.66</f>
        <v>29986331.080000002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6727149.8600000003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2540556.7799999998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6312024.7300000004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556384.34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02">
        <f>9190.84+12186668.28+636835.15+3579521.1</f>
        <v>16412215.369999999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02">
        <v>4372880.93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1577340.96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548964.32999999996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29758.09+774534</f>
        <v>804292.09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168246.18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51618.15+35408.2+72581.51+710.82+723.39+7230.35-186.87+306413.97-29758.09+20155.86</f>
        <v>464897.29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70471283.940000013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6064647.1599999815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3621637.56-288090.39</f>
        <v>3333547.17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9398194.3299999814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9398194.3299999814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Elizabeth Hospital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1506</v>
      </c>
      <c r="C414" s="194">
        <f>E138</f>
        <v>1506</v>
      </c>
      <c r="D414" s="179"/>
    </row>
    <row r="415" spans="1:5" ht="12.6" customHeight="1" x14ac:dyDescent="0.25">
      <c r="A415" s="179" t="s">
        <v>464</v>
      </c>
      <c r="B415" s="179">
        <f>D111</f>
        <v>5143</v>
      </c>
      <c r="C415" s="179">
        <f>E139</f>
        <v>5143</v>
      </c>
      <c r="D415" s="194">
        <f>SUM(C59:H59)+N59</f>
        <v>5143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357</v>
      </c>
    </row>
    <row r="424" spans="1:7" ht="12.6" customHeight="1" x14ac:dyDescent="0.25">
      <c r="A424" s="179" t="s">
        <v>1244</v>
      </c>
      <c r="B424" s="179">
        <f>D114</f>
        <v>524</v>
      </c>
      <c r="D424" s="179">
        <f>J59</f>
        <v>524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29986331.080000002</v>
      </c>
      <c r="C427" s="179">
        <f t="shared" ref="C427:C434" si="13">CE61</f>
        <v>29986331.309999995</v>
      </c>
      <c r="D427" s="179"/>
    </row>
    <row r="428" spans="1:7" ht="12.6" customHeight="1" x14ac:dyDescent="0.25">
      <c r="A428" s="179" t="s">
        <v>3</v>
      </c>
      <c r="B428" s="179">
        <f t="shared" si="12"/>
        <v>6727149.8600000003</v>
      </c>
      <c r="C428" s="179">
        <f t="shared" si="13"/>
        <v>6727150</v>
      </c>
      <c r="D428" s="179">
        <f>D173</f>
        <v>6727149.5999999996</v>
      </c>
    </row>
    <row r="429" spans="1:7" ht="12.6" customHeight="1" x14ac:dyDescent="0.25">
      <c r="A429" s="179" t="s">
        <v>236</v>
      </c>
      <c r="B429" s="179">
        <f t="shared" si="12"/>
        <v>2540556.7799999998</v>
      </c>
      <c r="C429" s="179">
        <f t="shared" si="13"/>
        <v>2540556.9299999997</v>
      </c>
      <c r="D429" s="179"/>
    </row>
    <row r="430" spans="1:7" ht="12.6" customHeight="1" x14ac:dyDescent="0.25">
      <c r="A430" s="179" t="s">
        <v>237</v>
      </c>
      <c r="B430" s="179">
        <f t="shared" si="12"/>
        <v>6312024.7300000004</v>
      </c>
      <c r="C430" s="179">
        <f t="shared" si="13"/>
        <v>6312025</v>
      </c>
      <c r="D430" s="179"/>
    </row>
    <row r="431" spans="1:7" ht="12.6" customHeight="1" x14ac:dyDescent="0.25">
      <c r="A431" s="179" t="s">
        <v>444</v>
      </c>
      <c r="B431" s="179">
        <f t="shared" si="12"/>
        <v>556384.34</v>
      </c>
      <c r="C431" s="179">
        <f t="shared" si="13"/>
        <v>556384.34</v>
      </c>
      <c r="D431" s="179"/>
    </row>
    <row r="432" spans="1:7" ht="12.6" customHeight="1" x14ac:dyDescent="0.25">
      <c r="A432" s="179" t="s">
        <v>445</v>
      </c>
      <c r="B432" s="179">
        <f t="shared" si="12"/>
        <v>16412215.369999999</v>
      </c>
      <c r="C432" s="179">
        <f t="shared" si="13"/>
        <v>16412216.085950296</v>
      </c>
      <c r="D432" s="179"/>
    </row>
    <row r="433" spans="1:6" ht="12.6" customHeight="1" x14ac:dyDescent="0.25">
      <c r="A433" s="179" t="s">
        <v>6</v>
      </c>
      <c r="B433" s="194">
        <f t="shared" si="12"/>
        <v>4372880.93</v>
      </c>
      <c r="C433" s="194">
        <f t="shared" si="13"/>
        <v>4372883</v>
      </c>
      <c r="D433" s="194">
        <f>C217</f>
        <v>4372881.2300000004</v>
      </c>
    </row>
    <row r="434" spans="1:6" ht="12.6" customHeight="1" x14ac:dyDescent="0.25">
      <c r="A434" s="179" t="s">
        <v>474</v>
      </c>
      <c r="B434" s="179">
        <f t="shared" si="12"/>
        <v>1577340.96</v>
      </c>
      <c r="C434" s="179">
        <f t="shared" si="13"/>
        <v>1577340.9</v>
      </c>
      <c r="D434" s="179">
        <f>D177</f>
        <v>1577340.96</v>
      </c>
    </row>
    <row r="435" spans="1:6" ht="12.6" customHeight="1" x14ac:dyDescent="0.25">
      <c r="A435" s="179" t="s">
        <v>447</v>
      </c>
      <c r="B435" s="179">
        <f t="shared" si="12"/>
        <v>548964.32999999996</v>
      </c>
      <c r="C435" s="179"/>
      <c r="D435" s="179">
        <f>D181</f>
        <v>548964.32999999996</v>
      </c>
    </row>
    <row r="436" spans="1:6" ht="12.6" customHeight="1" x14ac:dyDescent="0.25">
      <c r="A436" s="179" t="s">
        <v>475</v>
      </c>
      <c r="B436" s="179">
        <f t="shared" si="12"/>
        <v>804292.09</v>
      </c>
      <c r="C436" s="179"/>
      <c r="D436" s="179">
        <f>D186</f>
        <v>804292.09</v>
      </c>
    </row>
    <row r="437" spans="1:6" ht="12.6" customHeight="1" x14ac:dyDescent="0.25">
      <c r="A437" s="194" t="s">
        <v>449</v>
      </c>
      <c r="B437" s="194">
        <f t="shared" si="12"/>
        <v>168246.18</v>
      </c>
      <c r="C437" s="194"/>
      <c r="D437" s="194">
        <f>D190</f>
        <v>168246.18</v>
      </c>
    </row>
    <row r="438" spans="1:6" ht="12.6" customHeight="1" x14ac:dyDescent="0.25">
      <c r="A438" s="194" t="s">
        <v>476</v>
      </c>
      <c r="B438" s="194">
        <f>C386+C387+C388</f>
        <v>1521502.5999999999</v>
      </c>
      <c r="C438" s="194">
        <f>CD69</f>
        <v>1521503</v>
      </c>
      <c r="D438" s="194">
        <f>D181+D186+D190</f>
        <v>1521502.5999999999</v>
      </c>
    </row>
    <row r="439" spans="1:6" ht="12.6" customHeight="1" x14ac:dyDescent="0.25">
      <c r="A439" s="179" t="s">
        <v>451</v>
      </c>
      <c r="B439" s="194">
        <f>C389</f>
        <v>464897.29</v>
      </c>
      <c r="C439" s="194">
        <f>SUM(C69:CC69)</f>
        <v>464896.8899999999</v>
      </c>
      <c r="D439" s="179"/>
    </row>
    <row r="440" spans="1:6" ht="12.6" customHeight="1" x14ac:dyDescent="0.25">
      <c r="A440" s="179" t="s">
        <v>477</v>
      </c>
      <c r="B440" s="194">
        <f>B438+B439</f>
        <v>1986399.89</v>
      </c>
      <c r="C440" s="194">
        <f>CE69</f>
        <v>1986399.89</v>
      </c>
      <c r="D440" s="179"/>
    </row>
    <row r="441" spans="1:6" ht="12.6" customHeight="1" x14ac:dyDescent="0.25">
      <c r="A441" s="179" t="s">
        <v>478</v>
      </c>
      <c r="B441" s="194">
        <f>D390</f>
        <v>70471283.940000013</v>
      </c>
      <c r="C441" s="194">
        <f>SUM(C427:C437)+C440</f>
        <v>70471287.455950305</v>
      </c>
      <c r="D441" s="179"/>
      <c r="E441" s="180">
        <f>B441-C441</f>
        <v>-3.5159502923488617</v>
      </c>
    </row>
    <row r="442" spans="1:6" ht="12.6" customHeight="1" x14ac:dyDescent="0.25">
      <c r="A442" s="206"/>
      <c r="B442" s="206"/>
      <c r="C442" s="206"/>
      <c r="D442" s="206"/>
      <c r="F442" s="206"/>
    </row>
    <row r="443" spans="1:6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6" ht="12.6" customHeight="1" x14ac:dyDescent="0.25">
      <c r="A444" s="179" t="s">
        <v>1257</v>
      </c>
      <c r="B444" s="179">
        <f>D221</f>
        <v>5012509.76</v>
      </c>
      <c r="C444" s="179">
        <f>C363</f>
        <v>5012509.76</v>
      </c>
      <c r="D444" s="179"/>
    </row>
    <row r="445" spans="1:6" ht="12.6" customHeight="1" x14ac:dyDescent="0.25">
      <c r="A445" s="179" t="s">
        <v>343</v>
      </c>
      <c r="B445" s="179">
        <f>D229</f>
        <v>164163982.00999999</v>
      </c>
      <c r="C445" s="179">
        <f>C364</f>
        <v>164163982.00999999</v>
      </c>
      <c r="D445" s="179"/>
    </row>
    <row r="446" spans="1:6" ht="12.6" customHeight="1" x14ac:dyDescent="0.25">
      <c r="A446" s="179" t="s">
        <v>351</v>
      </c>
      <c r="B446" s="179">
        <f>D236</f>
        <v>3260544.65</v>
      </c>
      <c r="C446" s="179">
        <f>C365</f>
        <v>3260544.65</v>
      </c>
      <c r="D446" s="179"/>
    </row>
    <row r="447" spans="1:6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6" ht="12.6" customHeight="1" x14ac:dyDescent="0.25">
      <c r="A448" s="179" t="s">
        <v>358</v>
      </c>
      <c r="B448" s="179">
        <f>D242</f>
        <v>172437036.41999999</v>
      </c>
      <c r="C448" s="179">
        <f>D367</f>
        <v>172437036.41999999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1822</v>
      </c>
    </row>
    <row r="454" spans="1:7" ht="12.6" customHeight="1" x14ac:dyDescent="0.25">
      <c r="A454" s="179" t="s">
        <v>168</v>
      </c>
      <c r="B454" s="179">
        <f>C233</f>
        <v>1147192.75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2113351.9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725620.05999999994</v>
      </c>
      <c r="C458" s="194">
        <f>CE70</f>
        <v>725620.06000000017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62736580.859999999</v>
      </c>
      <c r="C463" s="194">
        <f>CE73</f>
        <v>62736581.159999989</v>
      </c>
      <c r="D463" s="194">
        <f>E141+E147+E153</f>
        <v>62736581</v>
      </c>
    </row>
    <row r="464" spans="1:7" ht="12.6" customHeight="1" x14ac:dyDescent="0.25">
      <c r="A464" s="179" t="s">
        <v>246</v>
      </c>
      <c r="B464" s="194">
        <f>C360</f>
        <v>185510766.59999999</v>
      </c>
      <c r="C464" s="194">
        <f>CE74</f>
        <v>185510766.67999998</v>
      </c>
      <c r="D464" s="194">
        <f>E142+E148+E154</f>
        <v>185510766</v>
      </c>
    </row>
    <row r="465" spans="1:7" ht="12.6" customHeight="1" x14ac:dyDescent="0.25">
      <c r="A465" s="179" t="s">
        <v>247</v>
      </c>
      <c r="B465" s="194">
        <f>D361</f>
        <v>248247347.45999998</v>
      </c>
      <c r="C465" s="194">
        <f>CE75-1</f>
        <v>248247346.83999997</v>
      </c>
      <c r="D465" s="194">
        <f>D463+D464</f>
        <v>248247347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" customHeight="1" x14ac:dyDescent="0.25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5">
      <c r="A470" s="179" t="s">
        <v>334</v>
      </c>
      <c r="B470" s="179">
        <f t="shared" si="14"/>
        <v>57118115.200000003</v>
      </c>
      <c r="C470" s="179">
        <f>E197</f>
        <v>57118115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1917574.77</v>
      </c>
      <c r="C472" s="179">
        <f>E199</f>
        <v>1917575.04</v>
      </c>
      <c r="D472" s="179"/>
    </row>
    <row r="473" spans="1:7" ht="12.6" customHeight="1" x14ac:dyDescent="0.25">
      <c r="A473" s="179" t="s">
        <v>495</v>
      </c>
      <c r="B473" s="179">
        <f t="shared" si="14"/>
        <v>36029525.439999998</v>
      </c>
      <c r="C473" s="179">
        <f>SUM(E200:E201)</f>
        <v>36029525.289999999</v>
      </c>
      <c r="D473" s="179"/>
    </row>
    <row r="474" spans="1:7" ht="12.6" customHeight="1" x14ac:dyDescent="0.25">
      <c r="A474" s="179" t="s">
        <v>339</v>
      </c>
      <c r="B474" s="179">
        <f t="shared" si="14"/>
        <v>2322813</v>
      </c>
      <c r="C474" s="179">
        <f>E202</f>
        <v>2322813</v>
      </c>
      <c r="D474" s="179"/>
    </row>
    <row r="475" spans="1:7" ht="12.6" customHeight="1" x14ac:dyDescent="0.25">
      <c r="A475" s="179" t="s">
        <v>340</v>
      </c>
      <c r="B475" s="179">
        <f t="shared" si="14"/>
        <v>121455.59999999998</v>
      </c>
      <c r="C475" s="179">
        <f>E203</f>
        <v>121455.62999999989</v>
      </c>
      <c r="D475" s="179"/>
    </row>
    <row r="476" spans="1:7" ht="12.6" customHeight="1" x14ac:dyDescent="0.25">
      <c r="A476" s="179" t="s">
        <v>203</v>
      </c>
      <c r="B476" s="194">
        <f>D275</f>
        <v>101354920.81</v>
      </c>
      <c r="C476" s="194">
        <f>E204</f>
        <v>101354920.97999999</v>
      </c>
      <c r="D476" s="179"/>
    </row>
    <row r="477" spans="1:7" ht="12.6" customHeight="1" x14ac:dyDescent="0.25">
      <c r="A477" s="179"/>
      <c r="B477" s="194"/>
      <c r="C477" s="194"/>
      <c r="D477" s="179"/>
    </row>
    <row r="478" spans="1:7" ht="12.6" customHeight="1" x14ac:dyDescent="0.25">
      <c r="A478" s="179" t="s">
        <v>496</v>
      </c>
      <c r="B478" s="194">
        <f>C276</f>
        <v>48292871.230000004</v>
      </c>
      <c r="C478" s="194">
        <f>E217</f>
        <v>48292872.010000005</v>
      </c>
      <c r="D478" s="179"/>
    </row>
    <row r="479" spans="1:7" ht="12.6" customHeight="1" x14ac:dyDescent="0.25">
      <c r="B479" s="234"/>
      <c r="C479" s="234"/>
    </row>
    <row r="480" spans="1:7" ht="12.6" customHeight="1" x14ac:dyDescent="0.25">
      <c r="A480" s="180" t="s">
        <v>497</v>
      </c>
      <c r="B480" s="234"/>
      <c r="C480" s="234"/>
    </row>
    <row r="481" spans="1:12" ht="12.6" customHeight="1" x14ac:dyDescent="0.25">
      <c r="A481" s="180" t="s">
        <v>498</v>
      </c>
      <c r="B481" s="234"/>
      <c r="C481" s="234">
        <f>D341</f>
        <v>129171297.64999999</v>
      </c>
    </row>
    <row r="482" spans="1:12" ht="12.6" customHeight="1" x14ac:dyDescent="0.25">
      <c r="A482" s="180" t="s">
        <v>499</v>
      </c>
      <c r="B482" s="234"/>
      <c r="C482" s="234">
        <f>D339</f>
        <v>129171297.88999999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035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6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5353850.5900000008</v>
      </c>
      <c r="C498" s="240">
        <f>E71</f>
        <v>5247745.7302500019</v>
      </c>
      <c r="D498" s="240">
        <f>'Prior Year'!E59</f>
        <v>5627</v>
      </c>
      <c r="E498" s="180">
        <f>E59</f>
        <v>5143</v>
      </c>
      <c r="F498" s="263">
        <f t="shared" si="15"/>
        <v>951.45736449262495</v>
      </c>
      <c r="G498" s="263">
        <f t="shared" si="15"/>
        <v>1020.3666595858452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11978.464750000001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3704</v>
      </c>
      <c r="C503" s="240">
        <f>J71</f>
        <v>0</v>
      </c>
      <c r="D503" s="240">
        <f>'Prior Year'!J59</f>
        <v>0</v>
      </c>
      <c r="E503" s="180">
        <f>J59</f>
        <v>524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1922687.6600000001</v>
      </c>
      <c r="C508" s="240">
        <f>O71</f>
        <v>2055503.9400000002</v>
      </c>
      <c r="D508" s="240">
        <f>'Prior Year'!O59</f>
        <v>1219</v>
      </c>
      <c r="E508" s="180">
        <f>O59</f>
        <v>1165</v>
      </c>
      <c r="F508" s="263">
        <f t="shared" si="15"/>
        <v>1577.2663330598853</v>
      </c>
      <c r="G508" s="263">
        <f t="shared" si="15"/>
        <v>1764.3810643776826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7192752.5668000001</v>
      </c>
      <c r="C509" s="240">
        <f>P71</f>
        <v>7162807.1215000013</v>
      </c>
      <c r="D509" s="240">
        <f>'Prior Year'!P59</f>
        <v>143610</v>
      </c>
      <c r="E509" s="180">
        <f>P59</f>
        <v>156330</v>
      </c>
      <c r="F509" s="263">
        <f t="shared" si="15"/>
        <v>50.085318339948472</v>
      </c>
      <c r="G509" s="263">
        <f t="shared" si="15"/>
        <v>45.818506502270843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1533602.2</v>
      </c>
      <c r="C510" s="240">
        <f>Q71</f>
        <v>1532860.09</v>
      </c>
      <c r="D510" s="240">
        <f>'Prior Year'!Q59</f>
        <v>6338</v>
      </c>
      <c r="E510" s="180">
        <f>Q59</f>
        <v>7002</v>
      </c>
      <c r="F510" s="263">
        <f t="shared" si="15"/>
        <v>241.96942253076679</v>
      </c>
      <c r="G510" s="263">
        <f t="shared" si="15"/>
        <v>218.91746500999716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2063999.57</v>
      </c>
      <c r="C511" s="240">
        <f>R71</f>
        <v>278029.60999999993</v>
      </c>
      <c r="D511" s="240">
        <f>'Prior Year'!R59</f>
        <v>143430</v>
      </c>
      <c r="E511" s="180">
        <f>R59</f>
        <v>156090</v>
      </c>
      <c r="F511" s="263">
        <f t="shared" si="15"/>
        <v>14.390291919403193</v>
      </c>
      <c r="G511" s="263">
        <f t="shared" si="15"/>
        <v>1.7812134665897874</v>
      </c>
      <c r="H511" s="265">
        <f t="shared" si="16"/>
        <v>-0.87622117212312545</v>
      </c>
      <c r="I511" s="267" t="s">
        <v>1328</v>
      </c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377675.69520919997</v>
      </c>
      <c r="C512" s="240">
        <f>S71</f>
        <v>431682.87544525001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40868.339999999997</v>
      </c>
      <c r="C513" s="240">
        <f>T71</f>
        <v>72241.908500000005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1958486.0399999998</v>
      </c>
      <c r="C514" s="240">
        <f>U71</f>
        <v>2031263.5699999998</v>
      </c>
      <c r="D514" s="240">
        <f>'Prior Year'!U59</f>
        <v>87689</v>
      </c>
      <c r="E514" s="180">
        <f>U59</f>
        <v>86125</v>
      </c>
      <c r="F514" s="263">
        <f t="shared" si="17"/>
        <v>22.334455176818071</v>
      </c>
      <c r="G514" s="263">
        <f t="shared" si="17"/>
        <v>23.585063222060956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665784.6</v>
      </c>
      <c r="C516" s="240">
        <f>W71</f>
        <v>586559.12000000011</v>
      </c>
      <c r="D516" s="240">
        <f>'Prior Year'!W59</f>
        <v>1190</v>
      </c>
      <c r="E516" s="180">
        <f>W59</f>
        <v>1389</v>
      </c>
      <c r="F516" s="263">
        <f t="shared" si="17"/>
        <v>559.48285714285714</v>
      </c>
      <c r="G516" s="263">
        <f t="shared" si="17"/>
        <v>422.28878329733629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747599.6</v>
      </c>
      <c r="C517" s="240">
        <f>X71</f>
        <v>790098.48</v>
      </c>
      <c r="D517" s="240">
        <f>'Prior Year'!X59</f>
        <v>4979</v>
      </c>
      <c r="E517" s="180">
        <f>X59</f>
        <v>5244</v>
      </c>
      <c r="F517" s="263">
        <f t="shared" si="17"/>
        <v>150.15055231974293</v>
      </c>
      <c r="G517" s="263">
        <f t="shared" si="17"/>
        <v>150.6671395881007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325178</v>
      </c>
      <c r="C518" s="240">
        <f>Y71</f>
        <v>1897392.6099999999</v>
      </c>
      <c r="D518" s="240">
        <f>'Prior Year'!Y59</f>
        <v>0</v>
      </c>
      <c r="E518" s="180">
        <f>Y59</f>
        <v>17113</v>
      </c>
      <c r="F518" s="263" t="str">
        <f t="shared" si="17"/>
        <v/>
      </c>
      <c r="G518" s="263">
        <f t="shared" si="17"/>
        <v>110.87434172851049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1604266.58</v>
      </c>
      <c r="C519" s="240">
        <f>Z71</f>
        <v>0</v>
      </c>
      <c r="D519" s="240">
        <f>'Prior Year'!Z59</f>
        <v>15686</v>
      </c>
      <c r="E519" s="180">
        <f>Z59</f>
        <v>0</v>
      </c>
      <c r="F519" s="263">
        <f t="shared" si="17"/>
        <v>102.27378426622467</v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263187.02</v>
      </c>
      <c r="C520" s="240">
        <f>AA71</f>
        <v>288605.42</v>
      </c>
      <c r="D520" s="240">
        <f>'Prior Year'!AA59</f>
        <v>251</v>
      </c>
      <c r="E520" s="180">
        <f>AA59</f>
        <v>347</v>
      </c>
      <c r="F520" s="263">
        <f t="shared" si="17"/>
        <v>1048.5538645418328</v>
      </c>
      <c r="G520" s="263">
        <f t="shared" si="17"/>
        <v>831.71590778097982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1999960.01</v>
      </c>
      <c r="C521" s="240">
        <f>AB71</f>
        <v>1990191.68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671091.19000000006</v>
      </c>
      <c r="C522" s="240">
        <f>AC71</f>
        <v>691589.66999999993</v>
      </c>
      <c r="D522" s="240">
        <f>'Prior Year'!AC59</f>
        <v>12519</v>
      </c>
      <c r="E522" s="180">
        <f>AC59</f>
        <v>11609</v>
      </c>
      <c r="F522" s="263">
        <f t="shared" si="17"/>
        <v>53.605814362169504</v>
      </c>
      <c r="G522" s="263">
        <f t="shared" si="17"/>
        <v>59.573578258247906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139841.74</v>
      </c>
      <c r="C524" s="240">
        <f>AE71</f>
        <v>133237.20999999996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3383416.7500000005</v>
      </c>
      <c r="C526" s="240">
        <f>AG71</f>
        <v>3609521.5616000001</v>
      </c>
      <c r="D526" s="240">
        <f>'Prior Year'!AG59</f>
        <v>13761</v>
      </c>
      <c r="E526" s="180">
        <f>AG59</f>
        <v>14985</v>
      </c>
      <c r="F526" s="263">
        <f t="shared" si="17"/>
        <v>245.86997674587607</v>
      </c>
      <c r="G526" s="263">
        <f t="shared" si="17"/>
        <v>240.87564641975308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1022</v>
      </c>
      <c r="C529" s="240">
        <f>AJ71</f>
        <v>18657135.259999998</v>
      </c>
      <c r="D529" s="240">
        <f>'Prior Year'!AJ59</f>
        <v>0</v>
      </c>
      <c r="E529" s="180">
        <f>AJ59</f>
        <v>101240.3</v>
      </c>
      <c r="F529" s="263" t="str">
        <f t="shared" si="18"/>
        <v/>
      </c>
      <c r="G529" s="263">
        <f t="shared" si="18"/>
        <v>184.28565758892455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82459.67</v>
      </c>
      <c r="C530" s="240">
        <f>AK71</f>
        <v>66540.460000000006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22173.759999999998</v>
      </c>
      <c r="C531" s="240">
        <f>AL71</f>
        <v>21467.82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576138.66440000013</v>
      </c>
      <c r="C541" s="240">
        <f>AV71</f>
        <v>230421.08142</v>
      </c>
      <c r="D541" s="181" t="s">
        <v>529</v>
      </c>
      <c r="E541" s="181" t="s">
        <v>529</v>
      </c>
      <c r="F541" s="263"/>
      <c r="G541" s="263"/>
      <c r="H541" s="265" t="str">
        <f t="shared" si="16"/>
        <v/>
      </c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 t="str">
        <f t="shared" si="16"/>
        <v/>
      </c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123.5474</v>
      </c>
      <c r="C543" s="240">
        <f>AX71</f>
        <v>19488.455999999998</v>
      </c>
      <c r="D543" s="181" t="s">
        <v>529</v>
      </c>
      <c r="E543" s="181" t="s">
        <v>529</v>
      </c>
      <c r="F543" s="263"/>
      <c r="G543" s="263"/>
      <c r="H543" s="265" t="str">
        <f t="shared" si="16"/>
        <v/>
      </c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975836.29000000015</v>
      </c>
      <c r="C544" s="240">
        <f>AY71</f>
        <v>1047690.1399999999</v>
      </c>
      <c r="D544" s="240">
        <f>'Prior Year'!AY59</f>
        <v>26585</v>
      </c>
      <c r="E544" s="180">
        <f>AY59</f>
        <v>24945</v>
      </c>
      <c r="F544" s="263">
        <f t="shared" ref="F544:G550" si="19">IF(B544=0,"",IF(D544=0,"",B544/D544))</f>
        <v>36.706273838630814</v>
      </c>
      <c r="G544" s="263">
        <f t="shared" si="19"/>
        <v>42.000005612347159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27471</v>
      </c>
      <c r="C545" s="240">
        <f>AZ71</f>
        <v>0</v>
      </c>
      <c r="D545" s="240">
        <f>'Prior Year'!AZ59</f>
        <v>26585</v>
      </c>
      <c r="E545" s="180">
        <f>AZ59</f>
        <v>101157</v>
      </c>
      <c r="F545" s="263">
        <f t="shared" si="19"/>
        <v>1.0333270641339101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3704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 t="str">
        <f t="shared" si="16"/>
        <v/>
      </c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 t="str">
        <f t="shared" si="16"/>
        <v/>
      </c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 t="str">
        <f t="shared" si="16"/>
        <v/>
      </c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2523235.7611999996</v>
      </c>
      <c r="C550" s="240">
        <f>BE71</f>
        <v>2588641.3619999993</v>
      </c>
      <c r="D550" s="240">
        <f>'Prior Year'!BE59</f>
        <v>101299</v>
      </c>
      <c r="E550" s="180">
        <f>BE59</f>
        <v>100342</v>
      </c>
      <c r="F550" s="263">
        <f t="shared" si="19"/>
        <v>24.90879239874036</v>
      </c>
      <c r="G550" s="263">
        <f t="shared" si="19"/>
        <v>25.798183831296956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929711.29999999993</v>
      </c>
      <c r="C551" s="240">
        <f>BF71</f>
        <v>949029.59000000008</v>
      </c>
      <c r="D551" s="181" t="s">
        <v>529</v>
      </c>
      <c r="E551" s="181" t="s">
        <v>529</v>
      </c>
      <c r="F551" s="263"/>
      <c r="G551" s="263"/>
      <c r="H551" s="265" t="str">
        <f t="shared" si="16"/>
        <v/>
      </c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34620.198400000001</v>
      </c>
      <c r="C552" s="240">
        <f>BG71</f>
        <v>115061.53825</v>
      </c>
      <c r="D552" s="181" t="s">
        <v>529</v>
      </c>
      <c r="E552" s="181" t="s">
        <v>529</v>
      </c>
      <c r="F552" s="263"/>
      <c r="G552" s="263"/>
      <c r="H552" s="265" t="str">
        <f t="shared" si="16"/>
        <v/>
      </c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397409.11599999998</v>
      </c>
      <c r="C553" s="240">
        <f>BH71</f>
        <v>701073.65500000003</v>
      </c>
      <c r="D553" s="181" t="s">
        <v>529</v>
      </c>
      <c r="E553" s="181" t="s">
        <v>529</v>
      </c>
      <c r="F553" s="263"/>
      <c r="G553" s="263"/>
      <c r="H553" s="265" t="str">
        <f t="shared" si="16"/>
        <v/>
      </c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13297.49</v>
      </c>
      <c r="C554" s="240">
        <f>BI71</f>
        <v>-0.17000000000007276</v>
      </c>
      <c r="D554" s="181" t="s">
        <v>529</v>
      </c>
      <c r="E554" s="181" t="s">
        <v>529</v>
      </c>
      <c r="F554" s="263"/>
      <c r="G554" s="263"/>
      <c r="H554" s="265" t="str">
        <f t="shared" si="16"/>
        <v/>
      </c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104756.78512962</v>
      </c>
      <c r="C555" s="240">
        <f>BJ71</f>
        <v>87264.259249999988</v>
      </c>
      <c r="D555" s="181" t="s">
        <v>529</v>
      </c>
      <c r="E555" s="181" t="s">
        <v>529</v>
      </c>
      <c r="F555" s="263"/>
      <c r="G555" s="263"/>
      <c r="H555" s="265" t="str">
        <f t="shared" si="16"/>
        <v/>
      </c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495200.66153020086</v>
      </c>
      <c r="C556" s="240">
        <f>BK71</f>
        <v>557814.17985347495</v>
      </c>
      <c r="D556" s="181" t="s">
        <v>529</v>
      </c>
      <c r="E556" s="181" t="s">
        <v>529</v>
      </c>
      <c r="F556" s="263"/>
      <c r="G556" s="263"/>
      <c r="H556" s="265" t="str">
        <f t="shared" si="16"/>
        <v/>
      </c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1475851.1943151043</v>
      </c>
      <c r="C557" s="240">
        <f>BL71</f>
        <v>1524112.41738</v>
      </c>
      <c r="D557" s="181" t="s">
        <v>529</v>
      </c>
      <c r="E557" s="181" t="s">
        <v>529</v>
      </c>
      <c r="F557" s="263"/>
      <c r="G557" s="263"/>
      <c r="H557" s="265" t="str">
        <f t="shared" si="16"/>
        <v/>
      </c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 t="str">
        <f t="shared" si="16"/>
        <v/>
      </c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1757405.6264190599</v>
      </c>
      <c r="C559" s="240">
        <f>BN71</f>
        <v>1517407.834713625</v>
      </c>
      <c r="D559" s="181" t="s">
        <v>529</v>
      </c>
      <c r="E559" s="181" t="s">
        <v>529</v>
      </c>
      <c r="F559" s="263"/>
      <c r="G559" s="263"/>
      <c r="H559" s="265" t="str">
        <f t="shared" si="16"/>
        <v/>
      </c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57690.567199999998</v>
      </c>
      <c r="C560" s="240">
        <f>BO71</f>
        <v>63607.626500000006</v>
      </c>
      <c r="D560" s="181" t="s">
        <v>529</v>
      </c>
      <c r="E560" s="181" t="s">
        <v>529</v>
      </c>
      <c r="F560" s="263"/>
      <c r="G560" s="263"/>
      <c r="H560" s="265" t="str">
        <f t="shared" si="16"/>
        <v/>
      </c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75627.4948</v>
      </c>
      <c r="C561" s="240">
        <f>BP71</f>
        <v>335208.30449999997</v>
      </c>
      <c r="D561" s="181" t="s">
        <v>529</v>
      </c>
      <c r="E561" s="181" t="s">
        <v>529</v>
      </c>
      <c r="F561" s="263"/>
      <c r="G561" s="263"/>
      <c r="H561" s="265" t="str">
        <f t="shared" ref="H561:H575" si="20">IF(B561=0,"",IF(C561=0,"",IF(D561=0,"",IF(E561=0,"",IF(G561/F561-1&lt;-0.25,G561/F561-1,IF(G561/F561-1&gt;0.25,G561/F561-1,""))))))</f>
        <v/>
      </c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 t="str">
        <f t="shared" si="20"/>
        <v/>
      </c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230475.50100000002</v>
      </c>
      <c r="C563" s="240">
        <f>BR71</f>
        <v>214280.16275000002</v>
      </c>
      <c r="D563" s="181" t="s">
        <v>529</v>
      </c>
      <c r="E563" s="181" t="s">
        <v>529</v>
      </c>
      <c r="F563" s="263"/>
      <c r="G563" s="263"/>
      <c r="H563" s="265" t="str">
        <f t="shared" si="20"/>
        <v/>
      </c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2.8192000000000004</v>
      </c>
      <c r="C564" s="240">
        <f>BS71</f>
        <v>17575.629749999996</v>
      </c>
      <c r="D564" s="181" t="s">
        <v>529</v>
      </c>
      <c r="E564" s="181" t="s">
        <v>529</v>
      </c>
      <c r="F564" s="263"/>
      <c r="G564" s="263"/>
      <c r="H564" s="265" t="str">
        <f t="shared" si="20"/>
        <v/>
      </c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4178.1086000000005</v>
      </c>
      <c r="C565" s="240">
        <f>BT71</f>
        <v>30091.622249999997</v>
      </c>
      <c r="D565" s="181" t="s">
        <v>529</v>
      </c>
      <c r="E565" s="181" t="s">
        <v>529</v>
      </c>
      <c r="F565" s="263"/>
      <c r="G565" s="263"/>
      <c r="H565" s="265" t="str">
        <f t="shared" si="20"/>
        <v/>
      </c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6777.0642000000007</v>
      </c>
      <c r="C566" s="240">
        <f>BU71</f>
        <v>10482.752750000003</v>
      </c>
      <c r="D566" s="181" t="s">
        <v>529</v>
      </c>
      <c r="E566" s="181" t="s">
        <v>529</v>
      </c>
      <c r="F566" s="263"/>
      <c r="G566" s="263"/>
      <c r="H566" s="265" t="str">
        <f t="shared" si="20"/>
        <v/>
      </c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757775.60177700163</v>
      </c>
      <c r="C567" s="240">
        <f>BV71</f>
        <v>808537.98836307495</v>
      </c>
      <c r="D567" s="181" t="s">
        <v>529</v>
      </c>
      <c r="E567" s="181" t="s">
        <v>529</v>
      </c>
      <c r="F567" s="263"/>
      <c r="G567" s="263"/>
      <c r="H567" s="265" t="str">
        <f t="shared" si="20"/>
        <v/>
      </c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70317.390476000015</v>
      </c>
      <c r="C568" s="240">
        <f>BW71</f>
        <v>154452.670456375</v>
      </c>
      <c r="D568" s="181" t="s">
        <v>529</v>
      </c>
      <c r="E568" s="181" t="s">
        <v>529</v>
      </c>
      <c r="F568" s="263"/>
      <c r="G568" s="263"/>
      <c r="H568" s="265" t="str">
        <f t="shared" si="20"/>
        <v/>
      </c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395389.94541963993</v>
      </c>
      <c r="C569" s="240">
        <f>BX71</f>
        <v>908323.51161359996</v>
      </c>
      <c r="D569" s="181" t="s">
        <v>529</v>
      </c>
      <c r="E569" s="181" t="s">
        <v>529</v>
      </c>
      <c r="F569" s="263"/>
      <c r="G569" s="263"/>
      <c r="H569" s="265" t="str">
        <f t="shared" si="20"/>
        <v/>
      </c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1319967.1203999997</v>
      </c>
      <c r="C570" s="240">
        <f>BY71</f>
        <v>1508484.8191500003</v>
      </c>
      <c r="D570" s="181" t="s">
        <v>529</v>
      </c>
      <c r="E570" s="181" t="s">
        <v>529</v>
      </c>
      <c r="F570" s="263"/>
      <c r="G570" s="263"/>
      <c r="H570" s="265" t="str">
        <f t="shared" si="20"/>
        <v/>
      </c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 t="str">
        <f t="shared" si="20"/>
        <v/>
      </c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82056.217000000004</v>
      </c>
      <c r="C572" s="240">
        <f>CA71</f>
        <v>93033.581999999995</v>
      </c>
      <c r="D572" s="181" t="s">
        <v>529</v>
      </c>
      <c r="E572" s="181" t="s">
        <v>529</v>
      </c>
      <c r="F572" s="263"/>
      <c r="G572" s="263"/>
      <c r="H572" s="265" t="str">
        <f t="shared" si="20"/>
        <v/>
      </c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8374.8024000000005</v>
      </c>
      <c r="C573" s="240">
        <f>CB71</f>
        <v>11254.406750000002</v>
      </c>
      <c r="D573" s="181" t="s">
        <v>529</v>
      </c>
      <c r="E573" s="181" t="s">
        <v>529</v>
      </c>
      <c r="F573" s="263"/>
      <c r="G573" s="263"/>
      <c r="H573" s="265" t="str">
        <f t="shared" si="20"/>
        <v/>
      </c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4254148.1953618797</v>
      </c>
      <c r="C574" s="240">
        <f>CC71</f>
        <v>7174374.3732049</v>
      </c>
      <c r="D574" s="181" t="s">
        <v>529</v>
      </c>
      <c r="E574" s="181" t="s">
        <v>529</v>
      </c>
      <c r="F574" s="263"/>
      <c r="G574" s="263"/>
      <c r="H574" s="265" t="str">
        <f t="shared" si="20"/>
        <v/>
      </c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1657357</v>
      </c>
      <c r="C575" s="240">
        <f>CD71</f>
        <v>1521503</v>
      </c>
      <c r="D575" s="181" t="s">
        <v>529</v>
      </c>
      <c r="E575" s="181" t="s">
        <v>529</v>
      </c>
      <c r="F575" s="263"/>
      <c r="G575" s="263"/>
      <c r="H575" s="265" t="str">
        <f t="shared" si="20"/>
        <v/>
      </c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96783</v>
      </c>
      <c r="E612" s="180">
        <f>SUM(C624:D647)+SUM(C668:D713)</f>
        <v>59539174.683801375</v>
      </c>
      <c r="F612" s="180">
        <f>CE64-(AX64+BD64+BE64+BG64+BJ64+BN64+BP64+BQ64+CB64+CC64+CD64)</f>
        <v>6247272.8200000003</v>
      </c>
      <c r="G612" s="180">
        <f>CE77-(AX77+AY77+BD77+BE77+BG77+BJ77+BN77+BP77+BQ77+CB77+CC77+CD77)</f>
        <v>24945</v>
      </c>
      <c r="H612" s="197">
        <f>CE60-(AX60+AY60+AZ60+BD60+BE60+BG60+BJ60+BN60+BO60+BP60+BQ60+BR60+CB60+CC60+CD60)</f>
        <v>306.21000000000004</v>
      </c>
      <c r="I612" s="180">
        <f>CE78-(AX78+AY78+AZ78+BD78+BE78+BF78+BG78+BJ78+BN78+BO78+BP78+BQ78+BR78+CB78+CC78+CD78)</f>
        <v>24642.780000000002</v>
      </c>
      <c r="J612" s="180">
        <f>CE79-(AX79+AY79+AZ79+BA79+BD79+BE79+BF79+BG79+BJ79+BN79+BO79+BP79+BQ79+BR79+CB79+CC79+CD79)</f>
        <v>240113.11000000002</v>
      </c>
      <c r="K612" s="180">
        <f>CE75-(AW75+AX75+AY75+AZ75+BA75+BB75+BC75+BD75+BE75+BF75+BG75+BH75+BI75+BJ75+BK75+BL75+BM75+BN75+BO75+BP75+BQ75+BR75+BS75+BT75+BU75+BV75+BW75+BX75+CB75+CC75+CD75)</f>
        <v>248247347.83999997</v>
      </c>
      <c r="L612" s="197">
        <f>CE80-(AW80+AX80+AY80+AZ80+BA80+BB80+BC80+BD80+BE80+BF80+BG80+BH80+BI80+BJ80+BK80+BL80+BM80+BN80+BO80+BP80+BQ80+BR80+BS80+BT80+BU80+BV80+BW80+BX80+BY80+BZ80+CA80+CB80+CC80+CD80)</f>
        <v>88.009999999999991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2588641.3619999993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1521503</v>
      </c>
      <c r="D615" s="266">
        <f>SUM(C614:C615)</f>
        <v>4110144.3619999993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19488.455999999998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87264.259249999988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115061.53825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1517407.834713625</v>
      </c>
      <c r="D619" s="180">
        <f>(D615/D612)*BN76</f>
        <v>946433.53948040446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7174374.3732049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335208.30449999997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11254.406750000002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10206492.712148929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1047690.1399999999</v>
      </c>
      <c r="D625" s="180">
        <f>(D615/D612)*AY76</f>
        <v>177132.47299527808</v>
      </c>
      <c r="E625" s="180">
        <f>(E623/E612)*SUM(C625:D625)</f>
        <v>209965.00437908585</v>
      </c>
      <c r="F625" s="180">
        <f>(F624/F612)*AY64</f>
        <v>0</v>
      </c>
      <c r="G625" s="180">
        <f>SUM(C625:F625)</f>
        <v>1434787.6173743638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214280.16275000002</v>
      </c>
      <c r="D626" s="180">
        <f>(D615/D612)*BR76</f>
        <v>0</v>
      </c>
      <c r="E626" s="180">
        <f>(E623/E612)*SUM(C626:D626)</f>
        <v>36732.939801078304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63607.626500000006</v>
      </c>
      <c r="D627" s="180">
        <f>(D615/D612)*BO76</f>
        <v>0</v>
      </c>
      <c r="E627" s="180">
        <f>(E623/E612)*SUM(C627:D627)</f>
        <v>10903.926360369414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325524.65541144775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949029.59000000008</v>
      </c>
      <c r="D629" s="180">
        <f>(D615/D612)*BF76</f>
        <v>61790.397556492346</v>
      </c>
      <c r="E629" s="180">
        <f>(E623/E612)*SUM(C629:D629)</f>
        <v>173279.6413635324</v>
      </c>
      <c r="F629" s="180">
        <f>(F624/F612)*BF64</f>
        <v>0</v>
      </c>
      <c r="G629" s="180">
        <f>(G625/G612)*BF77</f>
        <v>0</v>
      </c>
      <c r="H629" s="180">
        <f>(H628/H612)*BF60</f>
        <v>12597.456538407156</v>
      </c>
      <c r="I629" s="180">
        <f>SUM(C629:H629)</f>
        <v>1196697.0854584319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-0.17000000000007276</v>
      </c>
      <c r="D634" s="180">
        <f>(D615/D612)*BI76</f>
        <v>0</v>
      </c>
      <c r="E634" s="180">
        <f>(E623/E612)*SUM(C634:D634)</f>
        <v>-2.9142220567899883E-2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557814.17985347495</v>
      </c>
      <c r="D635" s="180">
        <f>(D615/D612)*BK76</f>
        <v>0</v>
      </c>
      <c r="E635" s="180">
        <f>(E623/E612)*SUM(C635:D635)</f>
        <v>95623.19920697168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701073.65500000003</v>
      </c>
      <c r="D636" s="180">
        <f>(D615/D612)*BH76</f>
        <v>0</v>
      </c>
      <c r="E636" s="180">
        <f>(E623/E612)*SUM(C636:D636)</f>
        <v>120181.42993144119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1524112.41738</v>
      </c>
      <c r="D637" s="180">
        <f>(D615/D612)*BL76</f>
        <v>0</v>
      </c>
      <c r="E637" s="180">
        <f>(E623/E612)*SUM(C637:D637)</f>
        <v>261270.70727967081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17575.629749999996</v>
      </c>
      <c r="D639" s="180">
        <f>(D615/D612)*BS76</f>
        <v>0</v>
      </c>
      <c r="E639" s="180">
        <f>(E623/E612)*SUM(C639:D639)</f>
        <v>3012.8992870236693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30091.622249999997</v>
      </c>
      <c r="D640" s="180">
        <f>(D615/D612)*BT76</f>
        <v>0</v>
      </c>
      <c r="E640" s="180">
        <f>(E623/E612)*SUM(C640:D640)</f>
        <v>5158.4511344414605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10482.752750000003</v>
      </c>
      <c r="D641" s="180">
        <f>(D615/D612)*BU76</f>
        <v>0</v>
      </c>
      <c r="E641" s="180">
        <f>(E623/E612)*SUM(C641:D641)</f>
        <v>1797.0040752889906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808537.98836307495</v>
      </c>
      <c r="D642" s="180">
        <f>(D615/D612)*BV76</f>
        <v>89691.628618083734</v>
      </c>
      <c r="E642" s="180">
        <f>(E623/E612)*SUM(C642:D642)</f>
        <v>153978.85658043504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36698.131764392529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154452.670456375</v>
      </c>
      <c r="D643" s="180">
        <f>(D615/D612)*BW76</f>
        <v>0</v>
      </c>
      <c r="E643" s="180">
        <f>(E623/E612)*SUM(C643:D643)</f>
        <v>26477.022292581809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908323.51161359996</v>
      </c>
      <c r="D644" s="180">
        <f>(D615/D612)*BX76</f>
        <v>0</v>
      </c>
      <c r="E644" s="180">
        <f>(E623/E612)*SUM(C644:D644)</f>
        <v>155709.20072024452</v>
      </c>
      <c r="F644" s="180">
        <f>(F624/F612)*BX64</f>
        <v>0</v>
      </c>
      <c r="G644" s="180">
        <f>(G625/G612)*BX77</f>
        <v>0</v>
      </c>
      <c r="H644" s="180">
        <f>(H628/H612)*BX60</f>
        <v>1063.0765011314056</v>
      </c>
      <c r="I644" s="180">
        <f>(I629/I612)*BX78</f>
        <v>0</v>
      </c>
      <c r="J644" s="180">
        <f>(J630/J612)*BX79</f>
        <v>0</v>
      </c>
      <c r="K644" s="180">
        <f>SUM(C631:J644)</f>
        <v>5663125.8356660092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1508484.8191500003</v>
      </c>
      <c r="D645" s="180">
        <f>(D615/D612)*BY76</f>
        <v>7474.3023848403118</v>
      </c>
      <c r="E645" s="180">
        <f>(E623/E612)*SUM(C645:D645)</f>
        <v>259873.02995099509</v>
      </c>
      <c r="F645" s="180">
        <f>(F624/F612)*BY64</f>
        <v>0</v>
      </c>
      <c r="G645" s="180">
        <f>(G625/G612)*BY77</f>
        <v>0</v>
      </c>
      <c r="H645" s="180">
        <f>(H628/H612)*BY60</f>
        <v>12416.733533214818</v>
      </c>
      <c r="I645" s="180">
        <f>(I629/I612)*BY78</f>
        <v>3057.9348381683171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93033.581999999995</v>
      </c>
      <c r="D647" s="180">
        <f>(D615/D612)*CA76</f>
        <v>0</v>
      </c>
      <c r="E647" s="180">
        <f>(E623/E612)*SUM(C647:D647)</f>
        <v>15948.265687439058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1900288.6675446578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21958793.712485049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5247745.7302500019</v>
      </c>
      <c r="D670" s="180">
        <f>(D615/D612)*E76</f>
        <v>673748.90531529288</v>
      </c>
      <c r="E670" s="180">
        <f>(E623/E612)*SUM(C670:D670)</f>
        <v>1015091.1927129759</v>
      </c>
      <c r="F670" s="180">
        <f>(F624/F612)*E64</f>
        <v>0</v>
      </c>
      <c r="G670" s="180">
        <f>(G625/G612)*E77</f>
        <v>1434787.6173743638</v>
      </c>
      <c r="H670" s="180">
        <f>(H628/H612)*E60</f>
        <v>43012.075235776669</v>
      </c>
      <c r="I670" s="180">
        <f>(I629/I612)*E78</f>
        <v>275669.15924702148</v>
      </c>
      <c r="J670" s="180">
        <f>(J630/J612)*E79</f>
        <v>0</v>
      </c>
      <c r="K670" s="180">
        <f>(K644/K612)*E75</f>
        <v>466068.19475001481</v>
      </c>
      <c r="L670" s="180">
        <f>(L647/L612)*E80</f>
        <v>498553.1795660283</v>
      </c>
      <c r="M670" s="180">
        <f t="shared" si="21"/>
        <v>4406930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11978.464750000001</v>
      </c>
      <c r="D672" s="180">
        <f>(D615/D612)*G76</f>
        <v>0</v>
      </c>
      <c r="E672" s="180">
        <f>(E623/E612)*SUM(C672:D672)</f>
        <v>2053.4062459362608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2053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2055503.9400000002</v>
      </c>
      <c r="D680" s="180">
        <f>(D615/D612)*O76</f>
        <v>254550.95735643653</v>
      </c>
      <c r="E680" s="180">
        <f>(E623/E612)*SUM(C680:D680)</f>
        <v>396000.76083935169</v>
      </c>
      <c r="F680" s="180">
        <f>(F624/F612)*O64</f>
        <v>0</v>
      </c>
      <c r="G680" s="180">
        <f>(G625/G612)*O77</f>
        <v>0</v>
      </c>
      <c r="H680" s="180">
        <f>(H628/H612)*O60</f>
        <v>13883.779104776158</v>
      </c>
      <c r="I680" s="180">
        <f>(I629/I612)*O78</f>
        <v>104151.40552828892</v>
      </c>
      <c r="J680" s="180">
        <f>(J630/J612)*O79</f>
        <v>0</v>
      </c>
      <c r="K680" s="180">
        <f>(K644/K612)*O75</f>
        <v>176940.2065858292</v>
      </c>
      <c r="L680" s="180">
        <f>(L647/L612)*O80</f>
        <v>227792.81266442611</v>
      </c>
      <c r="M680" s="180">
        <f t="shared" si="21"/>
        <v>1173320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7162807.1215000013</v>
      </c>
      <c r="D681" s="180">
        <f>(D615/D612)*P76</f>
        <v>724242.91404015152</v>
      </c>
      <c r="E681" s="180">
        <f>(E623/E612)*SUM(C681:D681)</f>
        <v>1352036.1868569138</v>
      </c>
      <c r="F681" s="180">
        <f>(F624/F612)*P64</f>
        <v>0</v>
      </c>
      <c r="G681" s="180">
        <f>(G625/G612)*P77</f>
        <v>0</v>
      </c>
      <c r="H681" s="180">
        <f>(H628/H612)*P60</f>
        <v>24227.513460784732</v>
      </c>
      <c r="I681" s="180">
        <f>(I629/I612)*P78</f>
        <v>296328.7942827837</v>
      </c>
      <c r="J681" s="180">
        <f>(J630/J612)*P79</f>
        <v>0</v>
      </c>
      <c r="K681" s="180">
        <f>(K644/K612)*P75</f>
        <v>1422256.9818276681</v>
      </c>
      <c r="L681" s="180">
        <f>(L647/L612)*P80</f>
        <v>206848.82894077743</v>
      </c>
      <c r="M681" s="180">
        <f t="shared" si="21"/>
        <v>4025941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1532860.09</v>
      </c>
      <c r="D682" s="180">
        <f>(D615/D612)*Q76</f>
        <v>50961.152623911214</v>
      </c>
      <c r="E682" s="180">
        <f>(E623/E612)*SUM(C682:D682)</f>
        <v>271506.28230971494</v>
      </c>
      <c r="F682" s="180">
        <f>(F624/F612)*Q64</f>
        <v>0</v>
      </c>
      <c r="G682" s="180">
        <f>(G625/G612)*Q77</f>
        <v>0</v>
      </c>
      <c r="H682" s="180">
        <f>(H628/H612)*Q60</f>
        <v>11077.257141789247</v>
      </c>
      <c r="I682" s="180">
        <f>(I629/I612)*Q78</f>
        <v>20850.96842090409</v>
      </c>
      <c r="J682" s="180">
        <f>(J630/J612)*Q79</f>
        <v>0</v>
      </c>
      <c r="K682" s="180">
        <f>(K644/K612)*Q75</f>
        <v>152422.74974300791</v>
      </c>
      <c r="L682" s="180">
        <f>(L647/L612)*Q80</f>
        <v>180290.99390975904</v>
      </c>
      <c r="M682" s="180">
        <f t="shared" si="21"/>
        <v>687109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278029.60999999993</v>
      </c>
      <c r="D683" s="180">
        <f>(D615/D612)*R76</f>
        <v>8153.7844198257944</v>
      </c>
      <c r="E683" s="180">
        <f>(E623/E612)*SUM(C683:D683)</f>
        <v>49058.938841466348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3336.1937967629569</v>
      </c>
      <c r="J683" s="180">
        <f>(J630/J612)*R79</f>
        <v>0</v>
      </c>
      <c r="K683" s="180">
        <f>(K644/K612)*R75</f>
        <v>120617.81118962137</v>
      </c>
      <c r="L683" s="180">
        <f>(L647/L612)*R80</f>
        <v>0</v>
      </c>
      <c r="M683" s="180">
        <f t="shared" si="21"/>
        <v>181167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431682.87544525001</v>
      </c>
      <c r="D684" s="180">
        <f>(D615/D612)*S76</f>
        <v>125491.83833638136</v>
      </c>
      <c r="E684" s="180">
        <f>(E623/E612)*SUM(C684:D684)</f>
        <v>95513.578846316683</v>
      </c>
      <c r="F684" s="180">
        <f>(F624/F612)*S64</f>
        <v>0</v>
      </c>
      <c r="G684" s="180">
        <f>(G625/G612)*S77</f>
        <v>0</v>
      </c>
      <c r="H684" s="180">
        <f>(H628/H612)*S60</f>
        <v>5411.0593907588545</v>
      </c>
      <c r="I684" s="180">
        <f>(I629/I612)*S78</f>
        <v>51345.819317778412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277762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72241.908500000005</v>
      </c>
      <c r="D685" s="180">
        <f>(D615/D612)*T76</f>
        <v>0</v>
      </c>
      <c r="E685" s="180">
        <f>(E623/E612)*SUM(C685:D685)</f>
        <v>12384.056657365532</v>
      </c>
      <c r="F685" s="180">
        <f>(F624/F612)*T64</f>
        <v>0</v>
      </c>
      <c r="G685" s="180">
        <f>(G625/G612)*T77</f>
        <v>0</v>
      </c>
      <c r="H685" s="180">
        <f>(H628/H612)*T60</f>
        <v>85.046120090512446</v>
      </c>
      <c r="I685" s="180">
        <f>(I629/I612)*T78</f>
        <v>0</v>
      </c>
      <c r="J685" s="180">
        <f>(J630/J612)*T79</f>
        <v>0</v>
      </c>
      <c r="K685" s="180">
        <f>(K644/K612)*T75</f>
        <v>9829.6298249968258</v>
      </c>
      <c r="L685" s="180">
        <f>(L647/L612)*T80</f>
        <v>1727.3388638060746</v>
      </c>
      <c r="M685" s="180">
        <f t="shared" si="21"/>
        <v>24026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2031263.5699999998</v>
      </c>
      <c r="D686" s="180">
        <f>(D615/D612)*U76</f>
        <v>69052.361805399691</v>
      </c>
      <c r="E686" s="180">
        <f>(E623/E612)*SUM(C686:D686)</f>
        <v>360046.2949818878</v>
      </c>
      <c r="F686" s="180">
        <f>(F624/F612)*U64</f>
        <v>0</v>
      </c>
      <c r="G686" s="180">
        <f>(G625/G612)*U77</f>
        <v>0</v>
      </c>
      <c r="H686" s="180">
        <f>(H628/H612)*U60</f>
        <v>11970.241402739626</v>
      </c>
      <c r="I686" s="180">
        <f>(I629/I612)*U78</f>
        <v>28253.239460796045</v>
      </c>
      <c r="J686" s="180">
        <f>(J630/J612)*U79</f>
        <v>0</v>
      </c>
      <c r="K686" s="180">
        <f>(K644/K612)*U75</f>
        <v>282724.7802074097</v>
      </c>
      <c r="L686" s="180">
        <f>(L647/L612)*U80</f>
        <v>0</v>
      </c>
      <c r="M686" s="180">
        <f t="shared" si="21"/>
        <v>752047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586559.12000000011</v>
      </c>
      <c r="D688" s="180">
        <f>(D615/D612)*W76</f>
        <v>30576.691574346729</v>
      </c>
      <c r="E688" s="180">
        <f>(E623/E612)*SUM(C688:D688)</f>
        <v>105792.39965436365</v>
      </c>
      <c r="F688" s="180">
        <f>(F624/F612)*W64</f>
        <v>0</v>
      </c>
      <c r="G688" s="180">
        <f>(G625/G612)*W77</f>
        <v>0</v>
      </c>
      <c r="H688" s="180">
        <f>(H628/H612)*W60</f>
        <v>1998.5838221270424</v>
      </c>
      <c r="I688" s="180">
        <f>(I629/I612)*W78</f>
        <v>12510.483928996695</v>
      </c>
      <c r="J688" s="180">
        <f>(J630/J612)*W79</f>
        <v>0</v>
      </c>
      <c r="K688" s="180">
        <f>(K644/K612)*W75</f>
        <v>66566.059462652702</v>
      </c>
      <c r="L688" s="180">
        <f>(L647/L612)*W80</f>
        <v>0</v>
      </c>
      <c r="M688" s="180">
        <f t="shared" si="21"/>
        <v>217444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790098.48</v>
      </c>
      <c r="D689" s="180">
        <f>(D615/D612)*X76</f>
        <v>24461.353259477382</v>
      </c>
      <c r="E689" s="180">
        <f>(E623/E612)*SUM(C689:D689)</f>
        <v>139635.77839170166</v>
      </c>
      <c r="F689" s="180">
        <f>(F624/F612)*X64</f>
        <v>0</v>
      </c>
      <c r="G689" s="180">
        <f>(G625/G612)*X77</f>
        <v>0</v>
      </c>
      <c r="H689" s="180">
        <f>(H628/H612)*X60</f>
        <v>5230.3363855665157</v>
      </c>
      <c r="I689" s="180">
        <f>(I629/I612)*X78</f>
        <v>10008.581390288871</v>
      </c>
      <c r="J689" s="180">
        <f>(J630/J612)*X79</f>
        <v>0</v>
      </c>
      <c r="K689" s="180">
        <f>(K644/K612)*X75</f>
        <v>274890.54654255515</v>
      </c>
      <c r="L689" s="180">
        <f>(L647/L612)*X80</f>
        <v>0</v>
      </c>
      <c r="M689" s="180">
        <f t="shared" si="21"/>
        <v>454227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1897392.6099999999</v>
      </c>
      <c r="D690" s="180">
        <f>(D615/D612)*Y76</f>
        <v>416055.34354704845</v>
      </c>
      <c r="E690" s="180">
        <f>(E623/E612)*SUM(C690:D690)</f>
        <v>396582.41490938724</v>
      </c>
      <c r="F690" s="180">
        <f>(F624/F612)*Y64</f>
        <v>0</v>
      </c>
      <c r="G690" s="180">
        <f>(G625/G612)*Y77</f>
        <v>0</v>
      </c>
      <c r="H690" s="180">
        <f>(H628/H612)*Y60</f>
        <v>12437.995063237446</v>
      </c>
      <c r="I690" s="180">
        <f>(I629/I612)*Y78</f>
        <v>170231.83797290601</v>
      </c>
      <c r="J690" s="180">
        <f>(J630/J612)*Y79</f>
        <v>0</v>
      </c>
      <c r="K690" s="180">
        <f>(K644/K612)*Y75</f>
        <v>165751.52633002581</v>
      </c>
      <c r="L690" s="180">
        <f>(L647/L612)*Y80</f>
        <v>0</v>
      </c>
      <c r="M690" s="180">
        <f t="shared" si="21"/>
        <v>1161059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288605.42</v>
      </c>
      <c r="D692" s="180">
        <f>(D615/D612)*AA76</f>
        <v>0</v>
      </c>
      <c r="E692" s="180">
        <f>(E623/E612)*SUM(C692:D692)</f>
        <v>49474.134157222259</v>
      </c>
      <c r="F692" s="180">
        <f>(F624/F612)*AA64</f>
        <v>0</v>
      </c>
      <c r="G692" s="180">
        <f>(G625/G612)*AA77</f>
        <v>0</v>
      </c>
      <c r="H692" s="180">
        <f>(H628/H612)*AA60</f>
        <v>1350.1071564368851</v>
      </c>
      <c r="I692" s="180">
        <f>(I629/I612)*AA78</f>
        <v>0</v>
      </c>
      <c r="J692" s="180">
        <f>(J630/J612)*AA79</f>
        <v>0</v>
      </c>
      <c r="K692" s="180">
        <f>(K644/K612)*AA75</f>
        <v>20023.351773857721</v>
      </c>
      <c r="L692" s="180">
        <f>(L647/L612)*AA80</f>
        <v>0</v>
      </c>
      <c r="M692" s="180">
        <f t="shared" si="21"/>
        <v>70848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1990191.68</v>
      </c>
      <c r="D693" s="180">
        <f>(D615/D612)*AB76</f>
        <v>81070.700299205419</v>
      </c>
      <c r="E693" s="180">
        <f>(E623/E612)*SUM(C693:D693)</f>
        <v>355065.79494498199</v>
      </c>
      <c r="F693" s="180">
        <f>(F624/F612)*AB64</f>
        <v>0</v>
      </c>
      <c r="G693" s="180">
        <f>(G625/G612)*AB77</f>
        <v>0</v>
      </c>
      <c r="H693" s="180">
        <f>(H628/H612)*AB60</f>
        <v>5634.3054559964494</v>
      </c>
      <c r="I693" s="180">
        <f>(I629/I612)*AB78</f>
        <v>33170.6045824877</v>
      </c>
      <c r="J693" s="180">
        <f>(J630/J612)*AB79</f>
        <v>0</v>
      </c>
      <c r="K693" s="180">
        <f>(K644/K612)*AB75</f>
        <v>634096.43194379506</v>
      </c>
      <c r="L693" s="180">
        <f>(L647/L612)*AB80</f>
        <v>0</v>
      </c>
      <c r="M693" s="180">
        <f t="shared" si="21"/>
        <v>1109038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691589.66999999993</v>
      </c>
      <c r="D694" s="180">
        <f>(D615/D612)*AC76</f>
        <v>7261.9642489073485</v>
      </c>
      <c r="E694" s="180">
        <f>(E623/E612)*SUM(C694:D694)</f>
        <v>119800.52040888375</v>
      </c>
      <c r="F694" s="180">
        <f>(F624/F612)*AC64</f>
        <v>0</v>
      </c>
      <c r="G694" s="180">
        <f>(G625/G612)*AC77</f>
        <v>0</v>
      </c>
      <c r="H694" s="180">
        <f>(H628/H612)*AC60</f>
        <v>6516.6589519355166</v>
      </c>
      <c r="I694" s="180">
        <f>(I629/I612)*AC78</f>
        <v>2971.4948824443281</v>
      </c>
      <c r="J694" s="180">
        <f>(J630/J612)*AC79</f>
        <v>0</v>
      </c>
      <c r="K694" s="180">
        <f>(K644/K612)*AC75</f>
        <v>104588.39118299205</v>
      </c>
      <c r="L694" s="180">
        <f>(L647/L612)*AC80</f>
        <v>0</v>
      </c>
      <c r="M694" s="180">
        <f t="shared" si="21"/>
        <v>241139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133237.20999999996</v>
      </c>
      <c r="D696" s="180">
        <f>(D615/D612)*AE76</f>
        <v>8153.7844198257944</v>
      </c>
      <c r="E696" s="180">
        <f>(E623/E612)*SUM(C696:D696)</f>
        <v>24237.926739385293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3336.1937967629569</v>
      </c>
      <c r="J696" s="180">
        <f>(J630/J612)*AE79</f>
        <v>0</v>
      </c>
      <c r="K696" s="180">
        <f>(K644/K612)*AE75</f>
        <v>10547.09861698828</v>
      </c>
      <c r="L696" s="180">
        <f>(L647/L612)*AE80</f>
        <v>0</v>
      </c>
      <c r="M696" s="180">
        <f t="shared" si="21"/>
        <v>46275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3609521.5616000001</v>
      </c>
      <c r="D698" s="180">
        <f>(D615/D612)*AG76</f>
        <v>353840.26971869019</v>
      </c>
      <c r="E698" s="180">
        <f>(E623/E612)*SUM(C698:D698)</f>
        <v>679418.61575667909</v>
      </c>
      <c r="F698" s="180">
        <f>(F624/F612)*AG64</f>
        <v>0</v>
      </c>
      <c r="G698" s="180">
        <f>(G625/G612)*AG77</f>
        <v>0</v>
      </c>
      <c r="H698" s="180">
        <f>(H628/H612)*AG60</f>
        <v>24142.467340694224</v>
      </c>
      <c r="I698" s="180">
        <f>(I629/I612)*AG78</f>
        <v>144776.24224764874</v>
      </c>
      <c r="J698" s="180">
        <f>(J630/J612)*AG79</f>
        <v>0</v>
      </c>
      <c r="K698" s="180">
        <f>(K644/K612)*AG75</f>
        <v>1073369.4139497068</v>
      </c>
      <c r="L698" s="180">
        <f>(L647/L612)*AG80</f>
        <v>321716.8633838814</v>
      </c>
      <c r="M698" s="180">
        <f t="shared" si="21"/>
        <v>2597264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18657135.259999998</v>
      </c>
      <c r="D701" s="180">
        <f>(D615/D612)*AJ76</f>
        <v>0</v>
      </c>
      <c r="E701" s="180">
        <f>(E623/E612)*SUM(C701:D701)</f>
        <v>3198296.1818342903</v>
      </c>
      <c r="F701" s="180">
        <f>(F624/F612)*AJ64</f>
        <v>0</v>
      </c>
      <c r="G701" s="180">
        <f>(G625/G612)*AJ77</f>
        <v>0</v>
      </c>
      <c r="H701" s="180">
        <f>(H628/H612)*AJ60</f>
        <v>132448.70127596182</v>
      </c>
      <c r="I701" s="180">
        <f>(I629/I612)*AJ78</f>
        <v>0</v>
      </c>
      <c r="J701" s="180">
        <f>(J630/J612)*AJ79</f>
        <v>0</v>
      </c>
      <c r="K701" s="180">
        <f>(K644/K612)*AJ75</f>
        <v>678653.73007097002</v>
      </c>
      <c r="L701" s="180">
        <f>(L647/L612)*AJ80</f>
        <v>463358.65021597955</v>
      </c>
      <c r="M701" s="180">
        <f t="shared" si="21"/>
        <v>4472757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66540.460000000006</v>
      </c>
      <c r="D702" s="180">
        <f>(D615/D612)*AK76</f>
        <v>0</v>
      </c>
      <c r="E702" s="180">
        <f>(E623/E612)*SUM(C702:D702)</f>
        <v>11406.686835345234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6673.8122233865242</v>
      </c>
      <c r="L702" s="180">
        <f>(L647/L612)*AK80</f>
        <v>0</v>
      </c>
      <c r="M702" s="180">
        <f t="shared" si="21"/>
        <v>18080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21467.82</v>
      </c>
      <c r="D703" s="180">
        <f>(D615/D612)*AL76</f>
        <v>0</v>
      </c>
      <c r="E703" s="180">
        <f>(E623/E612)*SUM(C703:D703)</f>
        <v>3680.1173267747336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1569.9915180239743</v>
      </c>
      <c r="L703" s="180">
        <f>(L647/L612)*AL80</f>
        <v>0</v>
      </c>
      <c r="M703" s="180">
        <f t="shared" si="21"/>
        <v>5250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230421.08142</v>
      </c>
      <c r="D713" s="180">
        <f>(D615/D612)*AV76</f>
        <v>0</v>
      </c>
      <c r="E713" s="180">
        <f>(E623/E612)*SUM(C713:D713)</f>
        <v>39499.893989604607</v>
      </c>
      <c r="F713" s="180">
        <f>(F624/F612)*AV64</f>
        <v>0</v>
      </c>
      <c r="G713" s="180">
        <f>(G625/G612)*AV77</f>
        <v>0</v>
      </c>
      <c r="H713" s="180">
        <f>(H628/H612)*AV60</f>
        <v>21.261530022628111</v>
      </c>
      <c r="I713" s="180">
        <f>(I629/I612)*AV78</f>
        <v>0</v>
      </c>
      <c r="J713" s="180">
        <f>(J630/J612)*AV79</f>
        <v>0</v>
      </c>
      <c r="K713" s="180">
        <f>(K644/K612)*AV75</f>
        <v>-4464.8720774925123</v>
      </c>
      <c r="L713" s="180">
        <f>(L647/L612)*AV80</f>
        <v>0</v>
      </c>
      <c r="M713" s="180">
        <f t="shared" si="21"/>
        <v>35056</v>
      </c>
      <c r="N713" s="199" t="s">
        <v>741</v>
      </c>
    </row>
    <row r="715" spans="1:15" ht="12.6" customHeight="1" x14ac:dyDescent="0.25">
      <c r="C715" s="180">
        <f>SUM(C614:C647)+SUM(C668:C713)</f>
        <v>69745667.395950302</v>
      </c>
      <c r="D715" s="180">
        <f>SUM(D616:D647)+SUM(D668:D713)</f>
        <v>4110144.3619999988</v>
      </c>
      <c r="E715" s="180">
        <f>SUM(E624:E647)+SUM(E668:E713)</f>
        <v>10206492.712148929</v>
      </c>
      <c r="F715" s="180">
        <f>SUM(F625:F648)+SUM(F668:F713)</f>
        <v>0</v>
      </c>
      <c r="G715" s="180">
        <f>SUM(G626:G647)+SUM(G668:G713)</f>
        <v>1434787.6173743638</v>
      </c>
      <c r="H715" s="180">
        <f>SUM(H629:H647)+SUM(H668:H713)</f>
        <v>325524.65541144769</v>
      </c>
      <c r="I715" s="180">
        <f>SUM(I630:I647)+SUM(I668:I713)</f>
        <v>1196697.0854584319</v>
      </c>
      <c r="J715" s="180">
        <f>SUM(J631:J647)+SUM(J668:J713)</f>
        <v>0</v>
      </c>
      <c r="K715" s="180">
        <f>SUM(K668:K713)</f>
        <v>5663125.8356660111</v>
      </c>
      <c r="L715" s="180">
        <f>SUM(L668:L713)</f>
        <v>1900288.6675446583</v>
      </c>
      <c r="M715" s="180">
        <f>SUM(M668:M713)</f>
        <v>21958792</v>
      </c>
      <c r="N715" s="198" t="s">
        <v>742</v>
      </c>
    </row>
    <row r="716" spans="1:15" ht="12.6" customHeight="1" x14ac:dyDescent="0.25">
      <c r="C716" s="180">
        <f>CE71</f>
        <v>69745667.395950302</v>
      </c>
      <c r="D716" s="180">
        <f>D615</f>
        <v>4110144.3619999993</v>
      </c>
      <c r="E716" s="180">
        <f>E623</f>
        <v>10206492.712148929</v>
      </c>
      <c r="F716" s="180">
        <f>F624</f>
        <v>0</v>
      </c>
      <c r="G716" s="180">
        <f>G625</f>
        <v>1434787.6173743638</v>
      </c>
      <c r="H716" s="180">
        <f>H628</f>
        <v>325524.65541144775</v>
      </c>
      <c r="I716" s="180">
        <f>I629</f>
        <v>1196697.0854584319</v>
      </c>
      <c r="J716" s="180">
        <f>J630</f>
        <v>0</v>
      </c>
      <c r="K716" s="180">
        <f>K644</f>
        <v>5663125.8356660092</v>
      </c>
      <c r="L716" s="180">
        <f>L647</f>
        <v>1900288.6675446578</v>
      </c>
      <c r="M716" s="180">
        <f>C648</f>
        <v>21958793.712485049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Elizabeth Hospital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5012509.76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69691077.080000013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35241042.329999998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6109328.8199999994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49878494.919999979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3244038.86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164163982.00999999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1822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1147192.75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2113351.9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3260544.65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172437036.41999999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Elizabeth Hospital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6902895.5499999998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31150639.579999998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22116208.799999997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123810.20999999999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1291602.07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67608.009999999995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17420346.619999997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3268423.02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577013.78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57118115.200000003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1917574.77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36029525.439999998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2322813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121455.59999999998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101354920.81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48292871.230000004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53062049.579999998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58238286.450000003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58238286.450000003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412804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37811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450615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129171297.64999999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Elizabeth Hospital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1224121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2587909.9299999997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-9234965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138564.23000000001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-5284369.84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581345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581345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139988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149303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289291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138564.23000000001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150726.76999999999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133723595.95999999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133723595.95999999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129171297.88999999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Elizabeth Hospital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62736580.859999999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185510766.59999999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248247347.45999998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5012509.76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164163982.00999999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3260544.65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172437036.41999999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75810311.039999992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725620.05999999994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725620.05999999994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76535931.099999994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29986331.080000002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6727149.8600000003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2540556.7799999998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6312024.7300000004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556384.34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16412215.369999999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4372880.93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1577340.96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548964.32999999996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804292.09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168246.18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464897.29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70471283.940000013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6064647.1599999815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3333547.17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9398194.3299999814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9398194.3299999814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Elizabeth Hospital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5143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40.46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3564840.48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896963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220951.94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887.86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149867.68025</v>
      </c>
      <c r="F16" s="14">
        <f>data!F66</f>
        <v>0</v>
      </c>
      <c r="G16" s="14">
        <f>data!G66</f>
        <v>11978.464750000001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399024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3508.5299999999997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14702.240000000002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-3000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5247745.7302500019</v>
      </c>
      <c r="F21" s="14">
        <f>data!F71</f>
        <v>0</v>
      </c>
      <c r="G21" s="14">
        <f>data!G71</f>
        <v>11978.464750000001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4406930</v>
      </c>
      <c r="F23" s="48">
        <f>+data!M671</f>
        <v>0</v>
      </c>
      <c r="G23" s="48">
        <f>+data!M672</f>
        <v>2053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16994767.060000002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3435680.12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20430447.180000003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15865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24945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5676.67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72592.28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23.09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Elizabeth Hospital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524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1165</v>
      </c>
      <c r="I41" s="14">
        <f>data!P59</f>
        <v>156330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13.06</v>
      </c>
      <c r="I42" s="26">
        <f>data!P60</f>
        <v>22.79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1426262.6900000002</v>
      </c>
      <c r="I43" s="14">
        <f>data!P61</f>
        <v>2104301.21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324045</v>
      </c>
      <c r="I44" s="14">
        <f>data!P62</f>
        <v>514982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58348.560000000005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75735.47</v>
      </c>
      <c r="I46" s="14">
        <f>data!P64</f>
        <v>2812442.45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1774.45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64099.780000000006</v>
      </c>
      <c r="I48" s="14">
        <f>data!P66</f>
        <v>377754.8015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155252</v>
      </c>
      <c r="I49" s="14">
        <f>data!P67</f>
        <v>1254494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1470.44</v>
      </c>
      <c r="I50" s="14">
        <f>data!P68</f>
        <v>19328.41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9558.56</v>
      </c>
      <c r="I51" s="14">
        <f>data!P69</f>
        <v>19381.240000000002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-920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2055503.9400000002</v>
      </c>
      <c r="I53" s="14">
        <f>data!P71</f>
        <v>7162807.1215000013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1173320</v>
      </c>
      <c r="I55" s="48">
        <f>+data!M681</f>
        <v>4025941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7312352.2300000004</v>
      </c>
      <c r="I56" s="14">
        <f>data!P73</f>
        <v>15708190.959999997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443953.79000000004</v>
      </c>
      <c r="I57" s="14">
        <f>data!P74</f>
        <v>46637505.379999995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7756306.0200000005</v>
      </c>
      <c r="I58" s="14">
        <f>data!P75</f>
        <v>62345696.339999989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5994</v>
      </c>
      <c r="I60" s="14">
        <f>data!P76</f>
        <v>17054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2144.7199999999998</v>
      </c>
      <c r="I62" s="14">
        <f>data!P78</f>
        <v>6102.1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19948.490000000002</v>
      </c>
      <c r="I63" s="14">
        <f>data!P79</f>
        <v>52876.05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10.55</v>
      </c>
      <c r="I64" s="26">
        <f>data!P80</f>
        <v>9.58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Elizabeth Hospital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7002</v>
      </c>
      <c r="D73" s="48">
        <f>data!R59</f>
        <v>156090</v>
      </c>
      <c r="E73" s="212"/>
      <c r="F73" s="212"/>
      <c r="G73" s="14">
        <f>data!U59</f>
        <v>86125</v>
      </c>
      <c r="H73" s="14">
        <f>data!V59</f>
        <v>0</v>
      </c>
      <c r="I73" s="14">
        <f>data!W59</f>
        <v>1389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10.42</v>
      </c>
      <c r="D74" s="26">
        <f>data!R60</f>
        <v>0</v>
      </c>
      <c r="E74" s="26">
        <f>data!S60</f>
        <v>5.09</v>
      </c>
      <c r="F74" s="26">
        <f>data!T60</f>
        <v>0.08</v>
      </c>
      <c r="G74" s="26">
        <f>data!U60</f>
        <v>11.26</v>
      </c>
      <c r="H74" s="26">
        <f>data!V60</f>
        <v>0</v>
      </c>
      <c r="I74" s="26">
        <f>data!W60</f>
        <v>1.88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1158402.4500000002</v>
      </c>
      <c r="D75" s="14">
        <f>data!R61</f>
        <v>0</v>
      </c>
      <c r="E75" s="14">
        <f>data!S61</f>
        <v>288873.27999999997</v>
      </c>
      <c r="F75" s="14">
        <f>data!T61</f>
        <v>23073.260000000002</v>
      </c>
      <c r="G75" s="14">
        <f>data!U61</f>
        <v>858415.46</v>
      </c>
      <c r="H75" s="14">
        <f>data!V61</f>
        <v>0</v>
      </c>
      <c r="I75" s="14">
        <f>data!W61</f>
        <v>209088.92000000004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262429</v>
      </c>
      <c r="D76" s="14">
        <f>data!R62</f>
        <v>0</v>
      </c>
      <c r="E76" s="14">
        <f>data!S62</f>
        <v>95201</v>
      </c>
      <c r="F76" s="14">
        <f>data!T62</f>
        <v>3765</v>
      </c>
      <c r="G76" s="14">
        <f>data!U62</f>
        <v>230741</v>
      </c>
      <c r="H76" s="14">
        <f>data!V62</f>
        <v>0</v>
      </c>
      <c r="I76" s="14">
        <f>data!W62</f>
        <v>47068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181895.50999999998</v>
      </c>
      <c r="E77" s="14">
        <f>data!S63</f>
        <v>0</v>
      </c>
      <c r="F77" s="14">
        <f>data!T63</f>
        <v>0</v>
      </c>
      <c r="G77" s="14">
        <f>data!U63</f>
        <v>22327.32</v>
      </c>
      <c r="H77" s="14">
        <f>data!V63</f>
        <v>0</v>
      </c>
      <c r="I77" s="14">
        <f>data!W63</f>
        <v>2300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60573.529999999992</v>
      </c>
      <c r="D78" s="14">
        <f>data!R64</f>
        <v>71345.959999999992</v>
      </c>
      <c r="E78" s="14">
        <f>data!S64</f>
        <v>-62726.289999999994</v>
      </c>
      <c r="F78" s="14">
        <f>data!T64</f>
        <v>23841.649999999998</v>
      </c>
      <c r="G78" s="14">
        <f>data!U64</f>
        <v>491972.32999999996</v>
      </c>
      <c r="H78" s="14">
        <f>data!V64</f>
        <v>0</v>
      </c>
      <c r="I78" s="14">
        <f>data!W64</f>
        <v>14489.189999999999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194.76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10167.469999999998</v>
      </c>
      <c r="D80" s="14">
        <f>data!R66</f>
        <v>18997.919999999998</v>
      </c>
      <c r="E80" s="14">
        <f>data!S66</f>
        <v>49455.885445250002</v>
      </c>
      <c r="F80" s="14">
        <f>data!T66</f>
        <v>21561.998500000002</v>
      </c>
      <c r="G80" s="14">
        <f>data!U66</f>
        <v>295653.44999999995</v>
      </c>
      <c r="H80" s="14">
        <f>data!V66</f>
        <v>0</v>
      </c>
      <c r="I80" s="14">
        <f>data!W66</f>
        <v>134669.01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36674</v>
      </c>
      <c r="D81" s="14">
        <f>data!R67</f>
        <v>5886</v>
      </c>
      <c r="E81" s="14">
        <f>data!S67</f>
        <v>58068</v>
      </c>
      <c r="F81" s="14">
        <f>data!T67</f>
        <v>0</v>
      </c>
      <c r="G81" s="14">
        <f>data!U67</f>
        <v>60320</v>
      </c>
      <c r="H81" s="14">
        <f>data!V67</f>
        <v>0</v>
      </c>
      <c r="I81" s="14">
        <f>data!W67</f>
        <v>178944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1733.72</v>
      </c>
      <c r="D82" s="14">
        <f>data!R68</f>
        <v>-95.78</v>
      </c>
      <c r="E82" s="14">
        <f>data!S68</f>
        <v>1621.07</v>
      </c>
      <c r="F82" s="14">
        <f>data!T68</f>
        <v>0</v>
      </c>
      <c r="G82" s="14">
        <f>data!U68</f>
        <v>69001.740000000005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2879.92</v>
      </c>
      <c r="D83" s="14">
        <f>data!R69</f>
        <v>0</v>
      </c>
      <c r="E83" s="14">
        <f>data!S69</f>
        <v>1189.9299999999998</v>
      </c>
      <c r="F83" s="14">
        <f>data!T69</f>
        <v>0</v>
      </c>
      <c r="G83" s="14">
        <f>data!U69</f>
        <v>46034.03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-43396.52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1532860.09</v>
      </c>
      <c r="D85" s="14">
        <f>data!R71</f>
        <v>278029.60999999993</v>
      </c>
      <c r="E85" s="14">
        <f>data!S71</f>
        <v>431682.87544525001</v>
      </c>
      <c r="F85" s="14">
        <f>data!T71</f>
        <v>72241.908500000005</v>
      </c>
      <c r="G85" s="14">
        <f>data!U71</f>
        <v>2031263.5699999998</v>
      </c>
      <c r="H85" s="14">
        <f>data!V71</f>
        <v>0</v>
      </c>
      <c r="I85" s="14">
        <f>data!W71</f>
        <v>586559.12000000011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687109</v>
      </c>
      <c r="D87" s="48">
        <f>+data!M683</f>
        <v>181167</v>
      </c>
      <c r="E87" s="48">
        <f>+data!M684</f>
        <v>277762</v>
      </c>
      <c r="F87" s="48">
        <f>+data!M685</f>
        <v>24026</v>
      </c>
      <c r="G87" s="48">
        <f>+data!M686</f>
        <v>752047</v>
      </c>
      <c r="H87" s="48">
        <f>+data!M687</f>
        <v>0</v>
      </c>
      <c r="I87" s="48">
        <f>+data!M688</f>
        <v>217444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1200513.04</v>
      </c>
      <c r="D88" s="14">
        <f>data!R73</f>
        <v>1475042.26</v>
      </c>
      <c r="E88" s="14">
        <f>data!S73</f>
        <v>0</v>
      </c>
      <c r="F88" s="14">
        <f>data!T73</f>
        <v>396494.5</v>
      </c>
      <c r="G88" s="14">
        <f>data!U73</f>
        <v>3759650.0199999996</v>
      </c>
      <c r="H88" s="14">
        <f>data!V73</f>
        <v>0</v>
      </c>
      <c r="I88" s="14">
        <f>data!W73</f>
        <v>213265.9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5481051.959999999</v>
      </c>
      <c r="D89" s="14">
        <f>data!R74</f>
        <v>3812329.52</v>
      </c>
      <c r="E89" s="14">
        <f>data!S74</f>
        <v>0</v>
      </c>
      <c r="F89" s="14">
        <f>data!T74</f>
        <v>34394.660000000003</v>
      </c>
      <c r="G89" s="14">
        <f>data!U74</f>
        <v>8633801.7400000002</v>
      </c>
      <c r="H89" s="14">
        <f>data!V74</f>
        <v>0</v>
      </c>
      <c r="I89" s="14">
        <f>data!W74</f>
        <v>2704707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6681564.9999999991</v>
      </c>
      <c r="D90" s="14">
        <f>data!R75</f>
        <v>5287371.78</v>
      </c>
      <c r="E90" s="14">
        <f>data!S75</f>
        <v>0</v>
      </c>
      <c r="F90" s="14">
        <f>data!T75</f>
        <v>430889.16000000003</v>
      </c>
      <c r="G90" s="14">
        <f>data!U75</f>
        <v>12393451.76</v>
      </c>
      <c r="H90" s="14">
        <f>data!V75</f>
        <v>0</v>
      </c>
      <c r="I90" s="14">
        <f>data!W75</f>
        <v>2917972.9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1200</v>
      </c>
      <c r="D92" s="14">
        <f>data!R76</f>
        <v>192</v>
      </c>
      <c r="E92" s="14">
        <f>data!S76</f>
        <v>2955</v>
      </c>
      <c r="F92" s="14">
        <f>data!T76</f>
        <v>0</v>
      </c>
      <c r="G92" s="14">
        <f>data!U76</f>
        <v>1626</v>
      </c>
      <c r="H92" s="14">
        <f>data!V76</f>
        <v>0</v>
      </c>
      <c r="I92" s="14">
        <f>data!W76</f>
        <v>720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429.37</v>
      </c>
      <c r="D94" s="14">
        <f>data!R78</f>
        <v>68.7</v>
      </c>
      <c r="E94" s="14">
        <f>data!S78</f>
        <v>1057.33</v>
      </c>
      <c r="F94" s="14">
        <f>data!T78</f>
        <v>0</v>
      </c>
      <c r="G94" s="14">
        <f>data!U78</f>
        <v>581.79999999999995</v>
      </c>
      <c r="H94" s="14">
        <f>data!V78</f>
        <v>0</v>
      </c>
      <c r="I94" s="14">
        <f>data!W78</f>
        <v>257.62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8.35</v>
      </c>
      <c r="D96" s="84">
        <f>data!R80</f>
        <v>0</v>
      </c>
      <c r="E96" s="84">
        <f>data!S80</f>
        <v>0</v>
      </c>
      <c r="F96" s="84">
        <f>data!T80</f>
        <v>0.08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Elizabeth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5244</v>
      </c>
      <c r="D105" s="14">
        <f>data!Y59</f>
        <v>17113</v>
      </c>
      <c r="E105" s="14">
        <f>data!Z59</f>
        <v>0</v>
      </c>
      <c r="F105" s="14">
        <f>data!AA59</f>
        <v>347</v>
      </c>
      <c r="G105" s="212"/>
      <c r="H105" s="14">
        <f>data!AC59</f>
        <v>11609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4.92</v>
      </c>
      <c r="D106" s="26">
        <f>data!Y60</f>
        <v>11.7</v>
      </c>
      <c r="E106" s="26">
        <f>data!Z60</f>
        <v>0</v>
      </c>
      <c r="F106" s="26">
        <f>data!AA60</f>
        <v>1.27</v>
      </c>
      <c r="G106" s="26">
        <f>data!AB60</f>
        <v>5.3</v>
      </c>
      <c r="H106" s="26">
        <f>data!AC60</f>
        <v>6.13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502678.26</v>
      </c>
      <c r="D107" s="14">
        <f>data!Y61</f>
        <v>1045809.79</v>
      </c>
      <c r="E107" s="14">
        <f>data!Z61</f>
        <v>0</v>
      </c>
      <c r="F107" s="14">
        <f>data!AA61</f>
        <v>149186.23999999999</v>
      </c>
      <c r="G107" s="14">
        <f>data!AB61</f>
        <v>648606.49</v>
      </c>
      <c r="H107" s="14">
        <f>data!AC61</f>
        <v>515744.67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119530</v>
      </c>
      <c r="D108" s="14">
        <f>data!Y62</f>
        <v>261704</v>
      </c>
      <c r="E108" s="14">
        <f>data!Z62</f>
        <v>0</v>
      </c>
      <c r="F108" s="14">
        <f>data!AA62</f>
        <v>32977</v>
      </c>
      <c r="G108" s="14">
        <f>data!AB62</f>
        <v>138024</v>
      </c>
      <c r="H108" s="14">
        <f>data!AC62</f>
        <v>137052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1350</v>
      </c>
      <c r="D109" s="14">
        <f>data!Y63</f>
        <v>12579</v>
      </c>
      <c r="E109" s="14">
        <f>data!Z63</f>
        <v>0</v>
      </c>
      <c r="F109" s="14">
        <f>data!AA63</f>
        <v>4375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53595.25</v>
      </c>
      <c r="D110" s="14">
        <f>data!Y64</f>
        <v>20308.439999999999</v>
      </c>
      <c r="E110" s="14">
        <f>data!Z64</f>
        <v>0</v>
      </c>
      <c r="F110" s="14">
        <f>data!AA64</f>
        <v>69406.92</v>
      </c>
      <c r="G110" s="14">
        <f>data!AB64</f>
        <v>1016175</v>
      </c>
      <c r="H110" s="14">
        <f>data!AC64</f>
        <v>21727.800000000003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76.13</v>
      </c>
      <c r="E111" s="14">
        <f>data!Z65</f>
        <v>0</v>
      </c>
      <c r="F111" s="14">
        <f>data!AA65</f>
        <v>0</v>
      </c>
      <c r="G111" s="14">
        <f>data!AB65</f>
        <v>165.45</v>
      </c>
      <c r="H111" s="14">
        <f>data!AC65</f>
        <v>16.2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101234.34999999999</v>
      </c>
      <c r="D112" s="14">
        <f>data!Y66</f>
        <v>158235</v>
      </c>
      <c r="E112" s="14">
        <f>data!Z66</f>
        <v>0</v>
      </c>
      <c r="F112" s="14">
        <f>data!AA66</f>
        <v>21442.89</v>
      </c>
      <c r="G112" s="14">
        <f>data!AB66</f>
        <v>91188.98</v>
      </c>
      <c r="H112" s="14">
        <f>data!AC66</f>
        <v>458.7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11319</v>
      </c>
      <c r="D113" s="14">
        <f>data!Y67</f>
        <v>396770</v>
      </c>
      <c r="E113" s="14">
        <f>data!Z67</f>
        <v>0</v>
      </c>
      <c r="F113" s="14">
        <f>data!AA67</f>
        <v>10963</v>
      </c>
      <c r="G113" s="14">
        <f>data!AB67</f>
        <v>84117</v>
      </c>
      <c r="H113" s="14">
        <f>data!AC67</f>
        <v>13087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4070.01</v>
      </c>
      <c r="E114" s="14">
        <f>data!Z68</f>
        <v>0</v>
      </c>
      <c r="F114" s="14">
        <f>data!AA68</f>
        <v>0</v>
      </c>
      <c r="G114" s="14">
        <f>data!AB68</f>
        <v>9168.36</v>
      </c>
      <c r="H114" s="14">
        <f>data!AC68</f>
        <v>42.029999999999994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391.62</v>
      </c>
      <c r="D115" s="14">
        <f>data!Y69</f>
        <v>2135</v>
      </c>
      <c r="E115" s="14">
        <f>data!Z69</f>
        <v>0</v>
      </c>
      <c r="F115" s="14">
        <f>data!AA69</f>
        <v>254.37</v>
      </c>
      <c r="G115" s="14">
        <f>data!AB69</f>
        <v>2746.4</v>
      </c>
      <c r="H115" s="14">
        <f>data!AC69</f>
        <v>3461.2700000000004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-4294.76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790098.48</v>
      </c>
      <c r="D117" s="14">
        <f>data!Y71</f>
        <v>1897392.6099999999</v>
      </c>
      <c r="E117" s="14">
        <f>data!Z71</f>
        <v>0</v>
      </c>
      <c r="F117" s="14">
        <f>data!AA71</f>
        <v>288605.42</v>
      </c>
      <c r="G117" s="14">
        <f>data!AB71</f>
        <v>1990191.68</v>
      </c>
      <c r="H117" s="14">
        <f>data!AC71</f>
        <v>691589.66999999993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454227</v>
      </c>
      <c r="D119" s="48">
        <f>+data!M690</f>
        <v>1161059</v>
      </c>
      <c r="E119" s="48">
        <f>+data!M691</f>
        <v>0</v>
      </c>
      <c r="F119" s="48">
        <f>+data!M692</f>
        <v>70848</v>
      </c>
      <c r="G119" s="48">
        <f>+data!M693</f>
        <v>1109038</v>
      </c>
      <c r="H119" s="48">
        <f>+data!M694</f>
        <v>241139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1226179.54</v>
      </c>
      <c r="D120" s="14">
        <f>data!Y73</f>
        <v>656273.42000000004</v>
      </c>
      <c r="E120" s="14">
        <f>data!Z73</f>
        <v>0</v>
      </c>
      <c r="F120" s="14">
        <f>data!AA73</f>
        <v>56820.73</v>
      </c>
      <c r="G120" s="14">
        <f>data!AB73</f>
        <v>8885593.6999999993</v>
      </c>
      <c r="H120" s="14">
        <f>data!AC73</f>
        <v>2241837.59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10823852.74</v>
      </c>
      <c r="D121" s="14">
        <f>data!Y74</f>
        <v>6609568.4500000002</v>
      </c>
      <c r="E121" s="14">
        <f>data!Z74</f>
        <v>0</v>
      </c>
      <c r="F121" s="14">
        <f>data!AA74</f>
        <v>820917.84000000008</v>
      </c>
      <c r="G121" s="14">
        <f>data!AB74</f>
        <v>18910496.670000002</v>
      </c>
      <c r="H121" s="14">
        <f>data!AC74</f>
        <v>2342872.6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12050032.280000001</v>
      </c>
      <c r="D122" s="14">
        <f>data!Y75</f>
        <v>7265841.8700000001</v>
      </c>
      <c r="E122" s="14">
        <f>data!Z75</f>
        <v>0</v>
      </c>
      <c r="F122" s="14">
        <f>data!AA75</f>
        <v>877738.57000000007</v>
      </c>
      <c r="G122" s="14">
        <f>data!AB75</f>
        <v>27796090.370000001</v>
      </c>
      <c r="H122" s="14">
        <f>data!AC75</f>
        <v>4584710.1899999995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576</v>
      </c>
      <c r="D124" s="14">
        <f>data!Y76</f>
        <v>9797</v>
      </c>
      <c r="E124" s="14">
        <f>data!Z76</f>
        <v>0</v>
      </c>
      <c r="F124" s="14">
        <f>data!AA76</f>
        <v>0</v>
      </c>
      <c r="G124" s="14">
        <f>data!AB76</f>
        <v>1909</v>
      </c>
      <c r="H124" s="14">
        <f>data!AC76</f>
        <v>171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206.1</v>
      </c>
      <c r="D126" s="14">
        <f>data!Y78</f>
        <v>3505.47</v>
      </c>
      <c r="E126" s="14">
        <f>data!Z78</f>
        <v>0</v>
      </c>
      <c r="F126" s="14">
        <f>data!AA78</f>
        <v>0</v>
      </c>
      <c r="G126" s="14">
        <f>data!AB78</f>
        <v>683.06</v>
      </c>
      <c r="H126" s="14">
        <f>data!AC78</f>
        <v>61.19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27417.040000000001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Elizabeth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14985</v>
      </c>
      <c r="F137" s="14">
        <f>data!AH59</f>
        <v>0</v>
      </c>
      <c r="G137" s="14">
        <f>data!AI59</f>
        <v>0</v>
      </c>
      <c r="H137" s="14">
        <f>data!AJ59</f>
        <v>101240.3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22.71</v>
      </c>
      <c r="F138" s="26">
        <f>data!AH60</f>
        <v>0</v>
      </c>
      <c r="G138" s="26">
        <f>data!AI60</f>
        <v>0</v>
      </c>
      <c r="H138" s="26">
        <f>data!AJ60</f>
        <v>124.59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2213607.4300000002</v>
      </c>
      <c r="F139" s="14">
        <f>data!AH61</f>
        <v>0</v>
      </c>
      <c r="G139" s="14">
        <f>data!AI61</f>
        <v>0</v>
      </c>
      <c r="H139" s="14">
        <f>data!AJ61</f>
        <v>12281694.259999998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533007</v>
      </c>
      <c r="F140" s="14">
        <f>data!AH62</f>
        <v>0</v>
      </c>
      <c r="G140" s="14">
        <f>data!AI62</f>
        <v>0</v>
      </c>
      <c r="H140" s="14">
        <f>data!AJ62</f>
        <v>2287696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281006.54000000004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226408.86999999997</v>
      </c>
      <c r="F142" s="14">
        <f>data!AH64</f>
        <v>0</v>
      </c>
      <c r="G142" s="14">
        <f>data!AI64</f>
        <v>0</v>
      </c>
      <c r="H142" s="14">
        <f>data!AJ64</f>
        <v>780648.15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649.86</v>
      </c>
      <c r="F143" s="14">
        <f>data!AH65</f>
        <v>0</v>
      </c>
      <c r="G143" s="14">
        <f>data!AI65</f>
        <v>0</v>
      </c>
      <c r="H143" s="14">
        <f>data!AJ65</f>
        <v>108783.66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129464.20999999998</v>
      </c>
      <c r="D144" s="14">
        <f>data!AF66</f>
        <v>0</v>
      </c>
      <c r="E144" s="14">
        <f>data!AG66</f>
        <v>138003.81160000002</v>
      </c>
      <c r="F144" s="14">
        <f>data!AH66</f>
        <v>0</v>
      </c>
      <c r="G144" s="14">
        <f>data!AI66</f>
        <v>0</v>
      </c>
      <c r="H144" s="14">
        <f>data!AJ66</f>
        <v>908390.35</v>
      </c>
      <c r="I144" s="14">
        <f>data!AK66</f>
        <v>66540.460000000006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3773</v>
      </c>
      <c r="D145" s="14">
        <f>data!AF67</f>
        <v>0</v>
      </c>
      <c r="E145" s="14">
        <f>data!AG67</f>
        <v>208147</v>
      </c>
      <c r="F145" s="14">
        <f>data!AH67</f>
        <v>0</v>
      </c>
      <c r="G145" s="14">
        <f>data!AI67</f>
        <v>0</v>
      </c>
      <c r="H145" s="14">
        <f>data!AJ67</f>
        <v>669015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1171.17</v>
      </c>
      <c r="F146" s="14">
        <f>data!AH68</f>
        <v>0</v>
      </c>
      <c r="G146" s="14">
        <f>data!AI68</f>
        <v>0</v>
      </c>
      <c r="H146" s="14">
        <f>data!AJ68</f>
        <v>1379973.0699999998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7519.880000000001</v>
      </c>
      <c r="F147" s="14">
        <f>data!AH69</f>
        <v>0</v>
      </c>
      <c r="G147" s="14">
        <f>data!AI69</f>
        <v>0</v>
      </c>
      <c r="H147" s="14">
        <f>data!AJ69</f>
        <v>539749.29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-298814.52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133237.20999999996</v>
      </c>
      <c r="D149" s="14">
        <f>data!AF71</f>
        <v>0</v>
      </c>
      <c r="E149" s="14">
        <f>data!AG71</f>
        <v>3609521.5616000001</v>
      </c>
      <c r="F149" s="14">
        <f>data!AH71</f>
        <v>0</v>
      </c>
      <c r="G149" s="14">
        <f>data!AI71</f>
        <v>0</v>
      </c>
      <c r="H149" s="14">
        <f>data!AJ71</f>
        <v>18657135.259999998</v>
      </c>
      <c r="I149" s="14">
        <f>data!AK71</f>
        <v>66540.460000000006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46275</v>
      </c>
      <c r="D151" s="48">
        <f>+data!M697</f>
        <v>0</v>
      </c>
      <c r="E151" s="48">
        <f>+data!M698</f>
        <v>2597264</v>
      </c>
      <c r="F151" s="48">
        <f>+data!M699</f>
        <v>0</v>
      </c>
      <c r="G151" s="48">
        <f>+data!M700</f>
        <v>0</v>
      </c>
      <c r="H151" s="48">
        <f>+data!M701</f>
        <v>4472757</v>
      </c>
      <c r="I151" s="48">
        <f>+data!M702</f>
        <v>18080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369191.35</v>
      </c>
      <c r="D152" s="14">
        <f>data!AF73</f>
        <v>0</v>
      </c>
      <c r="E152" s="14">
        <f>data!AG73</f>
        <v>1976398.42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250755.29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93148.59</v>
      </c>
      <c r="D153" s="14">
        <f>data!AF74</f>
        <v>0</v>
      </c>
      <c r="E153" s="14">
        <f>data!AG74</f>
        <v>45075550.980000004</v>
      </c>
      <c r="F153" s="14">
        <f>data!AH74</f>
        <v>0</v>
      </c>
      <c r="G153" s="14">
        <f>data!AI74</f>
        <v>0</v>
      </c>
      <c r="H153" s="14">
        <f>data!AJ74</f>
        <v>29749292.790000003</v>
      </c>
      <c r="I153" s="14">
        <f>data!AK74</f>
        <v>41796.25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462339.93999999994</v>
      </c>
      <c r="D154" s="14">
        <f>data!AF75</f>
        <v>0</v>
      </c>
      <c r="E154" s="14">
        <f>data!AG75</f>
        <v>47051949.400000006</v>
      </c>
      <c r="F154" s="14">
        <f>data!AH75</f>
        <v>0</v>
      </c>
      <c r="G154" s="14">
        <f>data!AI75</f>
        <v>0</v>
      </c>
      <c r="H154" s="14">
        <f>data!AJ75</f>
        <v>29749292.790000003</v>
      </c>
      <c r="I154" s="14">
        <f>data!AK75</f>
        <v>292551.54000000004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192</v>
      </c>
      <c r="D156" s="14">
        <f>data!AF76</f>
        <v>0</v>
      </c>
      <c r="E156" s="14">
        <f>data!AG76</f>
        <v>8332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68.7</v>
      </c>
      <c r="D158" s="14">
        <f>data!AF78</f>
        <v>0</v>
      </c>
      <c r="E158" s="14">
        <f>data!AG78</f>
        <v>2981.28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67279.25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14.9</v>
      </c>
      <c r="F160" s="26">
        <f>data!AH80</f>
        <v>0</v>
      </c>
      <c r="G160" s="26">
        <f>data!AI80</f>
        <v>0</v>
      </c>
      <c r="H160" s="26">
        <f>data!AJ80</f>
        <v>21.46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Elizabeth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191.88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21219.3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33.64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21467.82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5250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59859.149999999994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8962.5999999999985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68821.75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Elizabeth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24945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0.02</v>
      </c>
      <c r="G202" s="26">
        <f>data!AW60</f>
        <v>0</v>
      </c>
      <c r="H202" s="26">
        <f>data!AX60</f>
        <v>0</v>
      </c>
      <c r="I202" s="26">
        <f>data!AY60</f>
        <v>11.81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476831.27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197116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279540.6399999999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361.11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230421.08142</v>
      </c>
      <c r="G208" s="14">
        <f>data!AW66</f>
        <v>0</v>
      </c>
      <c r="H208" s="14">
        <f>data!AX66</f>
        <v>19488.455999999998</v>
      </c>
      <c r="I208" s="14">
        <f>data!AY66</f>
        <v>314824.19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122274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3497.49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21381.279999999999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-368135.84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230421.08142</v>
      </c>
      <c r="G213" s="14">
        <f>data!AW71</f>
        <v>0</v>
      </c>
      <c r="H213" s="14">
        <f>data!AX71</f>
        <v>19488.455999999998</v>
      </c>
      <c r="I213" s="14">
        <f>data!AY71</f>
        <v>1047690.1399999999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35056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-46604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-149117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-195721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4171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Elizabeth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101157</v>
      </c>
      <c r="D233" s="14">
        <f>data!BA59</f>
        <v>0</v>
      </c>
      <c r="E233" s="212"/>
      <c r="F233" s="212"/>
      <c r="G233" s="212"/>
      <c r="H233" s="14">
        <f>data!BE59</f>
        <v>100342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3.73</v>
      </c>
      <c r="I234" s="26">
        <f>data!BF60</f>
        <v>11.85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265282.07000000007</v>
      </c>
      <c r="I235" s="14">
        <f>data!BF61</f>
        <v>554415.68999999994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78261</v>
      </c>
      <c r="I236" s="14">
        <f>data!BF62</f>
        <v>200782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16198.619999999999</v>
      </c>
      <c r="I238" s="14">
        <f>data!BF64</f>
        <v>58106.160000000011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408804.30999999994</v>
      </c>
      <c r="I239" s="14">
        <f>data!BF65</f>
        <v>368.27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1715730.0719999997</v>
      </c>
      <c r="I240" s="14">
        <f>data!BF66</f>
        <v>94333.430000000022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92235</v>
      </c>
      <c r="I241" s="14">
        <f>data!BF67</f>
        <v>38558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10257.879999999999</v>
      </c>
      <c r="I242" s="14">
        <f>data!BF68</f>
        <v>2010.77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1883.3000000000004</v>
      </c>
      <c r="I243" s="14">
        <f>data!BF69</f>
        <v>455.27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-10.89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2588641.3619999993</v>
      </c>
      <c r="I245" s="14">
        <f>data!BF71</f>
        <v>949029.59000000008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3559</v>
      </c>
      <c r="I252" s="85">
        <f>data!BF76</f>
        <v>1455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Elizabeth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-1561.38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-426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123.35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9290.630000000001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33153.119999999995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83895.798250000007</v>
      </c>
      <c r="D272" s="14">
        <f>data!BH66</f>
        <v>614012.13500000001</v>
      </c>
      <c r="E272" s="14">
        <f>data!BI66</f>
        <v>0</v>
      </c>
      <c r="F272" s="14">
        <f>data!BJ66</f>
        <v>87264.259249999988</v>
      </c>
      <c r="G272" s="14">
        <f>data!BK66</f>
        <v>557814.17985347495</v>
      </c>
      <c r="H272" s="14">
        <f>data!BL66</f>
        <v>1505435.66738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84114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142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2824.17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9236.6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7.52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-0.17000000000007276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115061.53825</v>
      </c>
      <c r="D277" s="14">
        <f>data!BH71</f>
        <v>701073.65500000003</v>
      </c>
      <c r="E277" s="14">
        <f>data!BI71</f>
        <v>-0.17000000000007276</v>
      </c>
      <c r="F277" s="14">
        <f>data!BJ71</f>
        <v>87264.259249999988</v>
      </c>
      <c r="G277" s="14">
        <f>data!BK71</f>
        <v>557814.17985347495</v>
      </c>
      <c r="H277" s="14">
        <f>data!BL71</f>
        <v>1524112.41738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Elizabeth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2.2400000000000002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309278.28000000003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60604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47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22510.439999999995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441.81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635143.1647136251</v>
      </c>
      <c r="D304" s="14">
        <f>data!BO66</f>
        <v>63607.626500000006</v>
      </c>
      <c r="E304" s="14">
        <f>data!BP66</f>
        <v>335208.30449999997</v>
      </c>
      <c r="F304" s="14">
        <f>data!BQ66</f>
        <v>0</v>
      </c>
      <c r="G304" s="14">
        <f>data!BR66</f>
        <v>214014.21275000001</v>
      </c>
      <c r="H304" s="14">
        <f>data!BS66</f>
        <v>17575.629749999996</v>
      </c>
      <c r="I304" s="14">
        <f>data!BT66</f>
        <v>30091.622249999997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444746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12098.840000000002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39300.89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218.95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-6715.5899999999992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1517407.834713625</v>
      </c>
      <c r="D309" s="14">
        <f>data!BO71</f>
        <v>63607.626500000006</v>
      </c>
      <c r="E309" s="14">
        <f>data!BP71</f>
        <v>335208.30449999997</v>
      </c>
      <c r="F309" s="14">
        <f>data!BQ71</f>
        <v>0</v>
      </c>
      <c r="G309" s="14">
        <f>data!BR71</f>
        <v>214280.16275000002</v>
      </c>
      <c r="H309" s="14">
        <f>data!BS71</f>
        <v>17575.629749999996</v>
      </c>
      <c r="I309" s="14">
        <f>data!BT71</f>
        <v>30091.622249999997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22286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Elizabeth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</v>
      </c>
      <c r="G330" s="26">
        <f>data!BY60</f>
        <v>11.68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86798.430000000022</v>
      </c>
      <c r="G331" s="86">
        <f>data!BY61</f>
        <v>1178551.56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22439</v>
      </c>
      <c r="G332" s="86">
        <f>data!BY62</f>
        <v>283034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40.54</v>
      </c>
      <c r="G334" s="86">
        <f>data!BY64</f>
        <v>3274.8399999999992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707.34999999999991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10482.752750000003</v>
      </c>
      <c r="D336" s="86">
        <f>data!BV66</f>
        <v>767035.98836307495</v>
      </c>
      <c r="E336" s="86">
        <f>data!BW66</f>
        <v>154452.670456375</v>
      </c>
      <c r="F336" s="86">
        <f>data!BX66</f>
        <v>798463.59161359991</v>
      </c>
      <c r="G336" s="86">
        <f>data!BY66</f>
        <v>28829.389150000003</v>
      </c>
      <c r="H336" s="86">
        <f>data!BZ66</f>
        <v>0</v>
      </c>
      <c r="I336" s="86">
        <f>data!CA66</f>
        <v>93033.581999999995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41502</v>
      </c>
      <c r="E337" s="86">
        <f>data!BW67</f>
        <v>0</v>
      </c>
      <c r="F337" s="86">
        <f>data!BX67</f>
        <v>0</v>
      </c>
      <c r="G337" s="86">
        <f>data!BY67</f>
        <v>3459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83.02</v>
      </c>
      <c r="G338" s="86">
        <f>data!BY68</f>
        <v>4559.3599999999997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498.93</v>
      </c>
      <c r="G339" s="86">
        <f>data!BY69</f>
        <v>6401.09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-331.77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10482.752750000003</v>
      </c>
      <c r="D341" s="14">
        <f>data!BV71</f>
        <v>808537.98836307495</v>
      </c>
      <c r="E341" s="14">
        <f>data!BW71</f>
        <v>154452.670456375</v>
      </c>
      <c r="F341" s="14">
        <f>data!BX71</f>
        <v>908323.51161359996</v>
      </c>
      <c r="G341" s="14">
        <f>data!BY71</f>
        <v>1508484.8191500003</v>
      </c>
      <c r="H341" s="14">
        <f>data!BZ71</f>
        <v>0</v>
      </c>
      <c r="I341" s="14">
        <f>data!CA71</f>
        <v>93033.581999999995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2112</v>
      </c>
      <c r="E348" s="85">
        <f>data!BW76</f>
        <v>0</v>
      </c>
      <c r="F348" s="85">
        <f>data!BX76</f>
        <v>0</v>
      </c>
      <c r="G348" s="85">
        <f>data!BY76</f>
        <v>176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755.7</v>
      </c>
      <c r="E350" s="85">
        <f>data!BW78</f>
        <v>0</v>
      </c>
      <c r="F350" s="85">
        <f>data!BX78</f>
        <v>0</v>
      </c>
      <c r="G350" s="85">
        <f>data!BY78</f>
        <v>62.97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Elizabeth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323.99000000000007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125958.62</v>
      </c>
      <c r="E363" s="218"/>
      <c r="F363" s="219"/>
      <c r="G363" s="219"/>
      <c r="H363" s="219"/>
      <c r="I363" s="86">
        <f>data!CE61</f>
        <v>29986331.309999995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86</v>
      </c>
      <c r="E364" s="218"/>
      <c r="F364" s="219"/>
      <c r="G364" s="219"/>
      <c r="H364" s="219"/>
      <c r="I364" s="86">
        <f>data!CE62</f>
        <v>6727150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1976375</v>
      </c>
      <c r="E365" s="218"/>
      <c r="F365" s="219"/>
      <c r="G365" s="219"/>
      <c r="H365" s="219"/>
      <c r="I365" s="86">
        <f>data!CE63</f>
        <v>2540556.9299999997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26043.119999999999</v>
      </c>
      <c r="E366" s="218"/>
      <c r="F366" s="219"/>
      <c r="G366" s="219"/>
      <c r="H366" s="219"/>
      <c r="I366" s="86">
        <f>data!CE64</f>
        <v>6312025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556384.34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11254.406750000002</v>
      </c>
      <c r="D368" s="86">
        <f>data!CC66</f>
        <v>5259419.3632049002</v>
      </c>
      <c r="E368" s="218"/>
      <c r="F368" s="219"/>
      <c r="G368" s="219"/>
      <c r="H368" s="219"/>
      <c r="I368" s="86">
        <f>data!CE66</f>
        <v>16412216.085950296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4372883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41780</v>
      </c>
      <c r="E370" s="218"/>
      <c r="F370" s="219"/>
      <c r="G370" s="219"/>
      <c r="H370" s="219"/>
      <c r="I370" s="86">
        <f>data!CE68</f>
        <v>1577340.9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-255287.73000000021</v>
      </c>
      <c r="E371" s="86">
        <f>data!CD69</f>
        <v>1521503</v>
      </c>
      <c r="F371" s="219"/>
      <c r="G371" s="219"/>
      <c r="H371" s="219"/>
      <c r="I371" s="86">
        <f>data!CE69</f>
        <v>1986399.89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-725620.06000000017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11254.406750000002</v>
      </c>
      <c r="D373" s="86">
        <f>data!CC71</f>
        <v>7174374.3732049</v>
      </c>
      <c r="E373" s="86">
        <f>data!CD71</f>
        <v>1521503</v>
      </c>
      <c r="F373" s="219"/>
      <c r="G373" s="219"/>
      <c r="H373" s="219"/>
      <c r="I373" s="14">
        <f>data!CE71</f>
        <v>69745667.395950302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62736581.159999989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185510766.67999998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248247347.83999997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100342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24945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24642.780000000002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240113.11000000002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88.009999999999991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4" transitionEvaluation="1" transitionEntry="1" codeName="Sheet10">
    <pageSetUpPr autoPageBreaks="0" fitToPage="1"/>
  </sheetPr>
  <dimension ref="A1:CF817"/>
  <sheetViews>
    <sheetView showGridLines="0" topLeftCell="A84" zoomScale="75" workbookViewId="0">
      <selection activeCell="A115" sqref="A11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4277398.7699999986</v>
      </c>
      <c r="C47" s="184">
        <v>0</v>
      </c>
      <c r="D47" s="184">
        <v>0</v>
      </c>
      <c r="E47" s="184">
        <v>899895.10999999987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305691.74</v>
      </c>
      <c r="P47" s="184">
        <v>478660.93000000005</v>
      </c>
      <c r="Q47" s="184">
        <v>251711.75</v>
      </c>
      <c r="R47" s="184">
        <v>0</v>
      </c>
      <c r="S47" s="184">
        <v>93671.02</v>
      </c>
      <c r="T47" s="184">
        <v>4604.62</v>
      </c>
      <c r="U47" s="184">
        <v>235106.49999999997</v>
      </c>
      <c r="V47" s="184">
        <v>0</v>
      </c>
      <c r="W47" s="184">
        <v>43797.05</v>
      </c>
      <c r="X47" s="184">
        <v>111306.04000000001</v>
      </c>
      <c r="Y47" s="184">
        <v>0</v>
      </c>
      <c r="Z47" s="184">
        <v>261984.21000000002</v>
      </c>
      <c r="AA47" s="184">
        <v>27330.49</v>
      </c>
      <c r="AB47" s="184">
        <v>138583.9</v>
      </c>
      <c r="AC47" s="184">
        <v>124812.88</v>
      </c>
      <c r="AD47" s="184">
        <v>0</v>
      </c>
      <c r="AE47" s="184">
        <v>0</v>
      </c>
      <c r="AF47" s="184">
        <v>0</v>
      </c>
      <c r="AG47" s="184">
        <v>486306.08999999997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195561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77976.649999999994</v>
      </c>
      <c r="BF47" s="184">
        <v>208838.41999999998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59676.19999999999</v>
      </c>
      <c r="BO47" s="184">
        <v>0</v>
      </c>
      <c r="BP47" s="184">
        <v>0</v>
      </c>
      <c r="BQ47" s="184">
        <v>0</v>
      </c>
      <c r="BR47" s="184">
        <v>-45.769999999925858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21787.05</v>
      </c>
      <c r="BY47" s="184">
        <v>245028.93000000002</v>
      </c>
      <c r="BZ47" s="184">
        <v>0</v>
      </c>
      <c r="CA47" s="184">
        <v>0</v>
      </c>
      <c r="CB47" s="184">
        <v>0</v>
      </c>
      <c r="CC47" s="184">
        <v>5113.96</v>
      </c>
      <c r="CD47" s="195"/>
      <c r="CE47" s="195">
        <f>SUM(C47:CC47)</f>
        <v>4277398.7699999996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4277398.7699999986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1709713.08</v>
      </c>
      <c r="C51" s="184">
        <v>0</v>
      </c>
      <c r="D51" s="184">
        <v>0</v>
      </c>
      <c r="E51" s="184">
        <v>115691.49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41947.34</v>
      </c>
      <c r="P51" s="184">
        <v>748413.87</v>
      </c>
      <c r="Q51" s="184">
        <v>21360.080000000002</v>
      </c>
      <c r="R51" s="184">
        <v>2112.59</v>
      </c>
      <c r="S51" s="184">
        <v>0</v>
      </c>
      <c r="T51" s="184">
        <v>0</v>
      </c>
      <c r="U51" s="184">
        <v>33870.35</v>
      </c>
      <c r="V51" s="184">
        <v>0</v>
      </c>
      <c r="W51" s="184">
        <v>283289.62</v>
      </c>
      <c r="X51" s="184">
        <v>0</v>
      </c>
      <c r="Y51" s="184">
        <v>77999.490000000005</v>
      </c>
      <c r="Z51" s="184">
        <v>103666.22</v>
      </c>
      <c r="AA51" s="184">
        <v>20947.32</v>
      </c>
      <c r="AB51" s="184">
        <v>46603.76</v>
      </c>
      <c r="AC51" s="184">
        <v>8671.24</v>
      </c>
      <c r="AD51" s="184">
        <v>0</v>
      </c>
      <c r="AE51" s="184">
        <v>0</v>
      </c>
      <c r="AF51" s="184">
        <v>0</v>
      </c>
      <c r="AG51" s="184">
        <v>51943.6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37407.460000000006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13060.22</v>
      </c>
      <c r="BF51" s="184">
        <v>11662.77</v>
      </c>
      <c r="BG51" s="184">
        <v>0</v>
      </c>
      <c r="BH51" s="184">
        <v>84114.21</v>
      </c>
      <c r="BI51" s="184">
        <v>0</v>
      </c>
      <c r="BJ51" s="184">
        <v>0</v>
      </c>
      <c r="BK51" s="184">
        <v>0</v>
      </c>
      <c r="BL51" s="184">
        <v>142.08000000000001</v>
      </c>
      <c r="BM51" s="184">
        <v>0</v>
      </c>
      <c r="BN51" s="184">
        <v>6809.37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1709713.08</v>
      </c>
    </row>
    <row r="52" spans="1:84" ht="12.6" customHeight="1" x14ac:dyDescent="0.25">
      <c r="A52" s="171" t="s">
        <v>208</v>
      </c>
      <c r="B52" s="184">
        <v>1954182.04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305997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3704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111928</v>
      </c>
      <c r="P52" s="195">
        <f>ROUND((B52/(CE76+CF76)*P76),0)</f>
        <v>328993</v>
      </c>
      <c r="Q52" s="195">
        <f>ROUND((B52/(CE76+CF76)*Q76),0)</f>
        <v>23149</v>
      </c>
      <c r="R52" s="195">
        <f>ROUND((B52/(CE76+CF76)*R76),0)</f>
        <v>3704</v>
      </c>
      <c r="S52" s="195">
        <f>ROUND((B52/(CE76+CF76)*S76),0)</f>
        <v>57006</v>
      </c>
      <c r="T52" s="195">
        <f>ROUND((B52/(CE76+CF76)*T76),0)</f>
        <v>0</v>
      </c>
      <c r="U52" s="195">
        <f>ROUND((B52/(CE76+CF76)*U76),0)</f>
        <v>31368</v>
      </c>
      <c r="V52" s="195">
        <f>ROUND((B52/(CE76+CF76)*V76),0)</f>
        <v>0</v>
      </c>
      <c r="W52" s="195">
        <f>ROUND((B52/(CE76+CF76)*W76),0)</f>
        <v>13890</v>
      </c>
      <c r="X52" s="195">
        <f>ROUND((B52/(CE76+CF76)*X76),0)</f>
        <v>11112</v>
      </c>
      <c r="Y52" s="195">
        <f>ROUND((B52/(CE76+CF76)*Y76),0)</f>
        <v>188996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35805</v>
      </c>
      <c r="AC52" s="195">
        <f>ROUND((B52/(CE76+CF76)*AC76),0)</f>
        <v>3299</v>
      </c>
      <c r="AD52" s="195">
        <f>ROUND((B52/(CE76+CF76)*AD76),0)</f>
        <v>0</v>
      </c>
      <c r="AE52" s="195">
        <f>ROUND((B52/(CE76+CF76)*AE76),0)</f>
        <v>3704</v>
      </c>
      <c r="AF52" s="195">
        <f>ROUND((B52/(CE76+CF76)*AF76),0)</f>
        <v>0</v>
      </c>
      <c r="AG52" s="195">
        <f>ROUND((B52/(CE76+CF76)*AG76),0)</f>
        <v>160735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1022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52993</v>
      </c>
      <c r="AZ52" s="195">
        <f>ROUND((B52/(CE76+CF76)*AZ76),0)</f>
        <v>27471</v>
      </c>
      <c r="BA52" s="195">
        <f>ROUND((B52/(CE76+CF76)*BA76),0)</f>
        <v>3704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68657</v>
      </c>
      <c r="BF52" s="195">
        <f>ROUND((B52/(CE76+CF76)*BF76),0)</f>
        <v>24365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14198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429924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4321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40743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3395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1954183</v>
      </c>
    </row>
    <row r="53" spans="1:84" ht="12.6" customHeight="1" x14ac:dyDescent="0.25">
      <c r="A53" s="175" t="s">
        <v>206</v>
      </c>
      <c r="B53" s="195">
        <f>B51+B52</f>
        <v>3663895.12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5627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1219</v>
      </c>
      <c r="P59" s="185">
        <v>143610</v>
      </c>
      <c r="Q59" s="185">
        <v>6338</v>
      </c>
      <c r="R59" s="185">
        <v>143430</v>
      </c>
      <c r="S59" s="248"/>
      <c r="T59" s="248"/>
      <c r="U59" s="224">
        <v>87689</v>
      </c>
      <c r="V59" s="185"/>
      <c r="W59" s="185">
        <v>1190</v>
      </c>
      <c r="X59" s="185">
        <v>4979</v>
      </c>
      <c r="Y59" s="185"/>
      <c r="Z59" s="185">
        <v>15686</v>
      </c>
      <c r="AA59" s="185">
        <v>251</v>
      </c>
      <c r="AB59" s="248"/>
      <c r="AC59" s="185">
        <v>12519</v>
      </c>
      <c r="AD59" s="185"/>
      <c r="AE59" s="185"/>
      <c r="AF59" s="185"/>
      <c r="AG59" s="185">
        <v>13761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26585</v>
      </c>
      <c r="AZ59" s="185">
        <v>26585</v>
      </c>
      <c r="BA59" s="248"/>
      <c r="BB59" s="248"/>
      <c r="BC59" s="248"/>
      <c r="BD59" s="248"/>
      <c r="BE59" s="185">
        <v>101299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41.61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12.62</v>
      </c>
      <c r="P60" s="221">
        <v>21.81</v>
      </c>
      <c r="Q60" s="221">
        <v>10.130000000000001</v>
      </c>
      <c r="R60" s="221"/>
      <c r="S60" s="221">
        <v>5.24</v>
      </c>
      <c r="T60" s="221">
        <v>0.09</v>
      </c>
      <c r="U60" s="221">
        <v>11.64</v>
      </c>
      <c r="V60" s="221"/>
      <c r="W60" s="221">
        <v>1.82</v>
      </c>
      <c r="X60" s="221">
        <v>4.74</v>
      </c>
      <c r="Y60" s="221"/>
      <c r="Z60" s="221">
        <v>11.99</v>
      </c>
      <c r="AA60" s="221">
        <v>1.05</v>
      </c>
      <c r="AB60" s="221">
        <v>5.37</v>
      </c>
      <c r="AC60" s="221">
        <v>5.75</v>
      </c>
      <c r="AD60" s="221"/>
      <c r="AE60" s="221"/>
      <c r="AF60" s="221"/>
      <c r="AG60" s="221">
        <v>21.17</v>
      </c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0.01</v>
      </c>
      <c r="AW60" s="221"/>
      <c r="AX60" s="221"/>
      <c r="AY60" s="221">
        <v>11.85</v>
      </c>
      <c r="AZ60" s="221"/>
      <c r="BA60" s="221"/>
      <c r="BB60" s="221"/>
      <c r="BC60" s="221"/>
      <c r="BD60" s="221"/>
      <c r="BE60" s="221">
        <v>3.83</v>
      </c>
      <c r="BF60" s="221">
        <v>12.59</v>
      </c>
      <c r="BG60" s="221"/>
      <c r="BH60" s="221"/>
      <c r="BI60" s="221"/>
      <c r="BJ60" s="221"/>
      <c r="BK60" s="221"/>
      <c r="BL60" s="221"/>
      <c r="BM60" s="221"/>
      <c r="BN60" s="221">
        <v>2.5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10.36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197.16999999999996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3674061.42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1320682.1199999999</v>
      </c>
      <c r="P61" s="184">
        <v>2058293.0299999998</v>
      </c>
      <c r="Q61" s="184">
        <v>1147651.02</v>
      </c>
      <c r="R61" s="184">
        <v>0</v>
      </c>
      <c r="S61" s="184">
        <v>275402.92000000004</v>
      </c>
      <c r="T61" s="184">
        <v>29460.28</v>
      </c>
      <c r="U61" s="184">
        <v>819755.82000000007</v>
      </c>
      <c r="V61" s="184">
        <v>0</v>
      </c>
      <c r="W61" s="184">
        <v>185713.53</v>
      </c>
      <c r="X61" s="184">
        <v>466905.3</v>
      </c>
      <c r="Y61" s="184">
        <v>0</v>
      </c>
      <c r="Z61" s="184">
        <v>1023287.39</v>
      </c>
      <c r="AA61" s="184">
        <v>127746.48999999999</v>
      </c>
      <c r="AB61" s="184">
        <v>661575.48</v>
      </c>
      <c r="AC61" s="184">
        <v>482830.53</v>
      </c>
      <c r="AD61" s="184">
        <v>0</v>
      </c>
      <c r="AE61" s="184">
        <v>0</v>
      </c>
      <c r="AF61" s="184">
        <v>0</v>
      </c>
      <c r="AG61" s="184">
        <v>2144204.3000000003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473402.85000000003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282068.27999999997</v>
      </c>
      <c r="BF61" s="184">
        <v>524979.19999999995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317996.88999999996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82504.33</v>
      </c>
      <c r="BY61" s="184">
        <v>1028324.6799999998</v>
      </c>
      <c r="BZ61" s="184">
        <v>0</v>
      </c>
      <c r="CA61" s="184">
        <v>0</v>
      </c>
      <c r="CB61" s="184">
        <v>0</v>
      </c>
      <c r="CC61" s="184">
        <v>110544.29</v>
      </c>
      <c r="CD61" s="249" t="s">
        <v>221</v>
      </c>
      <c r="CE61" s="195">
        <f t="shared" si="0"/>
        <v>17237390.149999999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899895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305692</v>
      </c>
      <c r="P62" s="195">
        <f t="shared" si="1"/>
        <v>478661</v>
      </c>
      <c r="Q62" s="195">
        <f t="shared" si="1"/>
        <v>251712</v>
      </c>
      <c r="R62" s="195">
        <f t="shared" si="1"/>
        <v>0</v>
      </c>
      <c r="S62" s="195">
        <f t="shared" si="1"/>
        <v>93671</v>
      </c>
      <c r="T62" s="195">
        <f t="shared" si="1"/>
        <v>4605</v>
      </c>
      <c r="U62" s="195">
        <f t="shared" si="1"/>
        <v>235107</v>
      </c>
      <c r="V62" s="195">
        <f t="shared" si="1"/>
        <v>0</v>
      </c>
      <c r="W62" s="195">
        <f t="shared" si="1"/>
        <v>43797</v>
      </c>
      <c r="X62" s="195">
        <f t="shared" si="1"/>
        <v>111306</v>
      </c>
      <c r="Y62" s="195">
        <f t="shared" si="1"/>
        <v>0</v>
      </c>
      <c r="Z62" s="195">
        <f t="shared" si="1"/>
        <v>261984</v>
      </c>
      <c r="AA62" s="195">
        <f t="shared" si="1"/>
        <v>27330</v>
      </c>
      <c r="AB62" s="195">
        <f t="shared" si="1"/>
        <v>138584</v>
      </c>
      <c r="AC62" s="195">
        <f t="shared" si="1"/>
        <v>124813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486306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195561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77977</v>
      </c>
      <c r="BF62" s="195">
        <f t="shared" si="1"/>
        <v>208838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59676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-46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21787</v>
      </c>
      <c r="BY62" s="195">
        <f t="shared" si="2"/>
        <v>245029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5114</v>
      </c>
      <c r="CD62" s="249" t="s">
        <v>221</v>
      </c>
      <c r="CE62" s="195">
        <f t="shared" si="0"/>
        <v>4277399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293.16000000000003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21730.15</v>
      </c>
      <c r="Q63" s="184">
        <v>0</v>
      </c>
      <c r="R63" s="184">
        <v>1901030.28</v>
      </c>
      <c r="S63" s="184">
        <v>0</v>
      </c>
      <c r="T63" s="184">
        <v>0</v>
      </c>
      <c r="U63" s="184">
        <v>17139.73</v>
      </c>
      <c r="V63" s="184">
        <v>0</v>
      </c>
      <c r="W63" s="184">
        <v>0</v>
      </c>
      <c r="X63" s="184">
        <v>0</v>
      </c>
      <c r="Y63" s="184">
        <v>0</v>
      </c>
      <c r="Z63" s="184">
        <v>12193</v>
      </c>
      <c r="AA63" s="184">
        <v>5325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180393.43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1237112.21</v>
      </c>
      <c r="CD63" s="249" t="s">
        <v>221</v>
      </c>
      <c r="CE63" s="195">
        <f t="shared" si="0"/>
        <v>3375216.96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4">
        <v>291754.44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75115.86</v>
      </c>
      <c r="P64" s="184">
        <v>3120635.99</v>
      </c>
      <c r="Q64" s="184">
        <v>76809.930000000008</v>
      </c>
      <c r="R64" s="184">
        <v>149331.78</v>
      </c>
      <c r="S64" s="184">
        <v>-53044.509999999995</v>
      </c>
      <c r="T64" s="184">
        <v>6503.0599999999995</v>
      </c>
      <c r="U64" s="184">
        <v>510418.91999999993</v>
      </c>
      <c r="V64" s="184">
        <v>0</v>
      </c>
      <c r="W64" s="184">
        <v>10722.03</v>
      </c>
      <c r="X64" s="184">
        <v>52185.85</v>
      </c>
      <c r="Y64" s="184">
        <v>0</v>
      </c>
      <c r="Z64" s="184">
        <v>75520.189999999988</v>
      </c>
      <c r="AA64" s="184">
        <v>53236.530000000006</v>
      </c>
      <c r="AB64" s="184">
        <v>1048893.19</v>
      </c>
      <c r="AC64" s="184">
        <v>46305.34</v>
      </c>
      <c r="AD64" s="184">
        <v>0</v>
      </c>
      <c r="AE64" s="184">
        <v>208.04</v>
      </c>
      <c r="AF64" s="184">
        <v>0</v>
      </c>
      <c r="AG64" s="184">
        <v>227685.38</v>
      </c>
      <c r="AH64" s="184">
        <v>0</v>
      </c>
      <c r="AI64" s="184">
        <v>0</v>
      </c>
      <c r="AJ64" s="184">
        <v>0</v>
      </c>
      <c r="AK64" s="184">
        <v>0</v>
      </c>
      <c r="AL64" s="184">
        <v>7.71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268360.53999999998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28022.06</v>
      </c>
      <c r="BF64" s="184">
        <v>66827.39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11499.62</v>
      </c>
      <c r="BM64" s="184">
        <v>0</v>
      </c>
      <c r="BN64" s="184">
        <v>20478.95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132.85</v>
      </c>
      <c r="BY64" s="184">
        <v>2554.8800000000006</v>
      </c>
      <c r="BZ64" s="184">
        <v>0</v>
      </c>
      <c r="CA64" s="184">
        <v>0</v>
      </c>
      <c r="CB64" s="184">
        <v>0</v>
      </c>
      <c r="CC64" s="184">
        <v>-42784.99</v>
      </c>
      <c r="CD64" s="249" t="s">
        <v>221</v>
      </c>
      <c r="CE64" s="195">
        <f t="shared" si="0"/>
        <v>6047381.0299999984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951.72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1029.42</v>
      </c>
      <c r="Q65" s="184">
        <v>0</v>
      </c>
      <c r="R65" s="184">
        <v>0</v>
      </c>
      <c r="S65" s="184">
        <v>0</v>
      </c>
      <c r="T65" s="184">
        <v>0</v>
      </c>
      <c r="U65" s="184">
        <v>194.4</v>
      </c>
      <c r="V65" s="184">
        <v>0</v>
      </c>
      <c r="W65" s="184">
        <v>0</v>
      </c>
      <c r="X65" s="184">
        <v>0</v>
      </c>
      <c r="Y65" s="184">
        <v>0</v>
      </c>
      <c r="Z65" s="184">
        <v>291.60000000000002</v>
      </c>
      <c r="AA65" s="184">
        <v>0</v>
      </c>
      <c r="AB65" s="184">
        <v>319.07</v>
      </c>
      <c r="AC65" s="184">
        <v>97.2</v>
      </c>
      <c r="AD65" s="184">
        <v>0</v>
      </c>
      <c r="AE65" s="184">
        <v>0</v>
      </c>
      <c r="AF65" s="184">
        <v>0</v>
      </c>
      <c r="AG65" s="184">
        <v>983.68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278.61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431490.26999999996</v>
      </c>
      <c r="BF65" s="184">
        <v>151.97</v>
      </c>
      <c r="BG65" s="184">
        <v>28649.18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309.13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1065.93</v>
      </c>
      <c r="BZ65" s="184">
        <v>0</v>
      </c>
      <c r="CA65" s="184">
        <v>0</v>
      </c>
      <c r="CB65" s="184">
        <v>0</v>
      </c>
      <c r="CC65" s="184">
        <v>-681.9</v>
      </c>
      <c r="CD65" s="249" t="s">
        <v>221</v>
      </c>
      <c r="CE65" s="195">
        <f t="shared" si="0"/>
        <v>465130.27999999991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49348.53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63367.33</v>
      </c>
      <c r="P66" s="184">
        <v>405892.75680000003</v>
      </c>
      <c r="Q66" s="184">
        <v>9893.2000000000007</v>
      </c>
      <c r="R66" s="184">
        <v>7435.08</v>
      </c>
      <c r="S66" s="184">
        <v>2002.2752092000001</v>
      </c>
      <c r="T66" s="184">
        <v>0</v>
      </c>
      <c r="U66" s="184">
        <v>269585.44</v>
      </c>
      <c r="V66" s="184">
        <v>0</v>
      </c>
      <c r="W66" s="184">
        <v>128372.04</v>
      </c>
      <c r="X66" s="184">
        <v>106090.45</v>
      </c>
      <c r="Y66" s="184">
        <v>58183</v>
      </c>
      <c r="Z66" s="184">
        <v>122091.21</v>
      </c>
      <c r="AA66" s="184">
        <v>28602</v>
      </c>
      <c r="AB66" s="184">
        <v>63759.590000000004</v>
      </c>
      <c r="AC66" s="184">
        <v>1992.6399999999999</v>
      </c>
      <c r="AD66" s="184">
        <v>0</v>
      </c>
      <c r="AE66" s="184">
        <v>135929.69999999998</v>
      </c>
      <c r="AF66" s="184">
        <v>0</v>
      </c>
      <c r="AG66" s="184">
        <v>123781.28</v>
      </c>
      <c r="AH66" s="184">
        <v>0</v>
      </c>
      <c r="AI66" s="184">
        <v>0</v>
      </c>
      <c r="AJ66" s="184">
        <v>0</v>
      </c>
      <c r="AK66" s="184">
        <v>82459.67</v>
      </c>
      <c r="AL66" s="184">
        <v>22166.05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218285.66440000013</v>
      </c>
      <c r="AW66" s="184">
        <v>0</v>
      </c>
      <c r="AX66" s="184">
        <v>123.5474</v>
      </c>
      <c r="AY66" s="184">
        <v>300535.40000000002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1582347.3512000002</v>
      </c>
      <c r="BF66" s="184">
        <v>90412.59</v>
      </c>
      <c r="BG66" s="184">
        <v>5971.0183999999999</v>
      </c>
      <c r="BH66" s="184">
        <v>312737.23599999998</v>
      </c>
      <c r="BI66" s="184">
        <v>0</v>
      </c>
      <c r="BJ66" s="184">
        <v>104756.78512962</v>
      </c>
      <c r="BK66" s="184">
        <v>495200.66153020086</v>
      </c>
      <c r="BL66" s="184">
        <v>1452465.4743151041</v>
      </c>
      <c r="BM66" s="184">
        <v>0</v>
      </c>
      <c r="BN66" s="184">
        <v>855831.69641906</v>
      </c>
      <c r="BO66" s="184">
        <v>57690.567199999998</v>
      </c>
      <c r="BP66" s="184">
        <v>75627.4948</v>
      </c>
      <c r="BQ66" s="184">
        <v>0</v>
      </c>
      <c r="BR66" s="184">
        <v>227263.31100000002</v>
      </c>
      <c r="BS66" s="184">
        <v>2.8192000000000004</v>
      </c>
      <c r="BT66" s="184">
        <v>4178.1086000000005</v>
      </c>
      <c r="BU66" s="184">
        <v>6777.0642000000007</v>
      </c>
      <c r="BV66" s="184">
        <v>717032.60177700163</v>
      </c>
      <c r="BW66" s="184">
        <v>70317.390476000015</v>
      </c>
      <c r="BX66" s="184">
        <v>289853.78541963996</v>
      </c>
      <c r="BY66" s="184">
        <v>33506.570399999997</v>
      </c>
      <c r="BZ66" s="184">
        <v>0</v>
      </c>
      <c r="CA66" s="184">
        <v>82056.217000000004</v>
      </c>
      <c r="CB66" s="184">
        <v>8374.8024000000005</v>
      </c>
      <c r="CC66" s="184">
        <v>2361789.8353618798</v>
      </c>
      <c r="CD66" s="249" t="s">
        <v>221</v>
      </c>
      <c r="CE66" s="195">
        <f t="shared" si="0"/>
        <v>11034090.234637706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421688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3704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153875</v>
      </c>
      <c r="P67" s="195">
        <f t="shared" si="3"/>
        <v>1077407</v>
      </c>
      <c r="Q67" s="195">
        <f t="shared" si="3"/>
        <v>44509</v>
      </c>
      <c r="R67" s="195">
        <f t="shared" si="3"/>
        <v>5817</v>
      </c>
      <c r="S67" s="195">
        <f t="shared" si="3"/>
        <v>57006</v>
      </c>
      <c r="T67" s="195">
        <f t="shared" si="3"/>
        <v>0</v>
      </c>
      <c r="U67" s="195">
        <f t="shared" si="3"/>
        <v>65238</v>
      </c>
      <c r="V67" s="195">
        <f t="shared" si="3"/>
        <v>0</v>
      </c>
      <c r="W67" s="195">
        <f t="shared" si="3"/>
        <v>297180</v>
      </c>
      <c r="X67" s="195">
        <f t="shared" si="3"/>
        <v>11112</v>
      </c>
      <c r="Y67" s="195">
        <f t="shared" si="3"/>
        <v>266995</v>
      </c>
      <c r="Z67" s="195">
        <f t="shared" si="3"/>
        <v>103666</v>
      </c>
      <c r="AA67" s="195">
        <f t="shared" si="3"/>
        <v>20947</v>
      </c>
      <c r="AB67" s="195">
        <f t="shared" si="3"/>
        <v>82409</v>
      </c>
      <c r="AC67" s="195">
        <f t="shared" si="3"/>
        <v>11970</v>
      </c>
      <c r="AD67" s="195">
        <f t="shared" si="3"/>
        <v>0</v>
      </c>
      <c r="AE67" s="195">
        <f t="shared" si="3"/>
        <v>3704</v>
      </c>
      <c r="AF67" s="195">
        <f t="shared" si="3"/>
        <v>0</v>
      </c>
      <c r="AG67" s="195">
        <f t="shared" si="3"/>
        <v>212679</v>
      </c>
      <c r="AH67" s="195">
        <f t="shared" si="3"/>
        <v>0</v>
      </c>
      <c r="AI67" s="195">
        <f t="shared" si="3"/>
        <v>0</v>
      </c>
      <c r="AJ67" s="195">
        <f t="shared" si="3"/>
        <v>1022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90400</v>
      </c>
      <c r="AZ67" s="195">
        <f>ROUND(AZ51+AZ52,0)</f>
        <v>27471</v>
      </c>
      <c r="BA67" s="195">
        <f>ROUND(BA51+BA52,0)</f>
        <v>3704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81717</v>
      </c>
      <c r="BF67" s="195">
        <f t="shared" si="3"/>
        <v>36028</v>
      </c>
      <c r="BG67" s="195">
        <f t="shared" si="3"/>
        <v>0</v>
      </c>
      <c r="BH67" s="195">
        <f t="shared" si="3"/>
        <v>84114</v>
      </c>
      <c r="BI67" s="195">
        <f t="shared" si="3"/>
        <v>14198</v>
      </c>
      <c r="BJ67" s="195">
        <f t="shared" si="3"/>
        <v>0</v>
      </c>
      <c r="BK67" s="195">
        <f t="shared" si="3"/>
        <v>0</v>
      </c>
      <c r="BL67" s="195">
        <f t="shared" si="3"/>
        <v>142</v>
      </c>
      <c r="BM67" s="195">
        <f t="shared" si="3"/>
        <v>0</v>
      </c>
      <c r="BN67" s="195">
        <f t="shared" si="3"/>
        <v>436733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4321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40743</v>
      </c>
      <c r="BW67" s="195">
        <f t="shared" si="4"/>
        <v>0</v>
      </c>
      <c r="BX67" s="195">
        <f t="shared" si="4"/>
        <v>0</v>
      </c>
      <c r="BY67" s="195">
        <f t="shared" si="4"/>
        <v>3395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3663894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8892.32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1370.1</v>
      </c>
      <c r="P68" s="184">
        <v>23932.48</v>
      </c>
      <c r="Q68" s="184">
        <v>2543.33</v>
      </c>
      <c r="R68" s="184">
        <v>213.68</v>
      </c>
      <c r="S68" s="184">
        <v>2425.04</v>
      </c>
      <c r="T68" s="184">
        <v>0</v>
      </c>
      <c r="U68" s="184">
        <v>33246.53</v>
      </c>
      <c r="V68" s="184">
        <v>0</v>
      </c>
      <c r="W68" s="184">
        <v>0</v>
      </c>
      <c r="X68" s="184">
        <v>0</v>
      </c>
      <c r="Y68" s="184">
        <v>0</v>
      </c>
      <c r="Z68" s="184">
        <v>4370.1899999999996</v>
      </c>
      <c r="AA68" s="184">
        <v>0</v>
      </c>
      <c r="AB68" s="184">
        <v>2567.14</v>
      </c>
      <c r="AC68" s="184">
        <v>1879.56</v>
      </c>
      <c r="AD68" s="184">
        <v>0</v>
      </c>
      <c r="AE68" s="184">
        <v>0</v>
      </c>
      <c r="AF68" s="184">
        <v>0</v>
      </c>
      <c r="AG68" s="184">
        <v>254.41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3492.8900000000003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38357.440000000002</v>
      </c>
      <c r="BF68" s="184">
        <v>1391.36</v>
      </c>
      <c r="BG68" s="184">
        <v>0</v>
      </c>
      <c r="BH68" s="184">
        <v>557.88</v>
      </c>
      <c r="BI68" s="184">
        <v>0</v>
      </c>
      <c r="BJ68" s="184">
        <v>0</v>
      </c>
      <c r="BK68" s="184">
        <v>0</v>
      </c>
      <c r="BL68" s="184">
        <v>8520.0499999999993</v>
      </c>
      <c r="BM68" s="184">
        <v>0</v>
      </c>
      <c r="BN68" s="184">
        <v>33448.339999999997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510.98</v>
      </c>
      <c r="BY68" s="184">
        <v>471.36</v>
      </c>
      <c r="BZ68" s="184">
        <v>0</v>
      </c>
      <c r="CA68" s="184">
        <v>0</v>
      </c>
      <c r="CB68" s="184">
        <v>0</v>
      </c>
      <c r="CC68" s="184">
        <v>15126.83</v>
      </c>
      <c r="CD68" s="249" t="s">
        <v>221</v>
      </c>
      <c r="CE68" s="195">
        <f t="shared" si="0"/>
        <v>183571.91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4">
        <v>9966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4165.25</v>
      </c>
      <c r="P69" s="184">
        <v>7034.7400000000007</v>
      </c>
      <c r="Q69" s="184">
        <v>483.72</v>
      </c>
      <c r="R69" s="184">
        <v>171.75</v>
      </c>
      <c r="S69" s="184">
        <v>212.97</v>
      </c>
      <c r="T69" s="184">
        <v>300</v>
      </c>
      <c r="U69" s="184">
        <v>13216.710000000001</v>
      </c>
      <c r="V69" s="184">
        <v>0</v>
      </c>
      <c r="W69" s="184">
        <v>0</v>
      </c>
      <c r="X69" s="184">
        <v>0</v>
      </c>
      <c r="Y69" s="184">
        <v>0</v>
      </c>
      <c r="Z69" s="184">
        <v>4100</v>
      </c>
      <c r="AA69" s="184">
        <v>0</v>
      </c>
      <c r="AB69" s="184">
        <v>2720.81</v>
      </c>
      <c r="AC69" s="184">
        <v>1202.92</v>
      </c>
      <c r="AD69" s="184">
        <v>0</v>
      </c>
      <c r="AE69" s="184">
        <v>0</v>
      </c>
      <c r="AF69" s="184">
        <v>0</v>
      </c>
      <c r="AG69" s="184">
        <v>7129.27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357853</v>
      </c>
      <c r="AW69" s="184">
        <v>0</v>
      </c>
      <c r="AX69" s="184">
        <v>0</v>
      </c>
      <c r="AY69" s="184">
        <v>13495.849999999999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1264.8800000000001</v>
      </c>
      <c r="BF69" s="184">
        <v>1082.79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3224.05</v>
      </c>
      <c r="BM69" s="184">
        <v>0</v>
      </c>
      <c r="BN69" s="184">
        <v>49424.44</v>
      </c>
      <c r="BO69" s="184">
        <v>0</v>
      </c>
      <c r="BP69" s="184">
        <v>0</v>
      </c>
      <c r="BQ69" s="184">
        <v>0</v>
      </c>
      <c r="BR69" s="184">
        <v>-1062.8100000000004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601</v>
      </c>
      <c r="BY69" s="184">
        <v>5619.7</v>
      </c>
      <c r="BZ69" s="184">
        <v>0</v>
      </c>
      <c r="CA69" s="184">
        <v>0</v>
      </c>
      <c r="CB69" s="184">
        <v>0</v>
      </c>
      <c r="CC69" s="184">
        <v>27203.919999999925</v>
      </c>
      <c r="CD69" s="184">
        <v>1657357</v>
      </c>
      <c r="CE69" s="195">
        <f t="shared" si="0"/>
        <v>2166767.96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3000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1580</v>
      </c>
      <c r="P70" s="184">
        <v>1864</v>
      </c>
      <c r="Q70" s="184">
        <v>0</v>
      </c>
      <c r="R70" s="184">
        <v>0</v>
      </c>
      <c r="S70" s="184">
        <v>0</v>
      </c>
      <c r="T70" s="184">
        <v>0</v>
      </c>
      <c r="U70" s="184">
        <v>5416.51</v>
      </c>
      <c r="V70" s="184">
        <v>0</v>
      </c>
      <c r="W70" s="184">
        <v>0</v>
      </c>
      <c r="X70" s="184">
        <v>0</v>
      </c>
      <c r="Y70" s="184">
        <v>0</v>
      </c>
      <c r="Z70" s="184">
        <v>3237</v>
      </c>
      <c r="AA70" s="184">
        <v>0</v>
      </c>
      <c r="AB70" s="184">
        <v>868.27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369690.85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8.52</v>
      </c>
      <c r="BF70" s="184">
        <v>0</v>
      </c>
      <c r="BG70" s="184">
        <v>0</v>
      </c>
      <c r="BH70" s="184">
        <v>0</v>
      </c>
      <c r="BI70" s="184">
        <v>900.51</v>
      </c>
      <c r="BJ70" s="184">
        <v>0</v>
      </c>
      <c r="BK70" s="184">
        <v>0</v>
      </c>
      <c r="BL70" s="184">
        <v>0</v>
      </c>
      <c r="BM70" s="184">
        <v>0</v>
      </c>
      <c r="BN70" s="184">
        <v>16492.82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-540724</v>
      </c>
      <c r="CD70" s="184">
        <v>0</v>
      </c>
      <c r="CE70" s="195">
        <f t="shared" si="0"/>
        <v>-137665.51999999996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5353850.5900000008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3704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1922687.6600000001</v>
      </c>
      <c r="P71" s="195">
        <f t="shared" si="5"/>
        <v>7192752.5668000001</v>
      </c>
      <c r="Q71" s="195">
        <f t="shared" si="5"/>
        <v>1533602.2</v>
      </c>
      <c r="R71" s="195">
        <f t="shared" si="5"/>
        <v>2063999.57</v>
      </c>
      <c r="S71" s="195">
        <f t="shared" si="5"/>
        <v>377675.69520919997</v>
      </c>
      <c r="T71" s="195">
        <f t="shared" si="5"/>
        <v>40868.339999999997</v>
      </c>
      <c r="U71" s="195">
        <f t="shared" si="5"/>
        <v>1958486.0399999998</v>
      </c>
      <c r="V71" s="195">
        <f t="shared" si="5"/>
        <v>0</v>
      </c>
      <c r="W71" s="195">
        <f t="shared" si="5"/>
        <v>665784.6</v>
      </c>
      <c r="X71" s="195">
        <f t="shared" si="5"/>
        <v>747599.6</v>
      </c>
      <c r="Y71" s="195">
        <f t="shared" si="5"/>
        <v>325178</v>
      </c>
      <c r="Z71" s="195">
        <f t="shared" si="5"/>
        <v>1604266.58</v>
      </c>
      <c r="AA71" s="195">
        <f t="shared" si="5"/>
        <v>263187.02</v>
      </c>
      <c r="AB71" s="195">
        <f t="shared" si="5"/>
        <v>1999960.01</v>
      </c>
      <c r="AC71" s="195">
        <f t="shared" si="5"/>
        <v>671091.19000000006</v>
      </c>
      <c r="AD71" s="195">
        <f t="shared" si="5"/>
        <v>0</v>
      </c>
      <c r="AE71" s="195">
        <f t="shared" si="5"/>
        <v>139841.74</v>
      </c>
      <c r="AF71" s="195">
        <f t="shared" si="5"/>
        <v>0</v>
      </c>
      <c r="AG71" s="195">
        <f t="shared" si="5"/>
        <v>3383416.7500000005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1022</v>
      </c>
      <c r="AK71" s="195">
        <f t="shared" si="6"/>
        <v>82459.67</v>
      </c>
      <c r="AL71" s="195">
        <f t="shared" si="6"/>
        <v>22173.759999999998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576138.66440000013</v>
      </c>
      <c r="AW71" s="195">
        <f t="shared" si="6"/>
        <v>0</v>
      </c>
      <c r="AX71" s="195">
        <f t="shared" si="6"/>
        <v>123.5474</v>
      </c>
      <c r="AY71" s="195">
        <f t="shared" si="6"/>
        <v>975836.29000000015</v>
      </c>
      <c r="AZ71" s="195">
        <f t="shared" si="6"/>
        <v>27471</v>
      </c>
      <c r="BA71" s="195">
        <f t="shared" si="6"/>
        <v>3704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2523235.7611999996</v>
      </c>
      <c r="BF71" s="195">
        <f t="shared" si="6"/>
        <v>929711.29999999993</v>
      </c>
      <c r="BG71" s="195">
        <f t="shared" si="6"/>
        <v>34620.198400000001</v>
      </c>
      <c r="BH71" s="195">
        <f t="shared" si="6"/>
        <v>397409.11599999998</v>
      </c>
      <c r="BI71" s="195">
        <f t="shared" si="6"/>
        <v>13297.49</v>
      </c>
      <c r="BJ71" s="195">
        <f t="shared" si="6"/>
        <v>104756.78512962</v>
      </c>
      <c r="BK71" s="195">
        <f t="shared" si="6"/>
        <v>495200.66153020086</v>
      </c>
      <c r="BL71" s="195">
        <f t="shared" si="6"/>
        <v>1475851.1943151043</v>
      </c>
      <c r="BM71" s="195">
        <f t="shared" si="6"/>
        <v>0</v>
      </c>
      <c r="BN71" s="195">
        <f t="shared" si="6"/>
        <v>1757405.6264190599</v>
      </c>
      <c r="BO71" s="195">
        <f t="shared" si="6"/>
        <v>57690.567199999998</v>
      </c>
      <c r="BP71" s="195">
        <f t="shared" ref="BP71:CC71" si="7">SUM(BP61:BP69)-BP70</f>
        <v>75627.4948</v>
      </c>
      <c r="BQ71" s="195">
        <f t="shared" si="7"/>
        <v>0</v>
      </c>
      <c r="BR71" s="195">
        <f t="shared" si="7"/>
        <v>230475.50100000002</v>
      </c>
      <c r="BS71" s="195">
        <f t="shared" si="7"/>
        <v>2.8192000000000004</v>
      </c>
      <c r="BT71" s="195">
        <f t="shared" si="7"/>
        <v>4178.1086000000005</v>
      </c>
      <c r="BU71" s="195">
        <f t="shared" si="7"/>
        <v>6777.0642000000007</v>
      </c>
      <c r="BV71" s="195">
        <f t="shared" si="7"/>
        <v>757775.60177700163</v>
      </c>
      <c r="BW71" s="195">
        <f t="shared" si="7"/>
        <v>70317.390476000015</v>
      </c>
      <c r="BX71" s="195">
        <f t="shared" si="7"/>
        <v>395389.94541963993</v>
      </c>
      <c r="BY71" s="195">
        <f t="shared" si="7"/>
        <v>1319967.1203999997</v>
      </c>
      <c r="BZ71" s="195">
        <f t="shared" si="7"/>
        <v>0</v>
      </c>
      <c r="CA71" s="195">
        <f t="shared" si="7"/>
        <v>82056.217000000004</v>
      </c>
      <c r="CB71" s="195">
        <f t="shared" si="7"/>
        <v>8374.8024000000005</v>
      </c>
      <c r="CC71" s="195">
        <f t="shared" si="7"/>
        <v>4254148.1953618797</v>
      </c>
      <c r="CD71" s="245">
        <f>CD69-CD70</f>
        <v>1657357</v>
      </c>
      <c r="CE71" s="195">
        <f>SUM(CE61:CE69)-CE70</f>
        <v>48588507.044637702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17827757.32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6622378.8600000003</v>
      </c>
      <c r="P73" s="184">
        <v>17723882.440000001</v>
      </c>
      <c r="Q73" s="184">
        <v>1212151.6900000002</v>
      </c>
      <c r="R73" s="184">
        <v>1629168.73</v>
      </c>
      <c r="S73" s="184">
        <v>0</v>
      </c>
      <c r="T73" s="184">
        <v>336085.77</v>
      </c>
      <c r="U73" s="184">
        <v>3686953.4699999993</v>
      </c>
      <c r="V73" s="184">
        <v>0</v>
      </c>
      <c r="W73" s="184">
        <v>255750.96</v>
      </c>
      <c r="X73" s="184">
        <v>1176850.0400000003</v>
      </c>
      <c r="Y73" s="184">
        <v>103205.5</v>
      </c>
      <c r="Z73" s="184">
        <v>556363.90999999992</v>
      </c>
      <c r="AA73" s="184">
        <v>30072.720000000001</v>
      </c>
      <c r="AB73" s="184">
        <v>9446041.9999999981</v>
      </c>
      <c r="AC73" s="184">
        <v>2457151.84</v>
      </c>
      <c r="AD73" s="184">
        <v>0</v>
      </c>
      <c r="AE73" s="184">
        <v>473747.63</v>
      </c>
      <c r="AF73" s="184">
        <v>0</v>
      </c>
      <c r="AG73" s="184">
        <v>2083330.44</v>
      </c>
      <c r="AH73" s="184">
        <v>0</v>
      </c>
      <c r="AI73" s="184">
        <v>0</v>
      </c>
      <c r="AJ73" s="184">
        <v>0</v>
      </c>
      <c r="AK73" s="184">
        <v>356367.28</v>
      </c>
      <c r="AL73" s="184">
        <v>113461.78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66090722.380000003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4">
        <v>3551050.43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483874.48999999993</v>
      </c>
      <c r="P74" s="184">
        <v>41683632.920000002</v>
      </c>
      <c r="Q74" s="184">
        <v>4943099.9899999993</v>
      </c>
      <c r="R74" s="184">
        <v>7455563.7499999991</v>
      </c>
      <c r="S74" s="184">
        <v>0</v>
      </c>
      <c r="T74" s="184">
        <v>37637.789999999994</v>
      </c>
      <c r="U74" s="184">
        <v>8416200.6199999992</v>
      </c>
      <c r="V74" s="184">
        <v>0</v>
      </c>
      <c r="W74" s="184">
        <v>2335519.3000000003</v>
      </c>
      <c r="X74" s="184">
        <v>10395848.440000001</v>
      </c>
      <c r="Y74" s="184">
        <v>298519.90999999997</v>
      </c>
      <c r="Z74" s="184">
        <v>6107695.4199999999</v>
      </c>
      <c r="AA74" s="184">
        <v>695410.43</v>
      </c>
      <c r="AB74" s="184">
        <v>17200448.749999996</v>
      </c>
      <c r="AC74" s="184">
        <v>2318837.5200000005</v>
      </c>
      <c r="AD74" s="184">
        <v>0</v>
      </c>
      <c r="AE74" s="184">
        <v>65297.79</v>
      </c>
      <c r="AF74" s="184">
        <v>0</v>
      </c>
      <c r="AG74" s="184">
        <v>40501580.040000007</v>
      </c>
      <c r="AH74" s="184">
        <v>0</v>
      </c>
      <c r="AI74" s="184">
        <v>0</v>
      </c>
      <c r="AJ74" s="184">
        <v>0</v>
      </c>
      <c r="AK74" s="184">
        <v>47949.279999999999</v>
      </c>
      <c r="AL74" s="184">
        <v>14950.710000000001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146553117.58000004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21378807.75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7106253.3500000006</v>
      </c>
      <c r="P75" s="195">
        <f t="shared" si="9"/>
        <v>59407515.359999999</v>
      </c>
      <c r="Q75" s="195">
        <f t="shared" si="9"/>
        <v>6155251.6799999997</v>
      </c>
      <c r="R75" s="195">
        <f t="shared" si="9"/>
        <v>9084732.4799999986</v>
      </c>
      <c r="S75" s="195">
        <f t="shared" si="9"/>
        <v>0</v>
      </c>
      <c r="T75" s="195">
        <f t="shared" si="9"/>
        <v>373723.56</v>
      </c>
      <c r="U75" s="195">
        <f t="shared" si="9"/>
        <v>12103154.089999998</v>
      </c>
      <c r="V75" s="195">
        <f t="shared" si="9"/>
        <v>0</v>
      </c>
      <c r="W75" s="195">
        <f t="shared" si="9"/>
        <v>2591270.2600000002</v>
      </c>
      <c r="X75" s="195">
        <f t="shared" si="9"/>
        <v>11572698.480000002</v>
      </c>
      <c r="Y75" s="195">
        <f t="shared" si="9"/>
        <v>401725.41</v>
      </c>
      <c r="Z75" s="195">
        <f t="shared" si="9"/>
        <v>6664059.3300000001</v>
      </c>
      <c r="AA75" s="195">
        <f t="shared" si="9"/>
        <v>725483.15</v>
      </c>
      <c r="AB75" s="195">
        <f t="shared" si="9"/>
        <v>26646490.749999993</v>
      </c>
      <c r="AC75" s="195">
        <f t="shared" si="9"/>
        <v>4775989.3600000003</v>
      </c>
      <c r="AD75" s="195">
        <f t="shared" si="9"/>
        <v>0</v>
      </c>
      <c r="AE75" s="195">
        <f t="shared" si="9"/>
        <v>539045.42000000004</v>
      </c>
      <c r="AF75" s="195">
        <f t="shared" si="9"/>
        <v>0</v>
      </c>
      <c r="AG75" s="195">
        <f t="shared" si="9"/>
        <v>42584910.480000004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404316.56000000006</v>
      </c>
      <c r="AL75" s="195">
        <f t="shared" si="9"/>
        <v>128412.49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212643839.96000004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15862</v>
      </c>
      <c r="F76" s="185"/>
      <c r="G76" s="184"/>
      <c r="H76" s="184"/>
      <c r="I76" s="185"/>
      <c r="J76" s="185">
        <v>192</v>
      </c>
      <c r="K76" s="185"/>
      <c r="L76" s="185"/>
      <c r="M76" s="185"/>
      <c r="N76" s="185"/>
      <c r="O76" s="185">
        <v>5802</v>
      </c>
      <c r="P76" s="185">
        <v>17054</v>
      </c>
      <c r="Q76" s="185">
        <v>1200</v>
      </c>
      <c r="R76" s="185">
        <v>192</v>
      </c>
      <c r="S76" s="185">
        <v>2955</v>
      </c>
      <c r="T76" s="185"/>
      <c r="U76" s="185">
        <v>1626</v>
      </c>
      <c r="V76" s="185"/>
      <c r="W76" s="185">
        <v>720</v>
      </c>
      <c r="X76" s="185">
        <v>576</v>
      </c>
      <c r="Y76" s="185">
        <v>9797</v>
      </c>
      <c r="Z76" s="185"/>
      <c r="AA76" s="185"/>
      <c r="AB76" s="185">
        <v>1856</v>
      </c>
      <c r="AC76" s="185">
        <v>171</v>
      </c>
      <c r="AD76" s="185"/>
      <c r="AE76" s="185">
        <v>192</v>
      </c>
      <c r="AF76" s="185"/>
      <c r="AG76" s="185">
        <v>8332</v>
      </c>
      <c r="AH76" s="185"/>
      <c r="AI76" s="185"/>
      <c r="AJ76" s="185">
        <v>53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2747</v>
      </c>
      <c r="AZ76" s="185">
        <v>1424</v>
      </c>
      <c r="BA76" s="185">
        <v>192</v>
      </c>
      <c r="BB76" s="185"/>
      <c r="BC76" s="185"/>
      <c r="BD76" s="185"/>
      <c r="BE76" s="185">
        <v>3559</v>
      </c>
      <c r="BF76" s="185">
        <v>1263</v>
      </c>
      <c r="BG76" s="185"/>
      <c r="BH76" s="185"/>
      <c r="BI76" s="185">
        <v>736</v>
      </c>
      <c r="BJ76" s="185"/>
      <c r="BK76" s="185"/>
      <c r="BL76" s="185"/>
      <c r="BM76" s="185"/>
      <c r="BN76" s="185">
        <v>22286</v>
      </c>
      <c r="BO76" s="185"/>
      <c r="BP76" s="185"/>
      <c r="BQ76" s="185"/>
      <c r="BR76" s="185">
        <v>224</v>
      </c>
      <c r="BS76" s="185"/>
      <c r="BT76" s="185"/>
      <c r="BU76" s="185"/>
      <c r="BV76" s="185">
        <v>2112</v>
      </c>
      <c r="BW76" s="185"/>
      <c r="BX76" s="185"/>
      <c r="BY76" s="185">
        <v>176</v>
      </c>
      <c r="BZ76" s="185"/>
      <c r="CA76" s="185"/>
      <c r="CB76" s="185"/>
      <c r="CC76" s="185"/>
      <c r="CD76" s="249" t="s">
        <v>221</v>
      </c>
      <c r="CE76" s="195">
        <f t="shared" si="8"/>
        <v>101299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26585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26585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f>2+5952</f>
        <v>5954</v>
      </c>
      <c r="F78" s="184"/>
      <c r="G78" s="184"/>
      <c r="H78" s="184"/>
      <c r="I78" s="184"/>
      <c r="J78" s="184">
        <v>72</v>
      </c>
      <c r="K78" s="184"/>
      <c r="L78" s="184"/>
      <c r="M78" s="184"/>
      <c r="N78" s="184"/>
      <c r="O78" s="184">
        <v>2177</v>
      </c>
      <c r="P78" s="184">
        <v>6399</v>
      </c>
      <c r="Q78" s="184">
        <v>450</v>
      </c>
      <c r="R78" s="184">
        <v>72</v>
      </c>
      <c r="S78" s="184">
        <v>1109</v>
      </c>
      <c r="T78" s="184"/>
      <c r="U78" s="184">
        <v>610</v>
      </c>
      <c r="V78" s="184"/>
      <c r="W78" s="184">
        <v>270</v>
      </c>
      <c r="X78" s="184">
        <v>216</v>
      </c>
      <c r="Y78" s="184">
        <v>3676</v>
      </c>
      <c r="Z78" s="184"/>
      <c r="AA78" s="184"/>
      <c r="AB78" s="184">
        <v>696</v>
      </c>
      <c r="AC78" s="184">
        <v>64</v>
      </c>
      <c r="AD78" s="184"/>
      <c r="AE78" s="184">
        <v>72</v>
      </c>
      <c r="AF78" s="184"/>
      <c r="AG78" s="184">
        <v>3127</v>
      </c>
      <c r="AH78" s="184"/>
      <c r="AI78" s="184"/>
      <c r="AJ78" s="184">
        <v>20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72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276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793</v>
      </c>
      <c r="BW78" s="184"/>
      <c r="BX78" s="184"/>
      <c r="BY78" s="184">
        <v>66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26191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73552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20630</v>
      </c>
      <c r="P79" s="184">
        <v>50279</v>
      </c>
      <c r="Q79" s="184"/>
      <c r="R79" s="184"/>
      <c r="S79" s="184"/>
      <c r="T79" s="184"/>
      <c r="U79" s="184"/>
      <c r="V79" s="184"/>
      <c r="W79" s="184"/>
      <c r="X79" s="184"/>
      <c r="Y79" s="184">
        <v>24979</v>
      </c>
      <c r="Z79" s="184"/>
      <c r="AA79" s="184"/>
      <c r="AB79" s="184"/>
      <c r="AC79" s="184"/>
      <c r="AD79" s="184"/>
      <c r="AE79" s="184"/>
      <c r="AF79" s="184"/>
      <c r="AG79" s="184">
        <v>68600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238040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24.97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10.06</v>
      </c>
      <c r="P80" s="187">
        <v>8.7799999999999994</v>
      </c>
      <c r="Q80" s="187">
        <v>8.23</v>
      </c>
      <c r="R80" s="187"/>
      <c r="S80" s="187"/>
      <c r="T80" s="187">
        <v>0.09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13.43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0.01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65.570000000000007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1622</v>
      </c>
      <c r="D111" s="174">
        <v>5567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352</v>
      </c>
      <c r="D114" s="174">
        <v>535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547+194</f>
        <v>741</v>
      </c>
      <c r="C138" s="189">
        <f>38+305</f>
        <v>343</v>
      </c>
      <c r="D138" s="174">
        <f>1622-1084</f>
        <v>538</v>
      </c>
      <c r="E138" s="175">
        <f>SUM(B138:D138)</f>
        <v>1622</v>
      </c>
    </row>
    <row r="139" spans="1:6" ht="12.6" customHeight="1" x14ac:dyDescent="0.25">
      <c r="A139" s="173" t="s">
        <v>215</v>
      </c>
      <c r="B139" s="174">
        <f>2297+792</f>
        <v>3089</v>
      </c>
      <c r="C139" s="189">
        <f>103+987</f>
        <v>1090</v>
      </c>
      <c r="D139" s="174">
        <f>5567-4179</f>
        <v>1388</v>
      </c>
      <c r="E139" s="175">
        <f>SUM(B139:D139)</f>
        <v>5567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28278707</v>
      </c>
      <c r="C141" s="189">
        <v>14451318</v>
      </c>
      <c r="D141" s="174">
        <f>-42730025+66090722</f>
        <v>23360697</v>
      </c>
      <c r="E141" s="175">
        <f>SUM(B141:D141)</f>
        <v>66090722</v>
      </c>
      <c r="F141" s="199"/>
    </row>
    <row r="142" spans="1:6" ht="12.6" customHeight="1" x14ac:dyDescent="0.25">
      <c r="A142" s="173" t="s">
        <v>246</v>
      </c>
      <c r="B142" s="174">
        <v>51151386</v>
      </c>
      <c r="C142" s="189">
        <v>28751882</v>
      </c>
      <c r="D142" s="174">
        <f>-79903268+146553118</f>
        <v>66649850</v>
      </c>
      <c r="E142" s="175">
        <f>SUM(B142:D142)</f>
        <v>146553118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1219683.26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47788.26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212879.04-1497.26</f>
        <v>211381.78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2079991.63-309259.91+132852.75-50524.84+18055.25-18011.03+47844.11</f>
        <v>1900947.96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46629.93-37204.76</f>
        <v>9425.1699999999983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448557.81+306602.42</f>
        <v>755160.23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89325.98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-4233713+4277399</f>
        <v>43686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4277398.6399999997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45750.3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83535.86+54285.52</f>
        <v>137821.38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183571.68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225565.96</f>
        <v>225565.96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70448.28-35000</f>
        <v>35448.28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261014.24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14901.16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716213.69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731114.85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655264.38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9963.49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665227.87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3268423.02</v>
      </c>
      <c r="C195" s="189"/>
      <c r="D195" s="174"/>
      <c r="E195" s="175">
        <f t="shared" ref="E195:E203" si="10">SUM(B195:C195)-D195</f>
        <v>3268423.02</v>
      </c>
    </row>
    <row r="196" spans="1:8" ht="12.6" customHeight="1" x14ac:dyDescent="0.25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5">
      <c r="A197" s="173" t="s">
        <v>334</v>
      </c>
      <c r="B197" s="174">
        <v>56737872.149999999</v>
      </c>
      <c r="C197" s="189">
        <v>52048.93</v>
      </c>
      <c r="D197" s="174"/>
      <c r="E197" s="175">
        <f t="shared" si="10"/>
        <v>56789921.079999998</v>
      </c>
    </row>
    <row r="198" spans="1:8" ht="12.6" customHeight="1" x14ac:dyDescent="0.25">
      <c r="A198" s="173" t="s">
        <v>335</v>
      </c>
      <c r="B198" s="174">
        <v>14754.4</v>
      </c>
      <c r="C198" s="189"/>
      <c r="D198" s="174"/>
      <c r="E198" s="175">
        <f t="shared" si="10"/>
        <v>14754.4</v>
      </c>
    </row>
    <row r="199" spans="1:8" ht="12.6" customHeight="1" x14ac:dyDescent="0.25">
      <c r="A199" s="173" t="s">
        <v>336</v>
      </c>
      <c r="B199" s="174">
        <v>1813323.04</v>
      </c>
      <c r="C199" s="189"/>
      <c r="D199" s="174"/>
      <c r="E199" s="175">
        <f t="shared" si="10"/>
        <v>1813323.04</v>
      </c>
    </row>
    <row r="200" spans="1:8" ht="12.6" customHeight="1" x14ac:dyDescent="0.25">
      <c r="A200" s="173" t="s">
        <v>337</v>
      </c>
      <c r="B200" s="174">
        <v>28798373.370000001</v>
      </c>
      <c r="C200" s="189">
        <f>2192050.26+365424.4</f>
        <v>2557474.6599999997</v>
      </c>
      <c r="D200" s="174"/>
      <c r="E200" s="175">
        <f t="shared" si="10"/>
        <v>31355848.030000001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672896.64999999991</v>
      </c>
      <c r="C203" s="189">
        <f>2027854.44</f>
        <v>2027854.44</v>
      </c>
      <c r="D203" s="174">
        <v>2277803.42</v>
      </c>
      <c r="E203" s="175">
        <f t="shared" si="10"/>
        <v>422947.66999999993</v>
      </c>
    </row>
    <row r="204" spans="1:8" ht="12.6" customHeight="1" x14ac:dyDescent="0.25">
      <c r="A204" s="173" t="s">
        <v>203</v>
      </c>
      <c r="B204" s="175">
        <f>SUM(B195:B203)</f>
        <v>91882656.63000001</v>
      </c>
      <c r="C204" s="191">
        <f>SUM(C195:C203)</f>
        <v>4637378.0299999993</v>
      </c>
      <c r="D204" s="175">
        <f>SUM(D195:D203)</f>
        <v>2277803.42</v>
      </c>
      <c r="E204" s="175">
        <f>SUM(E195:E203)</f>
        <v>94242231.239999995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381865.64</v>
      </c>
      <c r="C209" s="189">
        <v>57410.67</v>
      </c>
      <c r="D209" s="174"/>
      <c r="E209" s="175">
        <f t="shared" ref="E209:E216" si="11">SUM(B209:C209)-D209</f>
        <v>439276.31</v>
      </c>
      <c r="H209" s="259"/>
    </row>
    <row r="210" spans="1:8" ht="12.6" customHeight="1" x14ac:dyDescent="0.25">
      <c r="A210" s="173" t="s">
        <v>334</v>
      </c>
      <c r="B210" s="174">
        <f>4426321.1+7668820.05</f>
        <v>12095141.149999999</v>
      </c>
      <c r="C210" s="189">
        <f>574490.53+904240.32</f>
        <v>1478730.85</v>
      </c>
      <c r="D210" s="174"/>
      <c r="E210" s="175">
        <f t="shared" si="11"/>
        <v>13573871.999999998</v>
      </c>
      <c r="H210" s="259"/>
    </row>
    <row r="211" spans="1:8" ht="12.6" customHeight="1" x14ac:dyDescent="0.25">
      <c r="A211" s="173" t="s">
        <v>335</v>
      </c>
      <c r="B211" s="174">
        <v>974445.7</v>
      </c>
      <c r="C211" s="189">
        <v>96183.59</v>
      </c>
      <c r="D211" s="174"/>
      <c r="E211" s="175">
        <f t="shared" si="11"/>
        <v>1070629.29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23408972.120000001</v>
      </c>
      <c r="C213" s="189">
        <f>1907903.09+123666.92</f>
        <v>2031570.01</v>
      </c>
      <c r="D213" s="174">
        <v>-811.97</v>
      </c>
      <c r="E213" s="175">
        <f t="shared" si="11"/>
        <v>25441354.100000001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36860424.609999999</v>
      </c>
      <c r="C217" s="191">
        <f>SUM(C208:C216)</f>
        <v>3663895.12</v>
      </c>
      <c r="D217" s="175">
        <f>SUM(D208:D216)</f>
        <v>-811.97</v>
      </c>
      <c r="E217" s="175">
        <f>SUM(E208:E216)</f>
        <v>40525131.700000003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5" t="s">
        <v>1255</v>
      </c>
      <c r="C220" s="305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2470843.27</v>
      </c>
      <c r="D221" s="172">
        <f>C221</f>
        <v>2470843.27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19568683.3+39957361.61+806160.2</f>
        <v>60332205.109999999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9831234.41+19740655.74+621667.8</f>
        <v>30193557.949999999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1697622.57+3834484.75+89860.27</f>
        <v>5621967.5899999999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144792210.56-C223-C224-C225-C228-C226</f>
        <v>45675882.299999997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901719.74+1952036.16+114841.71</f>
        <v>2968597.61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144792210.56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1798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625852.42000000004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1454600.88+12139.94</f>
        <v>1466740.8199999998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2092593.2399999998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149355647.07000002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37636749.189999998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29188366.56+12433.91</f>
        <v>29200800.469999999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18211511.6+1989423.74</f>
        <v>20200935.34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1211501.8899999999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47848116.209999993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23757816.34+33046859.24-14754</f>
        <v>56789921.579999998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14754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1813322.77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31355848.18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205314.31+217634.33</f>
        <v>422948.64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94242231.969999999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40525131.710000001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53717100.259999998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66127837.049999997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66127837.049999997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167693053.51999998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477299.56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1897657.81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1375738.82+2593.93+1350798.29</f>
        <v>2729131.04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754361.89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-3456051.27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865243.47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3267642.5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70194.8+1419.46+53386.25+5566.11+1</f>
        <v>130567.62000000001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12570866.06+806291.11</f>
        <v>13377157.17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13507724.789999999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865243.47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12642481.319999998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151782930.66999999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167693054.48999998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167693053.51999998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66090722.380000003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142512956.6+4040160.98</f>
        <v>146553117.57999998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212643839.95999998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2470843.27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144792210.56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2092593.24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149355647.07000002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63288192.889999956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-137665.51999999999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-137665.51999999999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63150527.369999953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16669713.19+567676.96</f>
        <v>17237390.149999999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4277398.7699999996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3375216.96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6047381.0300000003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465130.28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10438605.6+183571.91+411912</f>
        <v>11034089.51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3663895.12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183571.91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261014.24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716213.69+14901.16</f>
        <v>731114.85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665227.87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48450842.41-47941431</f>
        <v>509411.40999999642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48450842.099999994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14699685.269999959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5092016.33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19791701.599999957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19791701.599999957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Elizabeth Hospital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1622</v>
      </c>
      <c r="C414" s="194">
        <f>E138</f>
        <v>1622</v>
      </c>
      <c r="D414" s="179"/>
    </row>
    <row r="415" spans="1:5" ht="12.6" customHeight="1" x14ac:dyDescent="0.25">
      <c r="A415" s="179" t="s">
        <v>464</v>
      </c>
      <c r="B415" s="179">
        <f>D111</f>
        <v>5567</v>
      </c>
      <c r="C415" s="179">
        <f>E139</f>
        <v>5567</v>
      </c>
      <c r="D415" s="194">
        <f>SUM(C59:H59)+N59</f>
        <v>5627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352</v>
      </c>
    </row>
    <row r="424" spans="1:7" ht="12.6" customHeight="1" x14ac:dyDescent="0.25">
      <c r="A424" s="179" t="s">
        <v>1244</v>
      </c>
      <c r="B424" s="179">
        <f>D114</f>
        <v>535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17237390.149999999</v>
      </c>
      <c r="C427" s="179">
        <f t="shared" ref="C427:C434" si="13">CE61</f>
        <v>17237390.149999999</v>
      </c>
      <c r="D427" s="179"/>
    </row>
    <row r="428" spans="1:7" ht="12.6" customHeight="1" x14ac:dyDescent="0.25">
      <c r="A428" s="179" t="s">
        <v>3</v>
      </c>
      <c r="B428" s="179">
        <f t="shared" si="12"/>
        <v>4277398.7699999996</v>
      </c>
      <c r="C428" s="179">
        <f t="shared" si="13"/>
        <v>4277399</v>
      </c>
      <c r="D428" s="179">
        <f>D173</f>
        <v>4277398.6399999997</v>
      </c>
    </row>
    <row r="429" spans="1:7" ht="12.6" customHeight="1" x14ac:dyDescent="0.25">
      <c r="A429" s="179" t="s">
        <v>236</v>
      </c>
      <c r="B429" s="179">
        <f t="shared" si="12"/>
        <v>3375216.96</v>
      </c>
      <c r="C429" s="179">
        <f t="shared" si="13"/>
        <v>3375216.96</v>
      </c>
      <c r="D429" s="179"/>
    </row>
    <row r="430" spans="1:7" ht="12.6" customHeight="1" x14ac:dyDescent="0.25">
      <c r="A430" s="179" t="s">
        <v>237</v>
      </c>
      <c r="B430" s="179">
        <f t="shared" si="12"/>
        <v>6047381.0300000003</v>
      </c>
      <c r="C430" s="179">
        <f t="shared" si="13"/>
        <v>6047381.0299999984</v>
      </c>
      <c r="D430" s="179"/>
    </row>
    <row r="431" spans="1:7" ht="12.6" customHeight="1" x14ac:dyDescent="0.25">
      <c r="A431" s="179" t="s">
        <v>444</v>
      </c>
      <c r="B431" s="179">
        <f t="shared" si="12"/>
        <v>465130.28</v>
      </c>
      <c r="C431" s="179">
        <f t="shared" si="13"/>
        <v>465130.27999999991</v>
      </c>
      <c r="D431" s="179"/>
    </row>
    <row r="432" spans="1:7" ht="12.6" customHeight="1" x14ac:dyDescent="0.25">
      <c r="A432" s="179" t="s">
        <v>445</v>
      </c>
      <c r="B432" s="179">
        <f t="shared" si="12"/>
        <v>11034089.51</v>
      </c>
      <c r="C432" s="179">
        <f t="shared" si="13"/>
        <v>11034090.234637706</v>
      </c>
      <c r="D432" s="179"/>
    </row>
    <row r="433" spans="1:7" ht="12.6" customHeight="1" x14ac:dyDescent="0.25">
      <c r="A433" s="179" t="s">
        <v>6</v>
      </c>
      <c r="B433" s="179">
        <f t="shared" si="12"/>
        <v>3663895.12</v>
      </c>
      <c r="C433" s="179">
        <f t="shared" si="13"/>
        <v>3663894</v>
      </c>
      <c r="D433" s="179">
        <f>C217</f>
        <v>3663895.12</v>
      </c>
    </row>
    <row r="434" spans="1:7" ht="12.6" customHeight="1" x14ac:dyDescent="0.25">
      <c r="A434" s="179" t="s">
        <v>474</v>
      </c>
      <c r="B434" s="179">
        <f t="shared" si="12"/>
        <v>183571.91</v>
      </c>
      <c r="C434" s="179">
        <f t="shared" si="13"/>
        <v>183571.91</v>
      </c>
      <c r="D434" s="179">
        <f>D177</f>
        <v>183571.68</v>
      </c>
    </row>
    <row r="435" spans="1:7" ht="12.6" customHeight="1" x14ac:dyDescent="0.25">
      <c r="A435" s="179" t="s">
        <v>447</v>
      </c>
      <c r="B435" s="179">
        <f t="shared" si="12"/>
        <v>261014.24</v>
      </c>
      <c r="C435" s="179"/>
      <c r="D435" s="179">
        <f>D181</f>
        <v>261014.24</v>
      </c>
    </row>
    <row r="436" spans="1:7" ht="12.6" customHeight="1" x14ac:dyDescent="0.25">
      <c r="A436" s="179" t="s">
        <v>475</v>
      </c>
      <c r="B436" s="179">
        <f t="shared" si="12"/>
        <v>731114.85</v>
      </c>
      <c r="C436" s="179"/>
      <c r="D436" s="179">
        <f>D186</f>
        <v>731114.85</v>
      </c>
    </row>
    <row r="437" spans="1:7" ht="12.6" customHeight="1" x14ac:dyDescent="0.25">
      <c r="A437" s="194" t="s">
        <v>449</v>
      </c>
      <c r="B437" s="194">
        <f t="shared" si="12"/>
        <v>665227.87</v>
      </c>
      <c r="C437" s="194"/>
      <c r="D437" s="194">
        <f>D190</f>
        <v>665227.87</v>
      </c>
    </row>
    <row r="438" spans="1:7" ht="12.6" customHeight="1" x14ac:dyDescent="0.25">
      <c r="A438" s="194" t="s">
        <v>476</v>
      </c>
      <c r="B438" s="194">
        <f>C386+C387+C388</f>
        <v>1657356.96</v>
      </c>
      <c r="C438" s="194">
        <f>CD69</f>
        <v>1657357</v>
      </c>
      <c r="D438" s="194">
        <f>D181+D186+D190</f>
        <v>1657356.96</v>
      </c>
    </row>
    <row r="439" spans="1:7" ht="12.6" customHeight="1" x14ac:dyDescent="0.25">
      <c r="A439" s="179" t="s">
        <v>451</v>
      </c>
      <c r="B439" s="194">
        <f>C389</f>
        <v>509411.40999999642</v>
      </c>
      <c r="C439" s="194">
        <f>SUM(C69:CC69)</f>
        <v>509410.9599999999</v>
      </c>
      <c r="D439" s="179"/>
    </row>
    <row r="440" spans="1:7" ht="12.6" customHeight="1" x14ac:dyDescent="0.25">
      <c r="A440" s="179" t="s">
        <v>477</v>
      </c>
      <c r="B440" s="194">
        <f>B438+B439</f>
        <v>2166768.3699999964</v>
      </c>
      <c r="C440" s="194">
        <f>CE69</f>
        <v>2166767.96</v>
      </c>
      <c r="D440" s="179"/>
    </row>
    <row r="441" spans="1:7" ht="12.6" customHeight="1" x14ac:dyDescent="0.25">
      <c r="A441" s="179" t="s">
        <v>478</v>
      </c>
      <c r="B441" s="179">
        <f>D390</f>
        <v>48450842.099999994</v>
      </c>
      <c r="C441" s="179">
        <f>SUM(C427:C437)+C440</f>
        <v>48450841.524637699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2470843.27</v>
      </c>
      <c r="C444" s="179">
        <f>C363</f>
        <v>2470843.27</v>
      </c>
      <c r="D444" s="179"/>
    </row>
    <row r="445" spans="1:7" ht="12.6" customHeight="1" x14ac:dyDescent="0.25">
      <c r="A445" s="179" t="s">
        <v>343</v>
      </c>
      <c r="B445" s="179">
        <f>D229</f>
        <v>144792210.56</v>
      </c>
      <c r="C445" s="179">
        <f>C364</f>
        <v>144792210.56</v>
      </c>
      <c r="D445" s="179"/>
    </row>
    <row r="446" spans="1:7" ht="12.6" customHeight="1" x14ac:dyDescent="0.25">
      <c r="A446" s="179" t="s">
        <v>351</v>
      </c>
      <c r="B446" s="179">
        <f>D236</f>
        <v>2092593.2399999998</v>
      </c>
      <c r="C446" s="179">
        <f>C365</f>
        <v>2092593.24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149355647.07000002</v>
      </c>
      <c r="C448" s="179">
        <f>D367</f>
        <v>149355647.07000002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1798</v>
      </c>
    </row>
    <row r="454" spans="1:7" ht="12.6" customHeight="1" x14ac:dyDescent="0.25">
      <c r="A454" s="179" t="s">
        <v>168</v>
      </c>
      <c r="B454" s="179">
        <f>C233</f>
        <v>625852.42000000004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1466740.8199999998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-137665.51999999999</v>
      </c>
      <c r="C458" s="194">
        <f>CE70</f>
        <v>-137665.51999999996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66090722.380000003</v>
      </c>
      <c r="C463" s="194">
        <f>CE73</f>
        <v>66090722.380000003</v>
      </c>
      <c r="D463" s="194">
        <f>E141+E147+E153</f>
        <v>66090722</v>
      </c>
    </row>
    <row r="464" spans="1:7" ht="12.6" customHeight="1" x14ac:dyDescent="0.25">
      <c r="A464" s="179" t="s">
        <v>246</v>
      </c>
      <c r="B464" s="194">
        <f>C360</f>
        <v>146553117.57999998</v>
      </c>
      <c r="C464" s="194">
        <f>CE74</f>
        <v>146553117.58000004</v>
      </c>
      <c r="D464" s="194">
        <f>E142+E148+E154</f>
        <v>146553118</v>
      </c>
    </row>
    <row r="465" spans="1:7" ht="12.6" customHeight="1" x14ac:dyDescent="0.25">
      <c r="A465" s="179" t="s">
        <v>247</v>
      </c>
      <c r="B465" s="194">
        <f>D361</f>
        <v>212643839.95999998</v>
      </c>
      <c r="C465" s="194">
        <f>CE75</f>
        <v>212643839.96000004</v>
      </c>
      <c r="D465" s="194">
        <f>D463+D464</f>
        <v>212643840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" customHeight="1" x14ac:dyDescent="0.25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5">
      <c r="A470" s="179" t="s">
        <v>334</v>
      </c>
      <c r="B470" s="179">
        <f t="shared" si="14"/>
        <v>56789921.579999998</v>
      </c>
      <c r="C470" s="179">
        <f>E197</f>
        <v>56789921.079999998</v>
      </c>
      <c r="D470" s="179"/>
    </row>
    <row r="471" spans="1:7" ht="12.6" customHeight="1" x14ac:dyDescent="0.25">
      <c r="A471" s="179" t="s">
        <v>494</v>
      </c>
      <c r="B471" s="179">
        <f t="shared" si="14"/>
        <v>14754</v>
      </c>
      <c r="C471" s="179">
        <f>E198</f>
        <v>14754.4</v>
      </c>
      <c r="D471" s="179"/>
    </row>
    <row r="472" spans="1:7" ht="12.6" customHeight="1" x14ac:dyDescent="0.25">
      <c r="A472" s="179" t="s">
        <v>377</v>
      </c>
      <c r="B472" s="179">
        <f t="shared" si="14"/>
        <v>1813322.77</v>
      </c>
      <c r="C472" s="179">
        <f>E199</f>
        <v>1813323.04</v>
      </c>
      <c r="D472" s="179"/>
    </row>
    <row r="473" spans="1:7" ht="12.6" customHeight="1" x14ac:dyDescent="0.25">
      <c r="A473" s="179" t="s">
        <v>495</v>
      </c>
      <c r="B473" s="179">
        <f t="shared" si="14"/>
        <v>31355848.18</v>
      </c>
      <c r="C473" s="179">
        <f>SUM(E200:E201)</f>
        <v>31355848.030000001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422948.64</v>
      </c>
      <c r="C475" s="179">
        <f>E203</f>
        <v>422947.66999999993</v>
      </c>
      <c r="D475" s="179"/>
    </row>
    <row r="476" spans="1:7" ht="12.6" customHeight="1" x14ac:dyDescent="0.25">
      <c r="A476" s="179" t="s">
        <v>203</v>
      </c>
      <c r="B476" s="179">
        <f>D275</f>
        <v>94242231.969999999</v>
      </c>
      <c r="C476" s="179">
        <f>E204</f>
        <v>94242231.239999995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40525131.710000001</v>
      </c>
      <c r="C478" s="179">
        <f>E217</f>
        <v>40525131.700000003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167693053.51999998</v>
      </c>
    </row>
    <row r="482" spans="1:12" ht="12.6" customHeight="1" x14ac:dyDescent="0.25">
      <c r="A482" s="180" t="s">
        <v>499</v>
      </c>
      <c r="C482" s="180">
        <f>D339</f>
        <v>167693054.48999998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 Elizabeth Hospital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5180553.0299999993</v>
      </c>
      <c r="C498" s="240">
        <f>E71</f>
        <v>5353850.5900000008</v>
      </c>
      <c r="D498" s="240">
        <v>5199</v>
      </c>
      <c r="E498" s="180">
        <f>E59</f>
        <v>5627</v>
      </c>
      <c r="F498" s="263">
        <f t="shared" si="15"/>
        <v>996.4518234275821</v>
      </c>
      <c r="G498" s="263">
        <f t="shared" si="15"/>
        <v>951.45736449262495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3606</v>
      </c>
      <c r="C503" s="240">
        <f>J71</f>
        <v>3704</v>
      </c>
      <c r="D503" s="240">
        <v>531</v>
      </c>
      <c r="E503" s="180">
        <f>J59</f>
        <v>0</v>
      </c>
      <c r="F503" s="263">
        <f t="shared" si="15"/>
        <v>6.7909604519774014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1910901.3699999999</v>
      </c>
      <c r="C508" s="240">
        <f>O71</f>
        <v>1922687.6600000001</v>
      </c>
      <c r="D508" s="240">
        <v>1215</v>
      </c>
      <c r="E508" s="180">
        <f>O59</f>
        <v>1219</v>
      </c>
      <c r="F508" s="263">
        <f t="shared" si="15"/>
        <v>1572.7583292181068</v>
      </c>
      <c r="G508" s="263">
        <f t="shared" si="15"/>
        <v>1577.2663330598853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6080950.2206000015</v>
      </c>
      <c r="C509" s="240">
        <f>P71</f>
        <v>7192752.5668000001</v>
      </c>
      <c r="D509" s="240">
        <v>151290</v>
      </c>
      <c r="E509" s="180">
        <f>P59</f>
        <v>143610</v>
      </c>
      <c r="F509" s="263">
        <f t="shared" si="15"/>
        <v>40.193999739573016</v>
      </c>
      <c r="G509" s="263">
        <f t="shared" si="15"/>
        <v>50.085318339948472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1464532.1600000004</v>
      </c>
      <c r="C510" s="240">
        <f>Q71</f>
        <v>1533602.2</v>
      </c>
      <c r="D510" s="240">
        <v>310770</v>
      </c>
      <c r="E510" s="180">
        <f>Q59</f>
        <v>6338</v>
      </c>
      <c r="F510" s="263">
        <f t="shared" si="15"/>
        <v>4.7125918203172779</v>
      </c>
      <c r="G510" s="263">
        <f t="shared" si="15"/>
        <v>241.96942253076679</v>
      </c>
      <c r="H510" s="265">
        <f t="shared" si="16"/>
        <v>50.345296125068622</v>
      </c>
      <c r="I510" s="267" t="s">
        <v>1279</v>
      </c>
      <c r="K510" s="261"/>
      <c r="L510" s="261"/>
    </row>
    <row r="511" spans="1:12" ht="12.6" customHeight="1" x14ac:dyDescent="0.25">
      <c r="A511" s="180" t="s">
        <v>527</v>
      </c>
      <c r="B511" s="240">
        <v>1543632.84</v>
      </c>
      <c r="C511" s="240">
        <f>R71</f>
        <v>2063999.57</v>
      </c>
      <c r="D511" s="240">
        <v>150675</v>
      </c>
      <c r="E511" s="180">
        <f>R59</f>
        <v>143430</v>
      </c>
      <c r="F511" s="263">
        <f t="shared" si="15"/>
        <v>10.244784071677453</v>
      </c>
      <c r="G511" s="263">
        <f t="shared" si="15"/>
        <v>14.390291919403193</v>
      </c>
      <c r="H511" s="265">
        <f t="shared" si="16"/>
        <v>0.4046457025079071</v>
      </c>
      <c r="I511" s="267" t="s">
        <v>1280</v>
      </c>
      <c r="K511" s="261"/>
      <c r="L511" s="261"/>
    </row>
    <row r="512" spans="1:12" ht="12.6" customHeight="1" x14ac:dyDescent="0.25">
      <c r="A512" s="180" t="s">
        <v>528</v>
      </c>
      <c r="B512" s="240">
        <v>320878.09608960006</v>
      </c>
      <c r="C512" s="240">
        <f>S71</f>
        <v>377675.69520919997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40868.339999999997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1851079.55</v>
      </c>
      <c r="C514" s="240">
        <f>U71</f>
        <v>1958486.0399999998</v>
      </c>
      <c r="D514" s="240">
        <v>90953</v>
      </c>
      <c r="E514" s="180">
        <f>U59</f>
        <v>87689</v>
      </c>
      <c r="F514" s="263">
        <f t="shared" si="17"/>
        <v>20.352045012259079</v>
      </c>
      <c r="G514" s="263">
        <f t="shared" si="17"/>
        <v>22.334455176818071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679646.94</v>
      </c>
      <c r="C516" s="240">
        <f>W71</f>
        <v>665784.6</v>
      </c>
      <c r="D516" s="240">
        <v>1349</v>
      </c>
      <c r="E516" s="180">
        <f>W59</f>
        <v>1190</v>
      </c>
      <c r="F516" s="263">
        <f t="shared" si="17"/>
        <v>503.81537435137136</v>
      </c>
      <c r="G516" s="263">
        <f t="shared" si="17"/>
        <v>559.48285714285714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754530.97</v>
      </c>
      <c r="C517" s="240">
        <f>X71</f>
        <v>747599.6</v>
      </c>
      <c r="D517" s="240">
        <v>5508</v>
      </c>
      <c r="E517" s="180">
        <f>X59</f>
        <v>4979</v>
      </c>
      <c r="F517" s="263">
        <f t="shared" si="17"/>
        <v>136.98819353667392</v>
      </c>
      <c r="G517" s="263">
        <f t="shared" si="17"/>
        <v>150.15055231974293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318195</v>
      </c>
      <c r="C518" s="240">
        <f>Y71</f>
        <v>325178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1688257.53</v>
      </c>
      <c r="C519" s="240">
        <f>Z71</f>
        <v>1604266.58</v>
      </c>
      <c r="D519" s="240">
        <v>17654</v>
      </c>
      <c r="E519" s="180">
        <f>Z59</f>
        <v>15686</v>
      </c>
      <c r="F519" s="263">
        <f t="shared" si="17"/>
        <v>95.630312110569847</v>
      </c>
      <c r="G519" s="263">
        <f t="shared" si="17"/>
        <v>102.27378426622467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300148.51999999996</v>
      </c>
      <c r="C520" s="240">
        <f>AA71</f>
        <v>263187.02</v>
      </c>
      <c r="D520" s="240">
        <v>373</v>
      </c>
      <c r="E520" s="180">
        <f>AA59</f>
        <v>251</v>
      </c>
      <c r="F520" s="263">
        <f t="shared" si="17"/>
        <v>804.68772117962453</v>
      </c>
      <c r="G520" s="263">
        <f t="shared" si="17"/>
        <v>1048.5538645418328</v>
      </c>
      <c r="H520" s="265">
        <f t="shared" si="16"/>
        <v>0.30305687155846606</v>
      </c>
      <c r="I520" s="267" t="s">
        <v>1281</v>
      </c>
      <c r="K520" s="261"/>
      <c r="L520" s="261"/>
    </row>
    <row r="521" spans="1:12" ht="12.6" customHeight="1" x14ac:dyDescent="0.25">
      <c r="A521" s="180" t="s">
        <v>537</v>
      </c>
      <c r="B521" s="240">
        <v>1990760.8100000005</v>
      </c>
      <c r="C521" s="240">
        <f>AB71</f>
        <v>1999960.01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694880.02</v>
      </c>
      <c r="C522" s="240">
        <f>AC71</f>
        <v>671091.19000000006</v>
      </c>
      <c r="D522" s="240">
        <v>15315</v>
      </c>
      <c r="E522" s="180">
        <f>AC59</f>
        <v>12519</v>
      </c>
      <c r="F522" s="263">
        <f t="shared" si="17"/>
        <v>45.372511916421807</v>
      </c>
      <c r="G522" s="263">
        <f t="shared" si="17"/>
        <v>53.605814362169504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148124.54</v>
      </c>
      <c r="C524" s="240">
        <f>AE71</f>
        <v>139841.74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3383431.7600000002</v>
      </c>
      <c r="C526" s="240">
        <f>AG71</f>
        <v>3383416.7500000005</v>
      </c>
      <c r="D526" s="240">
        <v>14392</v>
      </c>
      <c r="E526" s="180">
        <f>AG59</f>
        <v>13761</v>
      </c>
      <c r="F526" s="263">
        <f t="shared" si="17"/>
        <v>235.09114508060034</v>
      </c>
      <c r="G526" s="263">
        <f t="shared" si="17"/>
        <v>245.86997674587607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123.28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995</v>
      </c>
      <c r="C529" s="240">
        <f>AJ71</f>
        <v>1022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121994.63</v>
      </c>
      <c r="C530" s="240">
        <f>AK71</f>
        <v>82459.67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18941.75</v>
      </c>
      <c r="C531" s="240">
        <f>AL71</f>
        <v>22173.759999999998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161650.56080000004</v>
      </c>
      <c r="C541" s="240">
        <f>AV71</f>
        <v>576138.66440000013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23518.984000000004</v>
      </c>
      <c r="C543" s="240">
        <f>AX71</f>
        <v>123.5474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925624.0299999998</v>
      </c>
      <c r="C544" s="240">
        <f>AY71</f>
        <v>975836.29000000015</v>
      </c>
      <c r="D544" s="240">
        <v>25416</v>
      </c>
      <c r="E544" s="180">
        <f>AY59</f>
        <v>26585</v>
      </c>
      <c r="F544" s="263">
        <f t="shared" ref="F544:G550" si="19">IF(B544=0,"",IF(D544=0,"",B544/D544))</f>
        <v>36.418949874095048</v>
      </c>
      <c r="G544" s="263">
        <f t="shared" si="19"/>
        <v>36.706273838630814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26743</v>
      </c>
      <c r="C545" s="240">
        <f>AZ71</f>
        <v>27471</v>
      </c>
      <c r="D545" s="240">
        <v>25416</v>
      </c>
      <c r="E545" s="180">
        <f>AZ59</f>
        <v>26585</v>
      </c>
      <c r="F545" s="263">
        <f t="shared" si="19"/>
        <v>1.0522112055398174</v>
      </c>
      <c r="G545" s="263">
        <f t="shared" si="19"/>
        <v>1.0333270641339101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3606</v>
      </c>
      <c r="C546" s="240">
        <f>BA71</f>
        <v>3704</v>
      </c>
      <c r="D546" s="240">
        <v>215709</v>
      </c>
      <c r="E546" s="180">
        <f>BA59</f>
        <v>0</v>
      </c>
      <c r="F546" s="263">
        <f t="shared" si="19"/>
        <v>1.6716965912409773E-2</v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2413049.8532000002</v>
      </c>
      <c r="C550" s="240">
        <f>BE71</f>
        <v>2523235.7611999996</v>
      </c>
      <c r="D550" s="240">
        <v>101299</v>
      </c>
      <c r="E550" s="180">
        <f>BE59</f>
        <v>101299</v>
      </c>
      <c r="F550" s="263">
        <f t="shared" si="19"/>
        <v>23.821062924609329</v>
      </c>
      <c r="G550" s="263">
        <f t="shared" si="19"/>
        <v>24.90879239874036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883636.15000000014</v>
      </c>
      <c r="C551" s="240">
        <f>BF71</f>
        <v>929711.29999999993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69002.118000000002</v>
      </c>
      <c r="C552" s="240">
        <f>BG71</f>
        <v>34620.198400000001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673784.75800000003</v>
      </c>
      <c r="C553" s="240">
        <f>BH71</f>
        <v>397409.11599999998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11677.48</v>
      </c>
      <c r="C554" s="240">
        <f>BI71</f>
        <v>13297.49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84077.203799999988</v>
      </c>
      <c r="C555" s="240">
        <f>BJ71</f>
        <v>104756.78512962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463973.49078376987</v>
      </c>
      <c r="C556" s="240">
        <f>BK71</f>
        <v>495200.66153020086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1461028.9972000001</v>
      </c>
      <c r="C557" s="240">
        <f>BL71</f>
        <v>1475851.1943151043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1369680.4374513996</v>
      </c>
      <c r="C559" s="240">
        <f>BN71</f>
        <v>1757405.6264190599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47475.989999999991</v>
      </c>
      <c r="C560" s="240">
        <f>BO71</f>
        <v>57690.567199999998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305293.17740000004</v>
      </c>
      <c r="C561" s="240">
        <f>BP71</f>
        <v>75627.4948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142004.7984</v>
      </c>
      <c r="C563" s="240">
        <f>BR71</f>
        <v>230475.50100000002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19372.311000000002</v>
      </c>
      <c r="C564" s="240">
        <f>BS71</f>
        <v>2.8192000000000004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24068.831599999998</v>
      </c>
      <c r="C565" s="240">
        <f>BT71</f>
        <v>4178.1086000000005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5729.1725999999999</v>
      </c>
      <c r="C566" s="240">
        <f>BU71</f>
        <v>6777.0642000000007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721184.57266171998</v>
      </c>
      <c r="C567" s="240">
        <f>BV71</f>
        <v>757775.60177700163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77341.843997439995</v>
      </c>
      <c r="C568" s="240">
        <f>BW71</f>
        <v>70317.390476000015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289310.39519135997</v>
      </c>
      <c r="C569" s="240">
        <f>BX71</f>
        <v>395389.94541963993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1076255.6177999999</v>
      </c>
      <c r="C570" s="240">
        <f>BY71</f>
        <v>1319967.1203999997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66600.402000000016</v>
      </c>
      <c r="C572" s="240">
        <f>CA71</f>
        <v>82056.217000000004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7025.1714000000002</v>
      </c>
      <c r="C573" s="240">
        <f>CB71</f>
        <v>8374.8024000000005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4098273.2928000004</v>
      </c>
      <c r="C574" s="240">
        <f>CC71</f>
        <v>4254148.1953618797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1461170.17</v>
      </c>
      <c r="C575" s="240">
        <f>CD71</f>
        <v>1657357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97740</v>
      </c>
      <c r="E612" s="180">
        <f>SUM(C624:D647)+SUM(C668:D713)</f>
        <v>41400220.496260777</v>
      </c>
      <c r="F612" s="180">
        <f>CE64-(AX64+BD64+BE64+BG64+BJ64+BN64+BP64+BQ64+CB64+CC64+CD64)</f>
        <v>6041665.0099999988</v>
      </c>
      <c r="G612" s="180">
        <f>CE77-(AX77+AY77+BD77+BE77+BG77+BJ77+BN77+BP77+BQ77+CB77+CC77+CD77)</f>
        <v>26585</v>
      </c>
      <c r="H612" s="197">
        <f>CE60-(AX60+AY60+AZ60+BD60+BE60+BG60+BJ60+BN60+BO60+BP60+BQ60+BR60+CB60+CC60+CD60)</f>
        <v>178.98999999999995</v>
      </c>
      <c r="I612" s="180">
        <f>CE78-(AX78+AY78+AZ78+BD78+BE78+BF78+BG78+BJ78+BN78+BO78+BP78+BQ78+BR78+CB78+CC78+CD78)</f>
        <v>26191</v>
      </c>
      <c r="J612" s="180">
        <f>CE79-(AX79+AY79+AZ79+BA79+BD79+BE79+BF79+BG79+BJ79+BN79+BO79+BP79+BQ79+BR79+CB79+CC79+CD79)</f>
        <v>238040</v>
      </c>
      <c r="K612" s="180">
        <f>CE75-(AW75+AX75+AY75+AZ75+BA75+BB75+BC75+BD75+BE75+BF75+BG75+BH75+BI75+BJ75+BK75+BL75+BM75+BN75+BO75+BP75+BQ75+BR75+BS75+BT75+BU75+BV75+BW75+BX75+CB75+CC75+CD75)</f>
        <v>212643839.96000004</v>
      </c>
      <c r="L612" s="197">
        <f>CE80-(AW80+AX80+AY80+AZ80+BA80+BB80+BC80+BD80+BE80+BF80+BG80+BH80+BI80+BJ80+BK80+BL80+BM80+BN80+BO80+BP80+BQ80+BR80+BS80+BT80+BU80+BV80+BW80+BX80+BY80+BZ80+CA80+CB80+CC80+CD80)</f>
        <v>65.570000000000007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2523235.7611999996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1657357</v>
      </c>
      <c r="D615" s="266">
        <f>SUM(C614:C615)</f>
        <v>4180592.7611999996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123.5474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104756.78512962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34620.198400000001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1757405.6264190599</v>
      </c>
      <c r="D619" s="180">
        <f>(D615/D612)*BN76</f>
        <v>953229.89846637193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4254148.1953618797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75627.4948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8374.8024000000005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7188286.5483769318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975836.29000000015</v>
      </c>
      <c r="D625" s="180">
        <f>(D615/D612)*AY76</f>
        <v>117496.29951930017</v>
      </c>
      <c r="E625" s="180">
        <f>(E623/E612)*SUM(C625:D625)</f>
        <v>189834.44657869724</v>
      </c>
      <c r="F625" s="180">
        <f>(F624/F612)*AY64</f>
        <v>0</v>
      </c>
      <c r="G625" s="180">
        <f>SUM(C625:F625)</f>
        <v>1283167.0360979976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230475.50100000002</v>
      </c>
      <c r="D626" s="180">
        <f>(D615/D612)*BR76</f>
        <v>9581.0597351012875</v>
      </c>
      <c r="E626" s="180">
        <f>(E623/E612)*SUM(C626:D626)</f>
        <v>41680.825022118246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57690.567199999998</v>
      </c>
      <c r="D627" s="180">
        <f>(D615/D612)*BO76</f>
        <v>0</v>
      </c>
      <c r="E627" s="180">
        <f>(E623/E612)*SUM(C627:D627)</f>
        <v>10016.766171799745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27471</v>
      </c>
      <c r="D628" s="180">
        <f>(D615/D612)*AZ76</f>
        <v>60908.165458858188</v>
      </c>
      <c r="E628" s="180">
        <f>(E623/E612)*SUM(C628:D628)</f>
        <v>15345.202479829029</v>
      </c>
      <c r="F628" s="180">
        <f>(F624/F612)*AZ64</f>
        <v>0</v>
      </c>
      <c r="G628" s="180">
        <f>(G625/G612)*AZ77</f>
        <v>0</v>
      </c>
      <c r="H628" s="180">
        <f>SUM(C626:G628)</f>
        <v>453169.08706770651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929711.29999999993</v>
      </c>
      <c r="D629" s="180">
        <f>(D615/D612)*BF76</f>
        <v>54021.77877425414</v>
      </c>
      <c r="E629" s="180">
        <f>(E623/E612)*SUM(C629:D629)</f>
        <v>170804.77283895318</v>
      </c>
      <c r="F629" s="180">
        <f>(F624/F612)*BF64</f>
        <v>0</v>
      </c>
      <c r="G629" s="180">
        <f>(G625/G612)*BF77</f>
        <v>0</v>
      </c>
      <c r="H629" s="180">
        <f>(H628/H612)*BF60</f>
        <v>31875.517102533253</v>
      </c>
      <c r="I629" s="180">
        <f>SUM(C629:H629)</f>
        <v>1186413.3687157405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3704</v>
      </c>
      <c r="D630" s="180">
        <f>(D615/D612)*BA76</f>
        <v>8212.3369158011046</v>
      </c>
      <c r="E630" s="180">
        <f>(E623/E612)*SUM(C630:D630)</f>
        <v>2069.0238682549307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3261.4929765008328</v>
      </c>
      <c r="J630" s="180">
        <f>SUM(C630:I630)</f>
        <v>17246.853760556871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13297.49</v>
      </c>
      <c r="D634" s="180">
        <f>(D615/D612)*BI76</f>
        <v>31480.624843904232</v>
      </c>
      <c r="E634" s="180">
        <f>(E623/E612)*SUM(C634:D634)</f>
        <v>7774.7875913652651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12502.389743253192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495200.66153020086</v>
      </c>
      <c r="D635" s="180">
        <f>(D615/D612)*BK76</f>
        <v>0</v>
      </c>
      <c r="E635" s="180">
        <f>(E623/E612)*SUM(C635:D635)</f>
        <v>85981.287330254781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397409.11599999998</v>
      </c>
      <c r="D636" s="180">
        <f>(D615/D612)*BH76</f>
        <v>0</v>
      </c>
      <c r="E636" s="180">
        <f>(E623/E612)*SUM(C636:D636)</f>
        <v>69001.820968639062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1475851.1943151043</v>
      </c>
      <c r="D637" s="180">
        <f>(D615/D612)*BL76</f>
        <v>0</v>
      </c>
      <c r="E637" s="180">
        <f>(E623/E612)*SUM(C637:D637)</f>
        <v>256250.84022099525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2.8192000000000004</v>
      </c>
      <c r="D639" s="180">
        <f>(D615/D612)*BS76</f>
        <v>0</v>
      </c>
      <c r="E639" s="180">
        <f>(E623/E612)*SUM(C639:D639)</f>
        <v>0.48949539867824088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4178.1086000000005</v>
      </c>
      <c r="D640" s="180">
        <f>(D615/D612)*BT76</f>
        <v>0</v>
      </c>
      <c r="E640" s="180">
        <f>(E623/E612)*SUM(C640:D640)</f>
        <v>725.4415915429862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6777.0642000000007</v>
      </c>
      <c r="D641" s="180">
        <f>(D615/D612)*BU76</f>
        <v>0</v>
      </c>
      <c r="E641" s="180">
        <f>(E623/E612)*SUM(C641:D641)</f>
        <v>1176.6961345229263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757775.60177700163</v>
      </c>
      <c r="D642" s="180">
        <f>(D615/D612)*BV76</f>
        <v>90335.706073812151</v>
      </c>
      <c r="E642" s="180">
        <f>(E623/E612)*SUM(C642:D642)</f>
        <v>147256.87526956524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35921.721255071672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70317.390476000015</v>
      </c>
      <c r="D643" s="180">
        <f>(D615/D612)*BW76</f>
        <v>0</v>
      </c>
      <c r="E643" s="180">
        <f>(E623/E612)*SUM(C643:D643)</f>
        <v>12209.151207811849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395389.94541963993</v>
      </c>
      <c r="D644" s="180">
        <f>(D615/D612)*BX76</f>
        <v>0</v>
      </c>
      <c r="E644" s="180">
        <f>(E623/E612)*SUM(C644:D644)</f>
        <v>68651.234026161503</v>
      </c>
      <c r="F644" s="180">
        <f>(F624/F612)*BX64</f>
        <v>0</v>
      </c>
      <c r="G644" s="180">
        <f>(G625/G612)*BX77</f>
        <v>0</v>
      </c>
      <c r="H644" s="180">
        <f>(H628/H612)*BX60</f>
        <v>2531.812319502244</v>
      </c>
      <c r="I644" s="180">
        <f>(I629/I612)*BX78</f>
        <v>0</v>
      </c>
      <c r="J644" s="180">
        <f>(J630/J612)*BX79</f>
        <v>0</v>
      </c>
      <c r="K644" s="180">
        <f>SUM(C631:J644)</f>
        <v>4438000.2695897473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1319967.1203999997</v>
      </c>
      <c r="D645" s="180">
        <f>(D615/D612)*BY76</f>
        <v>7527.9755061510123</v>
      </c>
      <c r="E645" s="180">
        <f>(E623/E612)*SUM(C645:D645)</f>
        <v>230491.89174730095</v>
      </c>
      <c r="F645" s="180">
        <f>(F624/F612)*BY64</f>
        <v>0</v>
      </c>
      <c r="G645" s="180">
        <f>(G625/G612)*BY77</f>
        <v>0</v>
      </c>
      <c r="H645" s="180">
        <f>(H628/H612)*BY60</f>
        <v>26229.575630043248</v>
      </c>
      <c r="I645" s="180">
        <f>(I629/I612)*BY78</f>
        <v>2989.7018951257633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82056.217000000004</v>
      </c>
      <c r="D647" s="180">
        <f>(D615/D612)*CA76</f>
        <v>0</v>
      </c>
      <c r="E647" s="180">
        <f>(E623/E612)*SUM(C647:D647)</f>
        <v>14247.354091388779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1683509.8362700094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17658760.798228506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5353850.5900000008</v>
      </c>
      <c r="D670" s="180">
        <f>(D615/D612)*E76</f>
        <v>678458.79249185999</v>
      </c>
      <c r="E670" s="180">
        <f>(E623/E612)*SUM(C670:D670)</f>
        <v>1047384.9624479803</v>
      </c>
      <c r="F670" s="180">
        <f>(F624/F612)*E64</f>
        <v>0</v>
      </c>
      <c r="G670" s="180">
        <f>(G625/G612)*E77</f>
        <v>1283167.0360979976</v>
      </c>
      <c r="H670" s="180">
        <f>(H628/H612)*E60</f>
        <v>105348.71061448837</v>
      </c>
      <c r="I670" s="180">
        <f>(I629/I612)*E78</f>
        <v>269707.34975119389</v>
      </c>
      <c r="J670" s="180">
        <f>(J630/J612)*E79</f>
        <v>5329.1068215278065</v>
      </c>
      <c r="K670" s="180">
        <f>(K644/K612)*E75</f>
        <v>446188.11706868577</v>
      </c>
      <c r="L670" s="180">
        <f>(L647/L612)*E80</f>
        <v>641104.78285286156</v>
      </c>
      <c r="M670" s="180">
        <f t="shared" si="20"/>
        <v>4476689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3704</v>
      </c>
      <c r="D675" s="180">
        <f>(D615/D612)*J76</f>
        <v>8212.3369158011046</v>
      </c>
      <c r="E675" s="180">
        <f>(E623/E612)*SUM(C675:D675)</f>
        <v>2069.0238682549307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3261.4929765008328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13543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1922687.6600000001</v>
      </c>
      <c r="D680" s="180">
        <f>(D615/D612)*O76</f>
        <v>248166.55617436461</v>
      </c>
      <c r="E680" s="180">
        <f>(E623/E612)*SUM(C680:D680)</f>
        <v>376923.6485593823</v>
      </c>
      <c r="F680" s="180">
        <f>(F624/F612)*O64</f>
        <v>0</v>
      </c>
      <c r="G680" s="180">
        <f>(G625/G612)*O77</f>
        <v>0</v>
      </c>
      <c r="H680" s="180">
        <f>(H628/H612)*O60</f>
        <v>31951.471472118319</v>
      </c>
      <c r="I680" s="180">
        <f>(I629/I612)*O78</f>
        <v>98614.864025587682</v>
      </c>
      <c r="J680" s="180">
        <f>(J630/J612)*O79</f>
        <v>1494.7176654355917</v>
      </c>
      <c r="K680" s="180">
        <f>(K644/K612)*O75</f>
        <v>148311.62891436453</v>
      </c>
      <c r="L680" s="180">
        <f>(L647/L612)*O80</f>
        <v>258290.51323587456</v>
      </c>
      <c r="M680" s="180">
        <f t="shared" si="20"/>
        <v>1163753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7192752.5668000001</v>
      </c>
      <c r="D681" s="180">
        <f>(D615/D612)*P76</f>
        <v>729443.71751079184</v>
      </c>
      <c r="E681" s="180">
        <f>(E623/E612)*SUM(C681:D681)</f>
        <v>1375524.4851716759</v>
      </c>
      <c r="F681" s="180">
        <f>(F624/F612)*P64</f>
        <v>0</v>
      </c>
      <c r="G681" s="180">
        <f>(G625/G612)*P77</f>
        <v>0</v>
      </c>
      <c r="H681" s="180">
        <f>(H628/H612)*P60</f>
        <v>55218.826688343936</v>
      </c>
      <c r="I681" s="180">
        <f>(I629/I612)*P78</f>
        <v>289865.18828651152</v>
      </c>
      <c r="J681" s="180">
        <f>(J630/J612)*P79</f>
        <v>3642.8943044321918</v>
      </c>
      <c r="K681" s="180">
        <f>(K644/K612)*P75</f>
        <v>1239869.3008597463</v>
      </c>
      <c r="L681" s="180">
        <f>(L647/L612)*P80</f>
        <v>225426.51155178712</v>
      </c>
      <c r="M681" s="180">
        <f t="shared" si="20"/>
        <v>3918991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1533602.2</v>
      </c>
      <c r="D682" s="180">
        <f>(D615/D612)*Q76</f>
        <v>51327.105723756904</v>
      </c>
      <c r="E682" s="180">
        <f>(E623/E612)*SUM(C682:D682)</f>
        <v>275189.98381884146</v>
      </c>
      <c r="F682" s="180">
        <f>(F624/F612)*Q64</f>
        <v>0</v>
      </c>
      <c r="G682" s="180">
        <f>(G625/G612)*Q77</f>
        <v>0</v>
      </c>
      <c r="H682" s="180">
        <f>(H628/H612)*Q60</f>
        <v>25647.258796557733</v>
      </c>
      <c r="I682" s="180">
        <f>(I629/I612)*Q78</f>
        <v>20384.331103130204</v>
      </c>
      <c r="J682" s="180">
        <f>(J630/J612)*Q79</f>
        <v>0</v>
      </c>
      <c r="K682" s="180">
        <f>(K644/K612)*Q75</f>
        <v>128463.67249750232</v>
      </c>
      <c r="L682" s="180">
        <f>(L647/L612)*Q80</f>
        <v>211305.26082815582</v>
      </c>
      <c r="M682" s="180">
        <f t="shared" si="20"/>
        <v>712318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2063999.57</v>
      </c>
      <c r="D683" s="180">
        <f>(D615/D612)*R76</f>
        <v>8212.3369158011046</v>
      </c>
      <c r="E683" s="180">
        <f>(E623/E612)*SUM(C683:D683)</f>
        <v>359796.464784885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3261.4929765008328</v>
      </c>
      <c r="J683" s="180">
        <f>(J630/J612)*R79</f>
        <v>0</v>
      </c>
      <c r="K683" s="180">
        <f>(K644/K612)*R75</f>
        <v>189603.63583997948</v>
      </c>
      <c r="L683" s="180">
        <f>(L647/L612)*R80</f>
        <v>0</v>
      </c>
      <c r="M683" s="180">
        <f t="shared" si="20"/>
        <v>560874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377675.69520919997</v>
      </c>
      <c r="D684" s="180">
        <f>(D615/D612)*S76</f>
        <v>126392.99784475137</v>
      </c>
      <c r="E684" s="180">
        <f>(E623/E612)*SUM(C684:D684)</f>
        <v>87521.036417304102</v>
      </c>
      <c r="F684" s="180">
        <f>(F624/F612)*S64</f>
        <v>0</v>
      </c>
      <c r="G684" s="180">
        <f>(G625/G612)*S77</f>
        <v>0</v>
      </c>
      <c r="H684" s="180">
        <f>(H628/H612)*S60</f>
        <v>13266.69655419176</v>
      </c>
      <c r="I684" s="180">
        <f>(I629/I612)*S78</f>
        <v>50236.051540825327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277417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40868.339999999997</v>
      </c>
      <c r="D685" s="180">
        <f>(D615/D612)*T76</f>
        <v>0</v>
      </c>
      <c r="E685" s="180">
        <f>(E623/E612)*SUM(C685:D685)</f>
        <v>7095.9365712322269</v>
      </c>
      <c r="F685" s="180">
        <f>(F624/F612)*T64</f>
        <v>0</v>
      </c>
      <c r="G685" s="180">
        <f>(G625/G612)*T77</f>
        <v>0</v>
      </c>
      <c r="H685" s="180">
        <f>(H628/H612)*T60</f>
        <v>227.86310875520195</v>
      </c>
      <c r="I685" s="180">
        <f>(I629/I612)*T78</f>
        <v>0</v>
      </c>
      <c r="J685" s="180">
        <f>(J630/J612)*T79</f>
        <v>0</v>
      </c>
      <c r="K685" s="180">
        <f>(K644/K612)*T75</f>
        <v>7799.8274501816413</v>
      </c>
      <c r="L685" s="180">
        <f>(L647/L612)*T80</f>
        <v>2310.7501184123962</v>
      </c>
      <c r="M685" s="180">
        <f t="shared" si="20"/>
        <v>17434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1958486.0399999998</v>
      </c>
      <c r="D686" s="180">
        <f>(D615/D612)*U76</f>
        <v>69548.228255690599</v>
      </c>
      <c r="E686" s="180">
        <f>(E623/E612)*SUM(C686:D686)</f>
        <v>352125.93738399318</v>
      </c>
      <c r="F686" s="180">
        <f>(F624/F612)*U64</f>
        <v>0</v>
      </c>
      <c r="G686" s="180">
        <f>(G625/G612)*U77</f>
        <v>0</v>
      </c>
      <c r="H686" s="180">
        <f>(H628/H612)*U60</f>
        <v>29470.295399006121</v>
      </c>
      <c r="I686" s="180">
        <f>(I629/I612)*U78</f>
        <v>27632.093273132054</v>
      </c>
      <c r="J686" s="180">
        <f>(J630/J612)*U79</f>
        <v>0</v>
      </c>
      <c r="K686" s="180">
        <f>(K644/K612)*U75</f>
        <v>252599.84547123598</v>
      </c>
      <c r="L686" s="180">
        <f>(L647/L612)*U80</f>
        <v>0</v>
      </c>
      <c r="M686" s="180">
        <f t="shared" si="20"/>
        <v>731376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665784.6</v>
      </c>
      <c r="D688" s="180">
        <f>(D615/D612)*W76</f>
        <v>30796.263434254142</v>
      </c>
      <c r="E688" s="180">
        <f>(E623/E612)*SUM(C688:D688)</f>
        <v>120946.76768529491</v>
      </c>
      <c r="F688" s="180">
        <f>(F624/F612)*W64</f>
        <v>0</v>
      </c>
      <c r="G688" s="180">
        <f>(G625/G612)*W77</f>
        <v>0</v>
      </c>
      <c r="H688" s="180">
        <f>(H628/H612)*W60</f>
        <v>4607.8984214940847</v>
      </c>
      <c r="I688" s="180">
        <f>(I629/I612)*W78</f>
        <v>12230.598661878123</v>
      </c>
      <c r="J688" s="180">
        <f>(J630/J612)*W79</f>
        <v>0</v>
      </c>
      <c r="K688" s="180">
        <f>(K644/K612)*W75</f>
        <v>54081.313216612085</v>
      </c>
      <c r="L688" s="180">
        <f>(L647/L612)*W80</f>
        <v>0</v>
      </c>
      <c r="M688" s="180">
        <f t="shared" si="20"/>
        <v>222663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747599.6</v>
      </c>
      <c r="D689" s="180">
        <f>(D615/D612)*X76</f>
        <v>24637.010747403314</v>
      </c>
      <c r="E689" s="180">
        <f>(E623/E612)*SUM(C689:D689)</f>
        <v>134082.81344059791</v>
      </c>
      <c r="F689" s="180">
        <f>(F624/F612)*X64</f>
        <v>0</v>
      </c>
      <c r="G689" s="180">
        <f>(G625/G612)*X77</f>
        <v>0</v>
      </c>
      <c r="H689" s="180">
        <f>(H628/H612)*X60</f>
        <v>12000.790394440637</v>
      </c>
      <c r="I689" s="180">
        <f>(I629/I612)*X78</f>
        <v>9784.4789295024984</v>
      </c>
      <c r="J689" s="180">
        <f>(J630/J612)*X79</f>
        <v>0</v>
      </c>
      <c r="K689" s="180">
        <f>(K644/K612)*X75</f>
        <v>241528.92923576821</v>
      </c>
      <c r="L689" s="180">
        <f>(L647/L612)*X80</f>
        <v>0</v>
      </c>
      <c r="M689" s="180">
        <f t="shared" si="20"/>
        <v>422034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325178</v>
      </c>
      <c r="D690" s="180">
        <f>(D615/D612)*Y76</f>
        <v>419043.04564637196</v>
      </c>
      <c r="E690" s="180">
        <f>(E623/E612)*SUM(C690:D690)</f>
        <v>129218.49370154942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166517.33585579251</v>
      </c>
      <c r="J690" s="180">
        <f>(J630/J612)*Y79</f>
        <v>1809.81835021404</v>
      </c>
      <c r="K690" s="180">
        <f>(K644/K612)*Y75</f>
        <v>8384.2423002538944</v>
      </c>
      <c r="L690" s="180">
        <f>(L647/L612)*Y80</f>
        <v>0</v>
      </c>
      <c r="M690" s="180">
        <f t="shared" si="20"/>
        <v>724973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1604266.58</v>
      </c>
      <c r="D691" s="180">
        <f>(D615/D612)*Z76</f>
        <v>0</v>
      </c>
      <c r="E691" s="180">
        <f>(E623/E612)*SUM(C691:D691)</f>
        <v>278547.49899378477</v>
      </c>
      <c r="F691" s="180">
        <f>(F624/F612)*Z64</f>
        <v>0</v>
      </c>
      <c r="G691" s="180">
        <f>(G625/G612)*Z77</f>
        <v>0</v>
      </c>
      <c r="H691" s="180">
        <f>(H628/H612)*Z60</f>
        <v>30356.429710831908</v>
      </c>
      <c r="I691" s="180">
        <f>(I629/I612)*Z78</f>
        <v>0</v>
      </c>
      <c r="J691" s="180">
        <f>(J630/J612)*Z79</f>
        <v>0</v>
      </c>
      <c r="K691" s="180">
        <f>(K644/K612)*Z75</f>
        <v>139082.78325234051</v>
      </c>
      <c r="L691" s="180">
        <f>(L647/L612)*Z80</f>
        <v>0</v>
      </c>
      <c r="M691" s="180">
        <f t="shared" si="20"/>
        <v>447987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263187.02</v>
      </c>
      <c r="D692" s="180">
        <f>(D615/D612)*AA76</f>
        <v>0</v>
      </c>
      <c r="E692" s="180">
        <f>(E623/E612)*SUM(C692:D692)</f>
        <v>45696.947815634987</v>
      </c>
      <c r="F692" s="180">
        <f>(F624/F612)*AA64</f>
        <v>0</v>
      </c>
      <c r="G692" s="180">
        <f>(G625/G612)*AA77</f>
        <v>0</v>
      </c>
      <c r="H692" s="180">
        <f>(H628/H612)*AA60</f>
        <v>2658.4029354773561</v>
      </c>
      <c r="I692" s="180">
        <f>(I629/I612)*AA78</f>
        <v>0</v>
      </c>
      <c r="J692" s="180">
        <f>(J630/J612)*AA79</f>
        <v>0</v>
      </c>
      <c r="K692" s="180">
        <f>(K644/K612)*AA75</f>
        <v>15141.254107753457</v>
      </c>
      <c r="L692" s="180">
        <f>(L647/L612)*AA80</f>
        <v>0</v>
      </c>
      <c r="M692" s="180">
        <f t="shared" si="20"/>
        <v>63497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1999960.01</v>
      </c>
      <c r="D693" s="180">
        <f>(D615/D612)*AB76</f>
        <v>79385.923519410673</v>
      </c>
      <c r="E693" s="180">
        <f>(E623/E612)*SUM(C693:D693)</f>
        <v>361035.1400106636</v>
      </c>
      <c r="F693" s="180">
        <f>(F624/F612)*AB64</f>
        <v>0</v>
      </c>
      <c r="G693" s="180">
        <f>(G625/G612)*AB77</f>
        <v>0</v>
      </c>
      <c r="H693" s="180">
        <f>(H628/H612)*AB60</f>
        <v>13595.83215572705</v>
      </c>
      <c r="I693" s="180">
        <f>(I629/I612)*AB78</f>
        <v>31527.76543950805</v>
      </c>
      <c r="J693" s="180">
        <f>(J630/J612)*AB79</f>
        <v>0</v>
      </c>
      <c r="K693" s="180">
        <f>(K644/K612)*AB75</f>
        <v>556127.71644062561</v>
      </c>
      <c r="L693" s="180">
        <f>(L647/L612)*AB80</f>
        <v>0</v>
      </c>
      <c r="M693" s="180">
        <f t="shared" si="20"/>
        <v>1041672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671091.19000000006</v>
      </c>
      <c r="D694" s="180">
        <f>(D615/D612)*AC76</f>
        <v>7314.1125656353588</v>
      </c>
      <c r="E694" s="180">
        <f>(E623/E612)*SUM(C694:D694)</f>
        <v>117790.95986265547</v>
      </c>
      <c r="F694" s="180">
        <f>(F624/F612)*AC64</f>
        <v>0</v>
      </c>
      <c r="G694" s="180">
        <f>(G625/G612)*AC77</f>
        <v>0</v>
      </c>
      <c r="H694" s="180">
        <f>(H628/H612)*AC60</f>
        <v>14557.920837137903</v>
      </c>
      <c r="I694" s="180">
        <f>(I629/I612)*AC78</f>
        <v>2899.1048680007402</v>
      </c>
      <c r="J694" s="180">
        <f>(J630/J612)*AC79</f>
        <v>0</v>
      </c>
      <c r="K694" s="180">
        <f>(K644/K612)*AC75</f>
        <v>99677.667931621574</v>
      </c>
      <c r="L694" s="180">
        <f>(L647/L612)*AC80</f>
        <v>0</v>
      </c>
      <c r="M694" s="180">
        <f t="shared" si="20"/>
        <v>242240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139841.74</v>
      </c>
      <c r="D696" s="180">
        <f>(D615/D612)*AE76</f>
        <v>8212.3369158011046</v>
      </c>
      <c r="E696" s="180">
        <f>(E623/E612)*SUM(C696:D696)</f>
        <v>25706.508727950833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3261.4929765008328</v>
      </c>
      <c r="J696" s="180">
        <f>(J630/J612)*AE79</f>
        <v>0</v>
      </c>
      <c r="K696" s="180">
        <f>(K644/K612)*AE75</f>
        <v>11250.190552104053</v>
      </c>
      <c r="L696" s="180">
        <f>(L647/L612)*AE80</f>
        <v>0</v>
      </c>
      <c r="M696" s="180">
        <f t="shared" si="20"/>
        <v>48431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3383416.7500000005</v>
      </c>
      <c r="D698" s="180">
        <f>(D615/D612)*AG76</f>
        <v>356381.20407528541</v>
      </c>
      <c r="E698" s="180">
        <f>(E623/E612)*SUM(C698:D698)</f>
        <v>649338.07126353274</v>
      </c>
      <c r="F698" s="180">
        <f>(F624/F612)*AG64</f>
        <v>0</v>
      </c>
      <c r="G698" s="180">
        <f>(G625/G612)*AG77</f>
        <v>0</v>
      </c>
      <c r="H698" s="180">
        <f>(H628/H612)*AG60</f>
        <v>53598.46680386251</v>
      </c>
      <c r="I698" s="180">
        <f>(I629/I612)*AG78</f>
        <v>141648.45190997366</v>
      </c>
      <c r="J698" s="180">
        <f>(J630/J612)*AG79</f>
        <v>4970.3166189472413</v>
      </c>
      <c r="K698" s="180">
        <f>(K644/K612)*AG75</f>
        <v>888771.7802041485</v>
      </c>
      <c r="L698" s="180">
        <f>(L647/L612)*AG80</f>
        <v>344815.26766976091</v>
      </c>
      <c r="M698" s="180">
        <f t="shared" si="20"/>
        <v>2439524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1022</v>
      </c>
      <c r="D701" s="180">
        <f>(D615/D612)*AJ76</f>
        <v>2266.9471694659296</v>
      </c>
      <c r="E701" s="180">
        <f>(E623/E612)*SUM(C701:D701)</f>
        <v>571.05721692302666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905.97027125023135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3744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82459.67</v>
      </c>
      <c r="D702" s="180">
        <f>(D615/D612)*AK76</f>
        <v>0</v>
      </c>
      <c r="E702" s="180">
        <f>(E623/E612)*SUM(C702:D702)</f>
        <v>14317.40530701127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8438.3211035745589</v>
      </c>
      <c r="L702" s="180">
        <f>(L647/L612)*AK80</f>
        <v>0</v>
      </c>
      <c r="M702" s="180">
        <f t="shared" si="20"/>
        <v>22756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22173.759999999998</v>
      </c>
      <c r="D703" s="180">
        <f>(D615/D612)*AL76</f>
        <v>0</v>
      </c>
      <c r="E703" s="180">
        <f>(E623/E612)*SUM(C703:D703)</f>
        <v>3850.0118797515706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2680.0431432478476</v>
      </c>
      <c r="L703" s="180">
        <f>(L647/L612)*AL80</f>
        <v>0</v>
      </c>
      <c r="M703" s="180">
        <f t="shared" si="20"/>
        <v>6530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576138.66440000013</v>
      </c>
      <c r="D713" s="180">
        <f>(D615/D612)*AV76</f>
        <v>0</v>
      </c>
      <c r="E713" s="180">
        <f>(E623/E612)*SUM(C713:D713)</f>
        <v>100034.48681343191</v>
      </c>
      <c r="F713" s="180">
        <f>(F624/F612)*AV64</f>
        <v>0</v>
      </c>
      <c r="G713" s="180">
        <f>(G625/G612)*AV77</f>
        <v>0</v>
      </c>
      <c r="H713" s="180">
        <f>(H628/H612)*AV60</f>
        <v>25.318123195022441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256.75001315693294</v>
      </c>
      <c r="M713" s="180">
        <f t="shared" si="20"/>
        <v>100317</v>
      </c>
      <c r="N713" s="199" t="s">
        <v>741</v>
      </c>
    </row>
    <row r="715" spans="1:83" ht="12.6" customHeight="1" x14ac:dyDescent="0.25">
      <c r="C715" s="180">
        <f>SUM(C614:C647)+SUM(C668:C713)</f>
        <v>48588507.04463771</v>
      </c>
      <c r="D715" s="180">
        <f>SUM(D616:D647)+SUM(D668:D713)</f>
        <v>4180592.7611999996</v>
      </c>
      <c r="E715" s="180">
        <f>SUM(E624:E647)+SUM(E668:E713)</f>
        <v>7188286.5483769318</v>
      </c>
      <c r="F715" s="180">
        <f>SUM(F625:F648)+SUM(F668:F713)</f>
        <v>0</v>
      </c>
      <c r="G715" s="180">
        <f>SUM(G626:G647)+SUM(G668:G713)</f>
        <v>1283167.0360979976</v>
      </c>
      <c r="H715" s="180">
        <f>SUM(H629:H647)+SUM(H668:H713)</f>
        <v>453169.08706770663</v>
      </c>
      <c r="I715" s="180">
        <f>SUM(I630:I647)+SUM(I668:I713)</f>
        <v>1186413.3687157405</v>
      </c>
      <c r="J715" s="180">
        <f>SUM(J631:J647)+SUM(J668:J713)</f>
        <v>17246.853760556871</v>
      </c>
      <c r="K715" s="180">
        <f>SUM(K668:K713)</f>
        <v>4438000.2695897464</v>
      </c>
      <c r="L715" s="180">
        <f>SUM(L668:L713)</f>
        <v>1683509.8362700092</v>
      </c>
      <c r="M715" s="180">
        <f>SUM(M668:M713)</f>
        <v>17658763</v>
      </c>
      <c r="N715" s="198" t="s">
        <v>742</v>
      </c>
    </row>
    <row r="716" spans="1:83" ht="12.6" customHeight="1" x14ac:dyDescent="0.25">
      <c r="C716" s="180">
        <f>CE71</f>
        <v>48588507.044637702</v>
      </c>
      <c r="D716" s="180">
        <f>D615</f>
        <v>4180592.7611999996</v>
      </c>
      <c r="E716" s="180">
        <f>E623</f>
        <v>7188286.5483769318</v>
      </c>
      <c r="F716" s="180">
        <f>F624</f>
        <v>0</v>
      </c>
      <c r="G716" s="180">
        <f>G625</f>
        <v>1283167.0360979976</v>
      </c>
      <c r="H716" s="180">
        <f>H628</f>
        <v>453169.08706770651</v>
      </c>
      <c r="I716" s="180">
        <f>I629</f>
        <v>1186413.3687157405</v>
      </c>
      <c r="J716" s="180">
        <f>J630</f>
        <v>17246.853760556871</v>
      </c>
      <c r="K716" s="180">
        <f>K644</f>
        <v>4438000.2695897473</v>
      </c>
      <c r="L716" s="180">
        <f>L647</f>
        <v>1683509.8362700094</v>
      </c>
      <c r="M716" s="180">
        <f>C648</f>
        <v>17658760.798228506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035*2018*A</v>
      </c>
      <c r="B722" s="276">
        <f>ROUND(C165,0)</f>
        <v>1219683</v>
      </c>
      <c r="C722" s="276">
        <f>ROUND(C166,0)</f>
        <v>47788</v>
      </c>
      <c r="D722" s="276">
        <f>ROUND(C167,0)</f>
        <v>211382</v>
      </c>
      <c r="E722" s="276">
        <f>ROUND(C168,0)</f>
        <v>1900948</v>
      </c>
      <c r="F722" s="276">
        <f>ROUND(C169,0)</f>
        <v>9425</v>
      </c>
      <c r="G722" s="276">
        <f>ROUND(C170,0)</f>
        <v>755160</v>
      </c>
      <c r="H722" s="276">
        <f>ROUND(C171+C172,0)</f>
        <v>133012</v>
      </c>
      <c r="I722" s="276">
        <f>ROUND(C175,0)</f>
        <v>45750</v>
      </c>
      <c r="J722" s="276">
        <f>ROUND(C176,0)</f>
        <v>137821</v>
      </c>
      <c r="K722" s="276">
        <f>ROUND(C179,0)</f>
        <v>225566</v>
      </c>
      <c r="L722" s="276">
        <f>ROUND(C180,0)</f>
        <v>35448</v>
      </c>
      <c r="M722" s="276">
        <f>ROUND(C183,0)</f>
        <v>14901</v>
      </c>
      <c r="N722" s="276">
        <f>ROUND(C184,0)</f>
        <v>716214</v>
      </c>
      <c r="O722" s="276">
        <f>ROUND(C185,0)</f>
        <v>0</v>
      </c>
      <c r="P722" s="276">
        <f>ROUND(C188,0)</f>
        <v>655264</v>
      </c>
      <c r="Q722" s="276">
        <f>ROUND(C189,0)</f>
        <v>9963</v>
      </c>
      <c r="R722" s="276">
        <f>ROUND(B195,0)</f>
        <v>3268423</v>
      </c>
      <c r="S722" s="276">
        <f>ROUND(C195,0)</f>
        <v>0</v>
      </c>
      <c r="T722" s="276">
        <f>ROUND(D195,0)</f>
        <v>0</v>
      </c>
      <c r="U722" s="276">
        <f>ROUND(B196,0)</f>
        <v>577014</v>
      </c>
      <c r="V722" s="276">
        <f>ROUND(C196,0)</f>
        <v>0</v>
      </c>
      <c r="W722" s="276">
        <f>ROUND(D196,0)</f>
        <v>0</v>
      </c>
      <c r="X722" s="276">
        <f>ROUND(B197,0)</f>
        <v>56737872</v>
      </c>
      <c r="Y722" s="276">
        <f>ROUND(C197,0)</f>
        <v>52049</v>
      </c>
      <c r="Z722" s="276">
        <f>ROUND(D197,0)</f>
        <v>0</v>
      </c>
      <c r="AA722" s="276">
        <f>ROUND(B198,0)</f>
        <v>14754</v>
      </c>
      <c r="AB722" s="276">
        <f>ROUND(C198,0)</f>
        <v>0</v>
      </c>
      <c r="AC722" s="276">
        <f>ROUND(D198,0)</f>
        <v>0</v>
      </c>
      <c r="AD722" s="276">
        <f>ROUND(B199,0)</f>
        <v>1813323</v>
      </c>
      <c r="AE722" s="276">
        <f>ROUND(C199,0)</f>
        <v>0</v>
      </c>
      <c r="AF722" s="276">
        <f>ROUND(D199,0)</f>
        <v>0</v>
      </c>
      <c r="AG722" s="276">
        <f>ROUND(B200,0)</f>
        <v>28798373</v>
      </c>
      <c r="AH722" s="276">
        <f>ROUND(C200,0)</f>
        <v>2557475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672897</v>
      </c>
      <c r="AQ722" s="276">
        <f>ROUND(C203,0)</f>
        <v>2027854</v>
      </c>
      <c r="AR722" s="276">
        <f>ROUND(D203,0)</f>
        <v>2277803</v>
      </c>
      <c r="AS722" s="276"/>
      <c r="AT722" s="276"/>
      <c r="AU722" s="276"/>
      <c r="AV722" s="276">
        <f>ROUND(B209,0)</f>
        <v>381866</v>
      </c>
      <c r="AW722" s="276">
        <f>ROUND(C209,0)</f>
        <v>57411</v>
      </c>
      <c r="AX722" s="276">
        <f>ROUND(D209,0)</f>
        <v>0</v>
      </c>
      <c r="AY722" s="276">
        <f>ROUND(B210,0)</f>
        <v>12095141</v>
      </c>
      <c r="AZ722" s="276">
        <f>ROUND(C210,0)</f>
        <v>1478731</v>
      </c>
      <c r="BA722" s="276">
        <f>ROUND(D210,0)</f>
        <v>0</v>
      </c>
      <c r="BB722" s="276">
        <f>ROUND(B211,0)</f>
        <v>974446</v>
      </c>
      <c r="BC722" s="276">
        <f>ROUND(C211,0)</f>
        <v>96184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23408972</v>
      </c>
      <c r="BI722" s="276">
        <f>ROUND(C213,0)</f>
        <v>2031570</v>
      </c>
      <c r="BJ722" s="276">
        <f>ROUND(D213,0)</f>
        <v>-812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60332205</v>
      </c>
      <c r="BU722" s="276">
        <f>ROUND(C224,0)</f>
        <v>30193558</v>
      </c>
      <c r="BV722" s="276">
        <f>ROUND(C225,0)</f>
        <v>0</v>
      </c>
      <c r="BW722" s="276">
        <f>ROUND(C226,0)</f>
        <v>5621968</v>
      </c>
      <c r="BX722" s="276">
        <f>ROUND(C227,0)</f>
        <v>45675882</v>
      </c>
      <c r="BY722" s="276">
        <f>ROUND(C228,0)</f>
        <v>2968598</v>
      </c>
      <c r="BZ722" s="276">
        <f>ROUND(C231,0)</f>
        <v>1798</v>
      </c>
      <c r="CA722" s="276">
        <f>ROUND(C233,0)</f>
        <v>625852</v>
      </c>
      <c r="CB722" s="276">
        <f>ROUND(C234,0)</f>
        <v>1466741</v>
      </c>
      <c r="CC722" s="276">
        <f>ROUND(C238+C239,0)</f>
        <v>0</v>
      </c>
      <c r="CD722" s="276">
        <f>D221</f>
        <v>2470843.27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035*2018*A</v>
      </c>
      <c r="B726" s="276">
        <f>ROUND(C111,0)</f>
        <v>1622</v>
      </c>
      <c r="C726" s="276">
        <f>ROUND(C112,0)</f>
        <v>0</v>
      </c>
      <c r="D726" s="276">
        <f>ROUND(C113,0)</f>
        <v>0</v>
      </c>
      <c r="E726" s="276">
        <f>ROUND(C114,0)</f>
        <v>352</v>
      </c>
      <c r="F726" s="276">
        <f>ROUND(D111,0)</f>
        <v>5567</v>
      </c>
      <c r="G726" s="276">
        <f>ROUND(D112,0)</f>
        <v>0</v>
      </c>
      <c r="H726" s="276">
        <f>ROUND(D113,0)</f>
        <v>0</v>
      </c>
      <c r="I726" s="276">
        <f>ROUND(D114,0)</f>
        <v>535</v>
      </c>
      <c r="J726" s="276">
        <f>ROUND(C116,0)</f>
        <v>0</v>
      </c>
      <c r="K726" s="276">
        <f>ROUND(C117,0)</f>
        <v>0</v>
      </c>
      <c r="L726" s="276">
        <f>ROUND(C118,0)</f>
        <v>25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</v>
      </c>
      <c r="W726" s="276">
        <f>ROUND(C129,0)</f>
        <v>8</v>
      </c>
      <c r="X726" s="276">
        <f>ROUND(B138,0)</f>
        <v>741</v>
      </c>
      <c r="Y726" s="276">
        <f>ROUND(B139,0)</f>
        <v>3089</v>
      </c>
      <c r="Z726" s="276">
        <f>ROUND(B140,0)</f>
        <v>0</v>
      </c>
      <c r="AA726" s="276">
        <f>ROUND(B141,0)</f>
        <v>28278707</v>
      </c>
      <c r="AB726" s="276">
        <f>ROUND(B142,0)</f>
        <v>51151386</v>
      </c>
      <c r="AC726" s="276">
        <f>ROUND(C138,0)</f>
        <v>343</v>
      </c>
      <c r="AD726" s="276">
        <f>ROUND(C139,0)</f>
        <v>1090</v>
      </c>
      <c r="AE726" s="276">
        <f>ROUND(C140,0)</f>
        <v>0</v>
      </c>
      <c r="AF726" s="276">
        <f>ROUND(C141,0)</f>
        <v>14451318</v>
      </c>
      <c r="AG726" s="276">
        <f>ROUND(C142,0)</f>
        <v>28751882</v>
      </c>
      <c r="AH726" s="276">
        <f>ROUND(D138,0)</f>
        <v>538</v>
      </c>
      <c r="AI726" s="276">
        <f>ROUND(D139,0)</f>
        <v>1388</v>
      </c>
      <c r="AJ726" s="276">
        <f>ROUND(D140,0)</f>
        <v>0</v>
      </c>
      <c r="AK726" s="276">
        <f>ROUND(D141,0)</f>
        <v>23360697</v>
      </c>
      <c r="AL726" s="276">
        <f>ROUND(D142,0)</f>
        <v>66649850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035*2018*A</v>
      </c>
      <c r="B730" s="276">
        <f>ROUND(C250,0)</f>
        <v>37636749</v>
      </c>
      <c r="C730" s="276">
        <f>ROUND(C251,0)</f>
        <v>0</v>
      </c>
      <c r="D730" s="276">
        <f>ROUND(C252,0)</f>
        <v>29200800</v>
      </c>
      <c r="E730" s="276">
        <f>ROUND(C253,0)</f>
        <v>20200935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1211502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3268423</v>
      </c>
      <c r="P730" s="276">
        <f>ROUND(C268,0)</f>
        <v>577014</v>
      </c>
      <c r="Q730" s="276">
        <f>ROUND(C269,0)</f>
        <v>56789922</v>
      </c>
      <c r="R730" s="276">
        <f>ROUND(C270,0)</f>
        <v>14754</v>
      </c>
      <c r="S730" s="276">
        <f>ROUND(C271,0)</f>
        <v>1813323</v>
      </c>
      <c r="T730" s="276">
        <f>ROUND(C272,0)</f>
        <v>31355848</v>
      </c>
      <c r="U730" s="276">
        <f>ROUND(C273,0)</f>
        <v>0</v>
      </c>
      <c r="V730" s="276">
        <f>ROUND(C274,0)</f>
        <v>422949</v>
      </c>
      <c r="W730" s="276">
        <f>ROUND(C275,0)</f>
        <v>0</v>
      </c>
      <c r="X730" s="276">
        <f>ROUND(C276,0)</f>
        <v>40525132</v>
      </c>
      <c r="Y730" s="276">
        <f>ROUND(C279,0)</f>
        <v>0</v>
      </c>
      <c r="Z730" s="276">
        <f>ROUND(C280,0)</f>
        <v>0</v>
      </c>
      <c r="AA730" s="276">
        <f>ROUND(C281,0)</f>
        <v>66127837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477300</v>
      </c>
      <c r="AI730" s="276">
        <f>ROUND(C306,0)</f>
        <v>1897658</v>
      </c>
      <c r="AJ730" s="276">
        <f>ROUND(C307,0)</f>
        <v>2729131</v>
      </c>
      <c r="AK730" s="276">
        <f>ROUND(C308,0)</f>
        <v>0</v>
      </c>
      <c r="AL730" s="276">
        <f>ROUND(C309,0)</f>
        <v>754362</v>
      </c>
      <c r="AM730" s="276">
        <f>ROUND(C310,0)</f>
        <v>0</v>
      </c>
      <c r="AN730" s="276">
        <f>ROUND(C311,0)</f>
        <v>0</v>
      </c>
      <c r="AO730" s="276">
        <f>ROUND(C312,0)</f>
        <v>-3456051</v>
      </c>
      <c r="AP730" s="276">
        <f>ROUND(C313,0)</f>
        <v>865243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130568</v>
      </c>
      <c r="AX730" s="276">
        <f>ROUND(C325,0)</f>
        <v>0</v>
      </c>
      <c r="AY730" s="276">
        <f>ROUND(C326,0)</f>
        <v>13377157</v>
      </c>
      <c r="AZ730" s="276">
        <f>ROUND(C327,0)</f>
        <v>0</v>
      </c>
      <c r="BA730" s="276">
        <f>ROUND(C328,0)</f>
        <v>0</v>
      </c>
      <c r="BB730" s="276">
        <f>ROUND(C332,0)</f>
        <v>151782931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197.17</v>
      </c>
      <c r="BJ730" s="276">
        <f>ROUND(C359,0)</f>
        <v>66090722</v>
      </c>
      <c r="BK730" s="276">
        <f>ROUND(C360,0)</f>
        <v>146553118</v>
      </c>
      <c r="BL730" s="276">
        <f>ROUND(C364,0)</f>
        <v>144792211</v>
      </c>
      <c r="BM730" s="276">
        <f>ROUND(C365,0)</f>
        <v>2092593</v>
      </c>
      <c r="BN730" s="276">
        <f>ROUND(C366,0)</f>
        <v>0</v>
      </c>
      <c r="BO730" s="276">
        <f>ROUND(C370,0)</f>
        <v>-137666</v>
      </c>
      <c r="BP730" s="276">
        <f>ROUND(C371,0)</f>
        <v>0</v>
      </c>
      <c r="BQ730" s="276">
        <f>ROUND(C378,0)</f>
        <v>17237390</v>
      </c>
      <c r="BR730" s="276">
        <f>ROUND(C379,0)</f>
        <v>4277399</v>
      </c>
      <c r="BS730" s="276">
        <f>ROUND(C380,0)</f>
        <v>3375217</v>
      </c>
      <c r="BT730" s="276">
        <f>ROUND(C381,0)</f>
        <v>6047381</v>
      </c>
      <c r="BU730" s="276">
        <f>ROUND(C382,0)</f>
        <v>465130</v>
      </c>
      <c r="BV730" s="276">
        <f>ROUND(C383,0)</f>
        <v>11034090</v>
      </c>
      <c r="BW730" s="276">
        <f>ROUND(C384,0)</f>
        <v>3663895</v>
      </c>
      <c r="BX730" s="276">
        <f>ROUND(C385,0)</f>
        <v>183572</v>
      </c>
      <c r="BY730" s="276">
        <f>ROUND(C386,0)</f>
        <v>261014</v>
      </c>
      <c r="BZ730" s="276">
        <f>ROUND(C387,0)</f>
        <v>731115</v>
      </c>
      <c r="CA730" s="276">
        <f>ROUND(C388,0)</f>
        <v>665228</v>
      </c>
      <c r="CB730" s="276">
        <f>C363</f>
        <v>2470843.27</v>
      </c>
      <c r="CC730" s="276">
        <f>ROUND(C389,0)</f>
        <v>509411</v>
      </c>
      <c r="CD730" s="276">
        <f>ROUND(C392,0)</f>
        <v>5092016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035*2018*6010*A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035*2018*6030*A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035*2018*6070*A</v>
      </c>
      <c r="B736" s="276">
        <f>ROUND(E59,0)</f>
        <v>5627</v>
      </c>
      <c r="C736" s="278">
        <f>ROUND(E60,2)</f>
        <v>41.61</v>
      </c>
      <c r="D736" s="276">
        <f>ROUND(E61,0)</f>
        <v>3674061</v>
      </c>
      <c r="E736" s="276">
        <f>ROUND(E62,0)</f>
        <v>899895</v>
      </c>
      <c r="F736" s="276">
        <f>ROUND(E63,0)</f>
        <v>293</v>
      </c>
      <c r="G736" s="276">
        <f>ROUND(E64,0)</f>
        <v>291754</v>
      </c>
      <c r="H736" s="276">
        <f>ROUND(E65,0)</f>
        <v>952</v>
      </c>
      <c r="I736" s="276">
        <f>ROUND(E66,0)</f>
        <v>49349</v>
      </c>
      <c r="J736" s="276">
        <f>ROUND(E67,0)</f>
        <v>421688</v>
      </c>
      <c r="K736" s="276">
        <f>ROUND(E68,0)</f>
        <v>8892</v>
      </c>
      <c r="L736" s="276">
        <f>ROUND(E69,0)</f>
        <v>9966</v>
      </c>
      <c r="M736" s="276">
        <f>ROUND(E70,0)</f>
        <v>3000</v>
      </c>
      <c r="N736" s="276">
        <f>ROUND(E75,0)</f>
        <v>21378808</v>
      </c>
      <c r="O736" s="276">
        <f>ROUND(E73,0)</f>
        <v>17827757</v>
      </c>
      <c r="P736" s="276">
        <f>IF(E76&gt;0,ROUND(E76,0),0)</f>
        <v>15862</v>
      </c>
      <c r="Q736" s="276">
        <f>IF(E77&gt;0,ROUND(E77,0),0)</f>
        <v>26585</v>
      </c>
      <c r="R736" s="276">
        <f>IF(E78&gt;0,ROUND(E78,0),0)</f>
        <v>5954</v>
      </c>
      <c r="S736" s="276">
        <f>IF(E79&gt;0,ROUND(E79,0),0)</f>
        <v>73552</v>
      </c>
      <c r="T736" s="278">
        <f>IF(E80&gt;0,ROUND(E80,2),0)</f>
        <v>24.97</v>
      </c>
      <c r="U736" s="276"/>
      <c r="V736" s="277"/>
      <c r="W736" s="276"/>
      <c r="X736" s="276"/>
      <c r="Y736" s="276">
        <f t="shared" si="21"/>
        <v>4476689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035*2018*6100*A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035*2018*6120*A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035*2018*6140*A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035*2018*6150*A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035*2018*6170*A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3704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192</v>
      </c>
      <c r="Q741" s="276">
        <f>IF(J77&gt;0,ROUND(J77,0),0)</f>
        <v>0</v>
      </c>
      <c r="R741" s="276">
        <f>IF(J78&gt;0,ROUND(J78,0),0)</f>
        <v>72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13543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035*2018*6200*A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035*2018*6210*A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035*2018*6330*A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035*2018*6400*A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035*2018*7010*A</v>
      </c>
      <c r="B746" s="276">
        <f>ROUND(O59,0)</f>
        <v>1219</v>
      </c>
      <c r="C746" s="278">
        <f>ROUND(O60,2)</f>
        <v>12.62</v>
      </c>
      <c r="D746" s="276">
        <f>ROUND(O61,0)</f>
        <v>1320682</v>
      </c>
      <c r="E746" s="276">
        <f>ROUND(O62,0)</f>
        <v>305692</v>
      </c>
      <c r="F746" s="276">
        <f>ROUND(O63,0)</f>
        <v>0</v>
      </c>
      <c r="G746" s="276">
        <f>ROUND(O64,0)</f>
        <v>75116</v>
      </c>
      <c r="H746" s="276">
        <f>ROUND(O65,0)</f>
        <v>0</v>
      </c>
      <c r="I746" s="276">
        <f>ROUND(O66,0)</f>
        <v>63367</v>
      </c>
      <c r="J746" s="276">
        <f>ROUND(O67,0)</f>
        <v>153875</v>
      </c>
      <c r="K746" s="276">
        <f>ROUND(O68,0)</f>
        <v>1370</v>
      </c>
      <c r="L746" s="276">
        <f>ROUND(O69,0)</f>
        <v>4165</v>
      </c>
      <c r="M746" s="276">
        <f>ROUND(O70,0)</f>
        <v>1580</v>
      </c>
      <c r="N746" s="276">
        <f>ROUND(O75,0)</f>
        <v>7106253</v>
      </c>
      <c r="O746" s="276">
        <f>ROUND(O73,0)</f>
        <v>6622379</v>
      </c>
      <c r="P746" s="276">
        <f>IF(O76&gt;0,ROUND(O76,0),0)</f>
        <v>5802</v>
      </c>
      <c r="Q746" s="276">
        <f>IF(O77&gt;0,ROUND(O77,0),0)</f>
        <v>0</v>
      </c>
      <c r="R746" s="276">
        <f>IF(O78&gt;0,ROUND(O78,0),0)</f>
        <v>2177</v>
      </c>
      <c r="S746" s="276">
        <f>IF(O79&gt;0,ROUND(O79,0),0)</f>
        <v>20630</v>
      </c>
      <c r="T746" s="278">
        <f>IF(O80&gt;0,ROUND(O80,2),0)</f>
        <v>10.06</v>
      </c>
      <c r="U746" s="276"/>
      <c r="V746" s="277"/>
      <c r="W746" s="276"/>
      <c r="X746" s="276"/>
      <c r="Y746" s="276">
        <f t="shared" si="21"/>
        <v>1163753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035*2018*7020*A</v>
      </c>
      <c r="B747" s="276">
        <f>ROUND(P59,0)</f>
        <v>143610</v>
      </c>
      <c r="C747" s="278">
        <f>ROUND(P60,2)</f>
        <v>21.81</v>
      </c>
      <c r="D747" s="276">
        <f>ROUND(P61,0)</f>
        <v>2058293</v>
      </c>
      <c r="E747" s="276">
        <f>ROUND(P62,0)</f>
        <v>478661</v>
      </c>
      <c r="F747" s="276">
        <f>ROUND(P63,0)</f>
        <v>21730</v>
      </c>
      <c r="G747" s="276">
        <f>ROUND(P64,0)</f>
        <v>3120636</v>
      </c>
      <c r="H747" s="276">
        <f>ROUND(P65,0)</f>
        <v>1029</v>
      </c>
      <c r="I747" s="276">
        <f>ROUND(P66,0)</f>
        <v>405893</v>
      </c>
      <c r="J747" s="276">
        <f>ROUND(P67,0)</f>
        <v>1077407</v>
      </c>
      <c r="K747" s="276">
        <f>ROUND(P68,0)</f>
        <v>23932</v>
      </c>
      <c r="L747" s="276">
        <f>ROUND(P69,0)</f>
        <v>7035</v>
      </c>
      <c r="M747" s="276">
        <f>ROUND(P70,0)</f>
        <v>1864</v>
      </c>
      <c r="N747" s="276">
        <f>ROUND(P75,0)</f>
        <v>59407515</v>
      </c>
      <c r="O747" s="276">
        <f>ROUND(P73,0)</f>
        <v>17723882</v>
      </c>
      <c r="P747" s="276">
        <f>IF(P76&gt;0,ROUND(P76,0),0)</f>
        <v>17054</v>
      </c>
      <c r="Q747" s="276">
        <f>IF(P77&gt;0,ROUND(P77,0),0)</f>
        <v>0</v>
      </c>
      <c r="R747" s="276">
        <f>IF(P78&gt;0,ROUND(P78,0),0)</f>
        <v>6399</v>
      </c>
      <c r="S747" s="276">
        <f>IF(P79&gt;0,ROUND(P79,0),0)</f>
        <v>50279</v>
      </c>
      <c r="T747" s="278">
        <f>IF(P80&gt;0,ROUND(P80,2),0)</f>
        <v>8.7799999999999994</v>
      </c>
      <c r="U747" s="276"/>
      <c r="V747" s="277"/>
      <c r="W747" s="276"/>
      <c r="X747" s="276"/>
      <c r="Y747" s="276">
        <f t="shared" si="21"/>
        <v>3918991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035*2018*7030*A</v>
      </c>
      <c r="B748" s="276">
        <f>ROUND(Q59,0)</f>
        <v>6338</v>
      </c>
      <c r="C748" s="278">
        <f>ROUND(Q60,2)</f>
        <v>10.130000000000001</v>
      </c>
      <c r="D748" s="276">
        <f>ROUND(Q61,0)</f>
        <v>1147651</v>
      </c>
      <c r="E748" s="276">
        <f>ROUND(Q62,0)</f>
        <v>251712</v>
      </c>
      <c r="F748" s="276">
        <f>ROUND(Q63,0)</f>
        <v>0</v>
      </c>
      <c r="G748" s="276">
        <f>ROUND(Q64,0)</f>
        <v>76810</v>
      </c>
      <c r="H748" s="276">
        <f>ROUND(Q65,0)</f>
        <v>0</v>
      </c>
      <c r="I748" s="276">
        <f>ROUND(Q66,0)</f>
        <v>9893</v>
      </c>
      <c r="J748" s="276">
        <f>ROUND(Q67,0)</f>
        <v>44509</v>
      </c>
      <c r="K748" s="276">
        <f>ROUND(Q68,0)</f>
        <v>2543</v>
      </c>
      <c r="L748" s="276">
        <f>ROUND(Q69,0)</f>
        <v>484</v>
      </c>
      <c r="M748" s="276">
        <f>ROUND(Q70,0)</f>
        <v>0</v>
      </c>
      <c r="N748" s="276">
        <f>ROUND(Q75,0)</f>
        <v>6155252</v>
      </c>
      <c r="O748" s="276">
        <f>ROUND(Q73,0)</f>
        <v>1212152</v>
      </c>
      <c r="P748" s="276">
        <f>IF(Q76&gt;0,ROUND(Q76,0),0)</f>
        <v>1200</v>
      </c>
      <c r="Q748" s="276">
        <f>IF(Q77&gt;0,ROUND(Q77,0),0)</f>
        <v>0</v>
      </c>
      <c r="R748" s="276">
        <f>IF(Q78&gt;0,ROUND(Q78,0),0)</f>
        <v>450</v>
      </c>
      <c r="S748" s="276">
        <f>IF(Q79&gt;0,ROUND(Q79,0),0)</f>
        <v>0</v>
      </c>
      <c r="T748" s="278">
        <f>IF(Q80&gt;0,ROUND(Q80,2),0)</f>
        <v>8.23</v>
      </c>
      <c r="U748" s="276"/>
      <c r="V748" s="277"/>
      <c r="W748" s="276"/>
      <c r="X748" s="276"/>
      <c r="Y748" s="276">
        <f t="shared" si="21"/>
        <v>712318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035*2018*7040*A</v>
      </c>
      <c r="B749" s="276">
        <f>ROUND(R59,0)</f>
        <v>143430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1901030</v>
      </c>
      <c r="G749" s="276">
        <f>ROUND(R64,0)</f>
        <v>149332</v>
      </c>
      <c r="H749" s="276">
        <f>ROUND(R65,0)</f>
        <v>0</v>
      </c>
      <c r="I749" s="276">
        <f>ROUND(R66,0)</f>
        <v>7435</v>
      </c>
      <c r="J749" s="276">
        <f>ROUND(R67,0)</f>
        <v>5817</v>
      </c>
      <c r="K749" s="276">
        <f>ROUND(R68,0)</f>
        <v>214</v>
      </c>
      <c r="L749" s="276">
        <f>ROUND(R69,0)</f>
        <v>172</v>
      </c>
      <c r="M749" s="276">
        <f>ROUND(R70,0)</f>
        <v>0</v>
      </c>
      <c r="N749" s="276">
        <f>ROUND(R75,0)</f>
        <v>9084732</v>
      </c>
      <c r="O749" s="276">
        <f>ROUND(R73,0)</f>
        <v>1629169</v>
      </c>
      <c r="P749" s="276">
        <f>IF(R76&gt;0,ROUND(R76,0),0)</f>
        <v>192</v>
      </c>
      <c r="Q749" s="276">
        <f>IF(R77&gt;0,ROUND(R77,0),0)</f>
        <v>0</v>
      </c>
      <c r="R749" s="276">
        <f>IF(R78&gt;0,ROUND(R78,0),0)</f>
        <v>72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560874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035*2018*7050*A</v>
      </c>
      <c r="B750" s="276"/>
      <c r="C750" s="278">
        <f>ROUND(S60,2)</f>
        <v>5.24</v>
      </c>
      <c r="D750" s="276">
        <f>ROUND(S61,0)</f>
        <v>275403</v>
      </c>
      <c r="E750" s="276">
        <f>ROUND(S62,0)</f>
        <v>93671</v>
      </c>
      <c r="F750" s="276">
        <f>ROUND(S63,0)</f>
        <v>0</v>
      </c>
      <c r="G750" s="276">
        <f>ROUND(S64,0)</f>
        <v>-53045</v>
      </c>
      <c r="H750" s="276">
        <f>ROUND(S65,0)</f>
        <v>0</v>
      </c>
      <c r="I750" s="276">
        <f>ROUND(S66,0)</f>
        <v>2002</v>
      </c>
      <c r="J750" s="276">
        <f>ROUND(S67,0)</f>
        <v>57006</v>
      </c>
      <c r="K750" s="276">
        <f>ROUND(S68,0)</f>
        <v>2425</v>
      </c>
      <c r="L750" s="276">
        <f>ROUND(S69,0)</f>
        <v>213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2955</v>
      </c>
      <c r="Q750" s="276">
        <f>IF(S77&gt;0,ROUND(S77,0),0)</f>
        <v>0</v>
      </c>
      <c r="R750" s="276">
        <f>IF(S78&gt;0,ROUND(S78,0),0)</f>
        <v>1109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277417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035*2018*7060*A</v>
      </c>
      <c r="B751" s="276"/>
      <c r="C751" s="278">
        <f>ROUND(T60,2)</f>
        <v>0.09</v>
      </c>
      <c r="D751" s="276">
        <f>ROUND(T61,0)</f>
        <v>29460</v>
      </c>
      <c r="E751" s="276">
        <f>ROUND(T62,0)</f>
        <v>4605</v>
      </c>
      <c r="F751" s="276">
        <f>ROUND(T63,0)</f>
        <v>0</v>
      </c>
      <c r="G751" s="276">
        <f>ROUND(T64,0)</f>
        <v>6503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300</v>
      </c>
      <c r="M751" s="276">
        <f>ROUND(T70,0)</f>
        <v>0</v>
      </c>
      <c r="N751" s="276">
        <f>ROUND(T75,0)</f>
        <v>373724</v>
      </c>
      <c r="O751" s="276">
        <f>ROUND(T73,0)</f>
        <v>336086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0.09</v>
      </c>
      <c r="U751" s="276"/>
      <c r="V751" s="277"/>
      <c r="W751" s="276"/>
      <c r="X751" s="276"/>
      <c r="Y751" s="276">
        <f t="shared" si="21"/>
        <v>17434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035*2018*7070*A</v>
      </c>
      <c r="B752" s="276">
        <f>ROUND(U59,0)</f>
        <v>87689</v>
      </c>
      <c r="C752" s="278">
        <f>ROUND(U60,2)</f>
        <v>11.64</v>
      </c>
      <c r="D752" s="276">
        <f>ROUND(U61,0)</f>
        <v>819756</v>
      </c>
      <c r="E752" s="276">
        <f>ROUND(U62,0)</f>
        <v>235107</v>
      </c>
      <c r="F752" s="276">
        <f>ROUND(U63,0)</f>
        <v>17140</v>
      </c>
      <c r="G752" s="276">
        <f>ROUND(U64,0)</f>
        <v>510419</v>
      </c>
      <c r="H752" s="276">
        <f>ROUND(U65,0)</f>
        <v>194</v>
      </c>
      <c r="I752" s="276">
        <f>ROUND(U66,0)</f>
        <v>269585</v>
      </c>
      <c r="J752" s="276">
        <f>ROUND(U67,0)</f>
        <v>65238</v>
      </c>
      <c r="K752" s="276">
        <f>ROUND(U68,0)</f>
        <v>33247</v>
      </c>
      <c r="L752" s="276">
        <f>ROUND(U69,0)</f>
        <v>13217</v>
      </c>
      <c r="M752" s="276">
        <f>ROUND(U70,0)</f>
        <v>5417</v>
      </c>
      <c r="N752" s="276">
        <f>ROUND(U75,0)</f>
        <v>12103154</v>
      </c>
      <c r="O752" s="276">
        <f>ROUND(U73,0)</f>
        <v>3686953</v>
      </c>
      <c r="P752" s="276">
        <f>IF(U76&gt;0,ROUND(U76,0),0)</f>
        <v>1626</v>
      </c>
      <c r="Q752" s="276">
        <f>IF(U77&gt;0,ROUND(U77,0),0)</f>
        <v>0</v>
      </c>
      <c r="R752" s="276">
        <f>IF(U78&gt;0,ROUND(U78,0),0)</f>
        <v>610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731376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035*2018*7110*A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035*2018*7120*A</v>
      </c>
      <c r="B754" s="276">
        <f>ROUND(W59,0)</f>
        <v>1190</v>
      </c>
      <c r="C754" s="278">
        <f>ROUND(W60,2)</f>
        <v>1.82</v>
      </c>
      <c r="D754" s="276">
        <f>ROUND(W61,0)</f>
        <v>185714</v>
      </c>
      <c r="E754" s="276">
        <f>ROUND(W62,0)</f>
        <v>43797</v>
      </c>
      <c r="F754" s="276">
        <f>ROUND(W63,0)</f>
        <v>0</v>
      </c>
      <c r="G754" s="276">
        <f>ROUND(W64,0)</f>
        <v>10722</v>
      </c>
      <c r="H754" s="276">
        <f>ROUND(W65,0)</f>
        <v>0</v>
      </c>
      <c r="I754" s="276">
        <f>ROUND(W66,0)</f>
        <v>128372</v>
      </c>
      <c r="J754" s="276">
        <f>ROUND(W67,0)</f>
        <v>297180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2591270</v>
      </c>
      <c r="O754" s="276">
        <f>ROUND(W73,0)</f>
        <v>255751</v>
      </c>
      <c r="P754" s="276">
        <f>IF(W76&gt;0,ROUND(W76,0),0)</f>
        <v>720</v>
      </c>
      <c r="Q754" s="276">
        <f>IF(W77&gt;0,ROUND(W77,0),0)</f>
        <v>0</v>
      </c>
      <c r="R754" s="276">
        <f>IF(W78&gt;0,ROUND(W78,0),0)</f>
        <v>270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222663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035*2018*7130*A</v>
      </c>
      <c r="B755" s="276">
        <f>ROUND(X59,0)</f>
        <v>4979</v>
      </c>
      <c r="C755" s="278">
        <f>ROUND(X60,2)</f>
        <v>4.74</v>
      </c>
      <c r="D755" s="276">
        <f>ROUND(X61,0)</f>
        <v>466905</v>
      </c>
      <c r="E755" s="276">
        <f>ROUND(X62,0)</f>
        <v>111306</v>
      </c>
      <c r="F755" s="276">
        <f>ROUND(X63,0)</f>
        <v>0</v>
      </c>
      <c r="G755" s="276">
        <f>ROUND(X64,0)</f>
        <v>52186</v>
      </c>
      <c r="H755" s="276">
        <f>ROUND(X65,0)</f>
        <v>0</v>
      </c>
      <c r="I755" s="276">
        <f>ROUND(X66,0)</f>
        <v>106090</v>
      </c>
      <c r="J755" s="276">
        <f>ROUND(X67,0)</f>
        <v>11112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11572698</v>
      </c>
      <c r="O755" s="276">
        <f>ROUND(X73,0)</f>
        <v>1176850</v>
      </c>
      <c r="P755" s="276">
        <f>IF(X76&gt;0,ROUND(X76,0),0)</f>
        <v>576</v>
      </c>
      <c r="Q755" s="276">
        <f>IF(X77&gt;0,ROUND(X77,0),0)</f>
        <v>0</v>
      </c>
      <c r="R755" s="276">
        <f>IF(X78&gt;0,ROUND(X78,0),0)</f>
        <v>216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422034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035*2018*7140*A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58183</v>
      </c>
      <c r="J756" s="276">
        <f>ROUND(Y67,0)</f>
        <v>266995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401725</v>
      </c>
      <c r="O756" s="276">
        <f>ROUND(Y73,0)</f>
        <v>103206</v>
      </c>
      <c r="P756" s="276">
        <f>IF(Y76&gt;0,ROUND(Y76,0),0)</f>
        <v>9797</v>
      </c>
      <c r="Q756" s="276">
        <f>IF(Y77&gt;0,ROUND(Y77,0),0)</f>
        <v>0</v>
      </c>
      <c r="R756" s="276">
        <f>IF(Y78&gt;0,ROUND(Y78,0),0)</f>
        <v>3676</v>
      </c>
      <c r="S756" s="276">
        <f>IF(Y79&gt;0,ROUND(Y79,0),0)</f>
        <v>24979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724973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035*2018*7150*A</v>
      </c>
      <c r="B757" s="276">
        <f>ROUND(Z59,0)</f>
        <v>15686</v>
      </c>
      <c r="C757" s="278">
        <f>ROUND(Z60,2)</f>
        <v>11.99</v>
      </c>
      <c r="D757" s="276">
        <f>ROUND(Z61,0)</f>
        <v>1023287</v>
      </c>
      <c r="E757" s="276">
        <f>ROUND(Z62,0)</f>
        <v>261984</v>
      </c>
      <c r="F757" s="276">
        <f>ROUND(Z63,0)</f>
        <v>12193</v>
      </c>
      <c r="G757" s="276">
        <f>ROUND(Z64,0)</f>
        <v>75520</v>
      </c>
      <c r="H757" s="276">
        <f>ROUND(Z65,0)</f>
        <v>292</v>
      </c>
      <c r="I757" s="276">
        <f>ROUND(Z66,0)</f>
        <v>122091</v>
      </c>
      <c r="J757" s="276">
        <f>ROUND(Z67,0)</f>
        <v>103666</v>
      </c>
      <c r="K757" s="276">
        <f>ROUND(Z68,0)</f>
        <v>4370</v>
      </c>
      <c r="L757" s="276">
        <f>ROUND(Z69,0)</f>
        <v>4100</v>
      </c>
      <c r="M757" s="276">
        <f>ROUND(Z70,0)</f>
        <v>3237</v>
      </c>
      <c r="N757" s="276">
        <f>ROUND(Z75,0)</f>
        <v>6664059</v>
      </c>
      <c r="O757" s="276">
        <f>ROUND(Z73,0)</f>
        <v>556364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447987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035*2018*7160*A</v>
      </c>
      <c r="B758" s="276">
        <f>ROUND(AA59,0)</f>
        <v>251</v>
      </c>
      <c r="C758" s="278">
        <f>ROUND(AA60,2)</f>
        <v>1.05</v>
      </c>
      <c r="D758" s="276">
        <f>ROUND(AA61,0)</f>
        <v>127746</v>
      </c>
      <c r="E758" s="276">
        <f>ROUND(AA62,0)</f>
        <v>27330</v>
      </c>
      <c r="F758" s="276">
        <f>ROUND(AA63,0)</f>
        <v>5325</v>
      </c>
      <c r="G758" s="276">
        <f>ROUND(AA64,0)</f>
        <v>53237</v>
      </c>
      <c r="H758" s="276">
        <f>ROUND(AA65,0)</f>
        <v>0</v>
      </c>
      <c r="I758" s="276">
        <f>ROUND(AA66,0)</f>
        <v>28602</v>
      </c>
      <c r="J758" s="276">
        <f>ROUND(AA67,0)</f>
        <v>20947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725483</v>
      </c>
      <c r="O758" s="276">
        <f>ROUND(AA73,0)</f>
        <v>30073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63497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035*2018*7170*A</v>
      </c>
      <c r="B759" s="276"/>
      <c r="C759" s="278">
        <f>ROUND(AB60,2)</f>
        <v>5.37</v>
      </c>
      <c r="D759" s="276">
        <f>ROUND(AB61,0)</f>
        <v>661575</v>
      </c>
      <c r="E759" s="276">
        <f>ROUND(AB62,0)</f>
        <v>138584</v>
      </c>
      <c r="F759" s="276">
        <f>ROUND(AB63,0)</f>
        <v>0</v>
      </c>
      <c r="G759" s="276">
        <f>ROUND(AB64,0)</f>
        <v>1048893</v>
      </c>
      <c r="H759" s="276">
        <f>ROUND(AB65,0)</f>
        <v>319</v>
      </c>
      <c r="I759" s="276">
        <f>ROUND(AB66,0)</f>
        <v>63760</v>
      </c>
      <c r="J759" s="276">
        <f>ROUND(AB67,0)</f>
        <v>82409</v>
      </c>
      <c r="K759" s="276">
        <f>ROUND(AB68,0)</f>
        <v>2567</v>
      </c>
      <c r="L759" s="276">
        <f>ROUND(AB69,0)</f>
        <v>2721</v>
      </c>
      <c r="M759" s="276">
        <f>ROUND(AB70,0)</f>
        <v>868</v>
      </c>
      <c r="N759" s="276">
        <f>ROUND(AB75,0)</f>
        <v>26646491</v>
      </c>
      <c r="O759" s="276">
        <f>ROUND(AB73,0)</f>
        <v>9446042</v>
      </c>
      <c r="P759" s="276">
        <f>IF(AB76&gt;0,ROUND(AB76,0),0)</f>
        <v>1856</v>
      </c>
      <c r="Q759" s="276">
        <f>IF(AB77&gt;0,ROUND(AB77,0),0)</f>
        <v>0</v>
      </c>
      <c r="R759" s="276">
        <f>IF(AB78&gt;0,ROUND(AB78,0),0)</f>
        <v>696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1041672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035*2018*7180*A</v>
      </c>
      <c r="B760" s="276">
        <f>ROUND(AC59,0)</f>
        <v>12519</v>
      </c>
      <c r="C760" s="278">
        <f>ROUND(AC60,2)</f>
        <v>5.75</v>
      </c>
      <c r="D760" s="276">
        <f>ROUND(AC61,0)</f>
        <v>482831</v>
      </c>
      <c r="E760" s="276">
        <f>ROUND(AC62,0)</f>
        <v>124813</v>
      </c>
      <c r="F760" s="276">
        <f>ROUND(AC63,0)</f>
        <v>0</v>
      </c>
      <c r="G760" s="276">
        <f>ROUND(AC64,0)</f>
        <v>46305</v>
      </c>
      <c r="H760" s="276">
        <f>ROUND(AC65,0)</f>
        <v>97</v>
      </c>
      <c r="I760" s="276">
        <f>ROUND(AC66,0)</f>
        <v>1993</v>
      </c>
      <c r="J760" s="276">
        <f>ROUND(AC67,0)</f>
        <v>11970</v>
      </c>
      <c r="K760" s="276">
        <f>ROUND(AC68,0)</f>
        <v>1880</v>
      </c>
      <c r="L760" s="276">
        <f>ROUND(AC69,0)</f>
        <v>1203</v>
      </c>
      <c r="M760" s="276">
        <f>ROUND(AC70,0)</f>
        <v>0</v>
      </c>
      <c r="N760" s="276">
        <f>ROUND(AC75,0)</f>
        <v>4775989</v>
      </c>
      <c r="O760" s="276">
        <f>ROUND(AC73,0)</f>
        <v>2457152</v>
      </c>
      <c r="P760" s="276">
        <f>IF(AC76&gt;0,ROUND(AC76,0),0)</f>
        <v>171</v>
      </c>
      <c r="Q760" s="276">
        <f>IF(AC77&gt;0,ROUND(AC77,0),0)</f>
        <v>0</v>
      </c>
      <c r="R760" s="276">
        <f>IF(AC78&gt;0,ROUND(AC78,0),0)</f>
        <v>64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242240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035*2018*7190*A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035*2018*7200*A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208</v>
      </c>
      <c r="H762" s="276">
        <f>ROUND(AE65,0)</f>
        <v>0</v>
      </c>
      <c r="I762" s="276">
        <f>ROUND(AE66,0)</f>
        <v>135930</v>
      </c>
      <c r="J762" s="276">
        <f>ROUND(AE67,0)</f>
        <v>3704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539045</v>
      </c>
      <c r="O762" s="276">
        <f>ROUND(AE73,0)</f>
        <v>473748</v>
      </c>
      <c r="P762" s="276">
        <f>IF(AE76&gt;0,ROUND(AE76,0),0)</f>
        <v>192</v>
      </c>
      <c r="Q762" s="276">
        <f>IF(AE77&gt;0,ROUND(AE77,0),0)</f>
        <v>0</v>
      </c>
      <c r="R762" s="276">
        <f>IF(AE78&gt;0,ROUND(AE78,0),0)</f>
        <v>72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48431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035*2018*7220*A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035*2018*7230*A</v>
      </c>
      <c r="B764" s="276">
        <f>ROUND(AG59,0)</f>
        <v>13761</v>
      </c>
      <c r="C764" s="278">
        <f>ROUND(AG60,2)</f>
        <v>21.17</v>
      </c>
      <c r="D764" s="276">
        <f>ROUND(AG61,0)</f>
        <v>2144204</v>
      </c>
      <c r="E764" s="276">
        <f>ROUND(AG62,0)</f>
        <v>486306</v>
      </c>
      <c r="F764" s="276">
        <f>ROUND(AG63,0)</f>
        <v>180393</v>
      </c>
      <c r="G764" s="276">
        <f>ROUND(AG64,0)</f>
        <v>227685</v>
      </c>
      <c r="H764" s="276">
        <f>ROUND(AG65,0)</f>
        <v>984</v>
      </c>
      <c r="I764" s="276">
        <f>ROUND(AG66,0)</f>
        <v>123781</v>
      </c>
      <c r="J764" s="276">
        <f>ROUND(AG67,0)</f>
        <v>212679</v>
      </c>
      <c r="K764" s="276">
        <f>ROUND(AG68,0)</f>
        <v>254</v>
      </c>
      <c r="L764" s="276">
        <f>ROUND(AG69,0)</f>
        <v>7129</v>
      </c>
      <c r="M764" s="276">
        <f>ROUND(AG70,0)</f>
        <v>0</v>
      </c>
      <c r="N764" s="276">
        <f>ROUND(AG75,0)</f>
        <v>42584910</v>
      </c>
      <c r="O764" s="276">
        <f>ROUND(AG73,0)</f>
        <v>2083330</v>
      </c>
      <c r="P764" s="276">
        <f>IF(AG76&gt;0,ROUND(AG76,0),0)</f>
        <v>8332</v>
      </c>
      <c r="Q764" s="276">
        <f>IF(AG77&gt;0,ROUND(AG77,0),0)</f>
        <v>0</v>
      </c>
      <c r="R764" s="276">
        <f>IF(AG78&gt;0,ROUND(AG78,0),0)</f>
        <v>3127</v>
      </c>
      <c r="S764" s="276">
        <f>IF(AG79&gt;0,ROUND(AG79,0),0)</f>
        <v>68600</v>
      </c>
      <c r="T764" s="278">
        <f>IF(AG80&gt;0,ROUND(AG80,2),0)</f>
        <v>13.43</v>
      </c>
      <c r="U764" s="276"/>
      <c r="V764" s="277"/>
      <c r="W764" s="276"/>
      <c r="X764" s="276"/>
      <c r="Y764" s="276">
        <f t="shared" si="21"/>
        <v>2439524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035*2018*7240*A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035*2018*7250*A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035*2018*7260*A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1022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53</v>
      </c>
      <c r="Q767" s="276">
        <f>IF(AJ77&gt;0,ROUND(AJ77,0),0)</f>
        <v>0</v>
      </c>
      <c r="R767" s="276">
        <f>IF(AJ78&gt;0,ROUND(AJ78,0),0)</f>
        <v>20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3744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035*2018*7310*A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82460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404317</v>
      </c>
      <c r="O768" s="276">
        <f>ROUND(AK73,0)</f>
        <v>356367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22756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035*2018*7320*A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8</v>
      </c>
      <c r="H769" s="276">
        <f>ROUND(AL65,0)</f>
        <v>0</v>
      </c>
      <c r="I769" s="276">
        <f>ROUND(AL66,0)</f>
        <v>22166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128412</v>
      </c>
      <c r="O769" s="276">
        <f>ROUND(AL73,0)</f>
        <v>113462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6530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035*2018*7330*A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035*2018*7340*A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035*2018*7350*A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035*2018*7380*A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035*2018*7390*A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035*2018*7400*A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035*2018*7410*A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035*2018*7420*A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035*2018*7430*A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035*2018*7490*A</v>
      </c>
      <c r="B779" s="276"/>
      <c r="C779" s="278">
        <f>ROUND(AV60,2)</f>
        <v>0.01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218286</v>
      </c>
      <c r="J779" s="276">
        <f>ROUND(AV67,0)</f>
        <v>0</v>
      </c>
      <c r="K779" s="276">
        <f>ROUND(AV68,0)</f>
        <v>0</v>
      </c>
      <c r="L779" s="276">
        <f>ROUND(AV69,0)</f>
        <v>357853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0.01</v>
      </c>
      <c r="U779" s="276"/>
      <c r="V779" s="277"/>
      <c r="W779" s="276"/>
      <c r="X779" s="276"/>
      <c r="Y779" s="276">
        <f t="shared" si="21"/>
        <v>100317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035*2018*8200*A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035*2018*8310*A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124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035*2018*8320*A</v>
      </c>
      <c r="B782" s="276">
        <f>ROUND(AY59,0)</f>
        <v>26585</v>
      </c>
      <c r="C782" s="278">
        <f>ROUND(AY60,2)</f>
        <v>11.85</v>
      </c>
      <c r="D782" s="276">
        <f>ROUND(AY61,0)</f>
        <v>473403</v>
      </c>
      <c r="E782" s="276">
        <f>ROUND(AY62,0)</f>
        <v>195561</v>
      </c>
      <c r="F782" s="276">
        <f>ROUND(AY63,0)</f>
        <v>0</v>
      </c>
      <c r="G782" s="276">
        <f>ROUND(AY64,0)</f>
        <v>268361</v>
      </c>
      <c r="H782" s="276">
        <f>ROUND(AY65,0)</f>
        <v>279</v>
      </c>
      <c r="I782" s="276">
        <f>ROUND(AY66,0)</f>
        <v>300535</v>
      </c>
      <c r="J782" s="276">
        <f>ROUND(AY67,0)</f>
        <v>90400</v>
      </c>
      <c r="K782" s="276">
        <f>ROUND(AY68,0)</f>
        <v>3493</v>
      </c>
      <c r="L782" s="276">
        <f>ROUND(AY69,0)</f>
        <v>13496</v>
      </c>
      <c r="M782" s="276">
        <f>ROUND(AY70,0)</f>
        <v>369691</v>
      </c>
      <c r="N782" s="276"/>
      <c r="O782" s="276"/>
      <c r="P782" s="276">
        <f>IF(AY76&gt;0,ROUND(AY76,0),0)</f>
        <v>2747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035*2018*8330*A</v>
      </c>
      <c r="B783" s="276">
        <f>ROUND(AZ59,0)</f>
        <v>26585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27471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1424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035*2018*8350*A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3704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192</v>
      </c>
      <c r="Q784" s="276">
        <f>IF(BA77&gt;0,ROUND(BA77,0),0)</f>
        <v>0</v>
      </c>
      <c r="R784" s="276">
        <f>IF(BA78&gt;0,ROUND(BA78,0),0)</f>
        <v>72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035*2018*8360*A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035*2018*8370*A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035*2018*8420*A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035*2018*8430*A</v>
      </c>
      <c r="B788" s="276">
        <f>ROUND(BE59,0)</f>
        <v>101299</v>
      </c>
      <c r="C788" s="278">
        <f>ROUND(BE60,2)</f>
        <v>3.83</v>
      </c>
      <c r="D788" s="276">
        <f>ROUND(BE61,0)</f>
        <v>282068</v>
      </c>
      <c r="E788" s="276">
        <f>ROUND(BE62,0)</f>
        <v>77977</v>
      </c>
      <c r="F788" s="276">
        <f>ROUND(BE63,0)</f>
        <v>0</v>
      </c>
      <c r="G788" s="276">
        <f>ROUND(BE64,0)</f>
        <v>28022</v>
      </c>
      <c r="H788" s="276">
        <f>ROUND(BE65,0)</f>
        <v>431490</v>
      </c>
      <c r="I788" s="276">
        <f>ROUND(BE66,0)</f>
        <v>1582347</v>
      </c>
      <c r="J788" s="276">
        <f>ROUND(BE67,0)</f>
        <v>81717</v>
      </c>
      <c r="K788" s="276">
        <f>ROUND(BE68,0)</f>
        <v>38357</v>
      </c>
      <c r="L788" s="276">
        <f>ROUND(BE69,0)</f>
        <v>1265</v>
      </c>
      <c r="M788" s="276">
        <f>ROUND(BE70,0)</f>
        <v>9</v>
      </c>
      <c r="N788" s="276"/>
      <c r="O788" s="276"/>
      <c r="P788" s="276">
        <f>IF(BE76&gt;0,ROUND(BE76,0),0)</f>
        <v>3559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035*2018*8460*A</v>
      </c>
      <c r="B789" s="276"/>
      <c r="C789" s="278">
        <f>ROUND(BF60,2)</f>
        <v>12.59</v>
      </c>
      <c r="D789" s="276">
        <f>ROUND(BF61,0)</f>
        <v>524979</v>
      </c>
      <c r="E789" s="276">
        <f>ROUND(BF62,0)</f>
        <v>208838</v>
      </c>
      <c r="F789" s="276">
        <f>ROUND(BF63,0)</f>
        <v>0</v>
      </c>
      <c r="G789" s="276">
        <f>ROUND(BF64,0)</f>
        <v>66827</v>
      </c>
      <c r="H789" s="276">
        <f>ROUND(BF65,0)</f>
        <v>152</v>
      </c>
      <c r="I789" s="276">
        <f>ROUND(BF66,0)</f>
        <v>90413</v>
      </c>
      <c r="J789" s="276">
        <f>ROUND(BF67,0)</f>
        <v>36028</v>
      </c>
      <c r="K789" s="276">
        <f>ROUND(BF68,0)</f>
        <v>1391</v>
      </c>
      <c r="L789" s="276">
        <f>ROUND(BF69,0)</f>
        <v>1083</v>
      </c>
      <c r="M789" s="276">
        <f>ROUND(BF70,0)</f>
        <v>0</v>
      </c>
      <c r="N789" s="276"/>
      <c r="O789" s="276"/>
      <c r="P789" s="276">
        <f>IF(BF76&gt;0,ROUND(BF76,0),0)</f>
        <v>1263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035*2018*8470*A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28649</v>
      </c>
      <c r="I790" s="276">
        <f>ROUND(BG66,0)</f>
        <v>5971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035*2018*8480*A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312737</v>
      </c>
      <c r="J791" s="276">
        <f>ROUND(BH67,0)</f>
        <v>84114</v>
      </c>
      <c r="K791" s="276">
        <f>ROUND(BH68,0)</f>
        <v>558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035*2018*8490*A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14198</v>
      </c>
      <c r="K792" s="276">
        <f>ROUND(BI68,0)</f>
        <v>0</v>
      </c>
      <c r="L792" s="276">
        <f>ROUND(BI69,0)</f>
        <v>0</v>
      </c>
      <c r="M792" s="276">
        <f>ROUND(BI70,0)</f>
        <v>901</v>
      </c>
      <c r="N792" s="276"/>
      <c r="O792" s="276"/>
      <c r="P792" s="276">
        <f>IF(BI76&gt;0,ROUND(BI76,0),0)</f>
        <v>736</v>
      </c>
      <c r="Q792" s="276">
        <f>IF(BI77&gt;0,ROUND(BI77,0),0)</f>
        <v>0</v>
      </c>
      <c r="R792" s="276">
        <f>IF(BI78&gt;0,ROUND(BI78,0),0)</f>
        <v>276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035*2018*8510*A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104757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035*2018*8530*A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495201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035*2018*8560*A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11500</v>
      </c>
      <c r="H795" s="276">
        <f>ROUND(BL65,0)</f>
        <v>0</v>
      </c>
      <c r="I795" s="276">
        <f>ROUND(BL66,0)</f>
        <v>1452465</v>
      </c>
      <c r="J795" s="276">
        <f>ROUND(BL67,0)</f>
        <v>142</v>
      </c>
      <c r="K795" s="276">
        <f>ROUND(BL68,0)</f>
        <v>8520</v>
      </c>
      <c r="L795" s="276">
        <f>ROUND(BL69,0)</f>
        <v>3224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035*2018*8590*A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035*2018*8610*A</v>
      </c>
      <c r="B797" s="276"/>
      <c r="C797" s="278">
        <f>ROUND(BN60,2)</f>
        <v>2.5</v>
      </c>
      <c r="D797" s="276">
        <f>ROUND(BN61,0)</f>
        <v>317997</v>
      </c>
      <c r="E797" s="276">
        <f>ROUND(BN62,0)</f>
        <v>59676</v>
      </c>
      <c r="F797" s="276">
        <f>ROUND(BN63,0)</f>
        <v>0</v>
      </c>
      <c r="G797" s="276">
        <f>ROUND(BN64,0)</f>
        <v>20479</v>
      </c>
      <c r="H797" s="276">
        <f>ROUND(BN65,0)</f>
        <v>309</v>
      </c>
      <c r="I797" s="276">
        <f>ROUND(BN66,0)</f>
        <v>855832</v>
      </c>
      <c r="J797" s="276">
        <f>ROUND(BN67,0)</f>
        <v>436733</v>
      </c>
      <c r="K797" s="276">
        <f>ROUND(BN68,0)</f>
        <v>33448</v>
      </c>
      <c r="L797" s="276">
        <f>ROUND(BN69,0)</f>
        <v>49424</v>
      </c>
      <c r="M797" s="276">
        <f>ROUND(BN70,0)</f>
        <v>16493</v>
      </c>
      <c r="N797" s="276"/>
      <c r="O797" s="276"/>
      <c r="P797" s="276">
        <f>IF(BN76&gt;0,ROUND(BN76,0),0)</f>
        <v>22286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035*2018*8620*A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57691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035*2018*8630*A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75627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035*2018*8640*A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035*2018*8650*A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-46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227263</v>
      </c>
      <c r="J801" s="276">
        <f>ROUND(BR67,0)</f>
        <v>4321</v>
      </c>
      <c r="K801" s="276">
        <f>ROUND(BR68,0)</f>
        <v>0</v>
      </c>
      <c r="L801" s="276">
        <f>ROUND(BR69,0)</f>
        <v>-1063</v>
      </c>
      <c r="M801" s="276">
        <f>ROUND(BR70,0)</f>
        <v>0</v>
      </c>
      <c r="N801" s="276"/>
      <c r="O801" s="276"/>
      <c r="P801" s="276">
        <f>IF(BR76&gt;0,ROUND(BR76,0),0)</f>
        <v>224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035*2018*8660*A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3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035*2018*8670*A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4178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035*2018*8680*A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6777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035*2018*8690*A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717033</v>
      </c>
      <c r="J805" s="276">
        <f>ROUND(BV67,0)</f>
        <v>40743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2112</v>
      </c>
      <c r="Q805" s="276">
        <f>IF(BV77&gt;0,ROUND(BV77,0),0)</f>
        <v>0</v>
      </c>
      <c r="R805" s="276">
        <f>IF(BV78&gt;0,ROUND(BV78,0),0)</f>
        <v>793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035*2018*8700*A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70317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035*2018*8710*A</v>
      </c>
      <c r="B807" s="276"/>
      <c r="C807" s="278">
        <f>ROUND(BX60,2)</f>
        <v>1</v>
      </c>
      <c r="D807" s="276">
        <f>ROUND(BX61,0)</f>
        <v>82504</v>
      </c>
      <c r="E807" s="276">
        <f>ROUND(BX62,0)</f>
        <v>21787</v>
      </c>
      <c r="F807" s="276">
        <f>ROUND(BX63,0)</f>
        <v>0</v>
      </c>
      <c r="G807" s="276">
        <f>ROUND(BX64,0)</f>
        <v>133</v>
      </c>
      <c r="H807" s="276">
        <f>ROUND(BX65,0)</f>
        <v>0</v>
      </c>
      <c r="I807" s="276">
        <f>ROUND(BX66,0)</f>
        <v>289854</v>
      </c>
      <c r="J807" s="276">
        <f>ROUND(BX67,0)</f>
        <v>0</v>
      </c>
      <c r="K807" s="276">
        <f>ROUND(BX68,0)</f>
        <v>511</v>
      </c>
      <c r="L807" s="276">
        <f>ROUND(BX69,0)</f>
        <v>601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035*2018*8720*A</v>
      </c>
      <c r="B808" s="276"/>
      <c r="C808" s="278">
        <f>ROUND(BY60,2)</f>
        <v>10.36</v>
      </c>
      <c r="D808" s="276">
        <f>ROUND(BY61,0)</f>
        <v>1028325</v>
      </c>
      <c r="E808" s="276">
        <f>ROUND(BY62,0)</f>
        <v>245029</v>
      </c>
      <c r="F808" s="276">
        <f>ROUND(BY63,0)</f>
        <v>0</v>
      </c>
      <c r="G808" s="276">
        <f>ROUND(BY64,0)</f>
        <v>2555</v>
      </c>
      <c r="H808" s="276">
        <f>ROUND(BY65,0)</f>
        <v>1066</v>
      </c>
      <c r="I808" s="276">
        <f>ROUND(BY66,0)</f>
        <v>33507</v>
      </c>
      <c r="J808" s="276">
        <f>ROUND(BY67,0)</f>
        <v>3395</v>
      </c>
      <c r="K808" s="276">
        <f>ROUND(BY68,0)</f>
        <v>471</v>
      </c>
      <c r="L808" s="276">
        <f>ROUND(BY69,0)</f>
        <v>5620</v>
      </c>
      <c r="M808" s="276">
        <f>ROUND(BY70,0)</f>
        <v>0</v>
      </c>
      <c r="N808" s="276"/>
      <c r="O808" s="276"/>
      <c r="P808" s="276">
        <f>IF(BY76&gt;0,ROUND(BY76,0),0)</f>
        <v>176</v>
      </c>
      <c r="Q808" s="276">
        <f>IF(BY77&gt;0,ROUND(BY77,0),0)</f>
        <v>0</v>
      </c>
      <c r="R808" s="276">
        <f>IF(BY78&gt;0,ROUND(BY78,0),0)</f>
        <v>66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035*2018*8730*A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035*2018*8740*A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82056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035*2018*8770*A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8375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035*2018*8790*A</v>
      </c>
      <c r="B812" s="276"/>
      <c r="C812" s="278">
        <f>ROUND(CC60,2)</f>
        <v>0</v>
      </c>
      <c r="D812" s="276">
        <f>ROUND(CC61,0)</f>
        <v>110544</v>
      </c>
      <c r="E812" s="276">
        <f>ROUND(CC62,0)</f>
        <v>5114</v>
      </c>
      <c r="F812" s="276">
        <f>ROUND(CC63,0)</f>
        <v>1237112</v>
      </c>
      <c r="G812" s="276">
        <f>ROUND(CC64,0)</f>
        <v>-42785</v>
      </c>
      <c r="H812" s="276">
        <f>ROUND(CC65,0)</f>
        <v>-682</v>
      </c>
      <c r="I812" s="276">
        <f>ROUND(CC66,0)</f>
        <v>2361790</v>
      </c>
      <c r="J812" s="276">
        <f>ROUND(CC67,0)</f>
        <v>0</v>
      </c>
      <c r="K812" s="276">
        <f>ROUND(CC68,0)</f>
        <v>15127</v>
      </c>
      <c r="L812" s="276">
        <f>ROUND(CC69,0)</f>
        <v>27204</v>
      </c>
      <c r="M812" s="276">
        <f>ROUND(CC70,0)</f>
        <v>-540724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035*2018*9000*A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1657357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197.16999999999996</v>
      </c>
      <c r="D815" s="277">
        <f t="shared" si="22"/>
        <v>17237388</v>
      </c>
      <c r="E815" s="277">
        <f t="shared" si="22"/>
        <v>4277399</v>
      </c>
      <c r="F815" s="277">
        <f t="shared" si="22"/>
        <v>3375216</v>
      </c>
      <c r="G815" s="277">
        <f t="shared" si="22"/>
        <v>6047381</v>
      </c>
      <c r="H815" s="277">
        <f t="shared" si="22"/>
        <v>465130</v>
      </c>
      <c r="I815" s="277">
        <f t="shared" si="22"/>
        <v>11034091</v>
      </c>
      <c r="J815" s="277">
        <f t="shared" si="22"/>
        <v>3663894</v>
      </c>
      <c r="K815" s="277">
        <f t="shared" si="22"/>
        <v>183570</v>
      </c>
      <c r="L815" s="277">
        <f>SUM(L734:L813)+SUM(U734:U813)</f>
        <v>2166769</v>
      </c>
      <c r="M815" s="277">
        <f>SUM(M734:M813)+SUM(V734:V813)</f>
        <v>-137664</v>
      </c>
      <c r="N815" s="277">
        <f t="shared" ref="N815:Y815" si="23">SUM(N734:N813)</f>
        <v>212643837</v>
      </c>
      <c r="O815" s="277">
        <f t="shared" si="23"/>
        <v>66090723</v>
      </c>
      <c r="P815" s="277">
        <f t="shared" si="23"/>
        <v>101299</v>
      </c>
      <c r="Q815" s="277">
        <f t="shared" si="23"/>
        <v>26585</v>
      </c>
      <c r="R815" s="277">
        <f t="shared" si="23"/>
        <v>26191</v>
      </c>
      <c r="S815" s="277">
        <f t="shared" si="23"/>
        <v>238040</v>
      </c>
      <c r="T815" s="281">
        <f t="shared" si="23"/>
        <v>65.570000000000007</v>
      </c>
      <c r="U815" s="277">
        <f t="shared" si="23"/>
        <v>1657357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17658763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197.16999999999996</v>
      </c>
      <c r="D816" s="277">
        <f>CE61</f>
        <v>17237390.149999999</v>
      </c>
      <c r="E816" s="277">
        <f>CE62</f>
        <v>4277399</v>
      </c>
      <c r="F816" s="277">
        <f>CE63</f>
        <v>3375216.96</v>
      </c>
      <c r="G816" s="277">
        <f>CE64</f>
        <v>6047381.0299999984</v>
      </c>
      <c r="H816" s="280">
        <f>CE65</f>
        <v>465130.27999999991</v>
      </c>
      <c r="I816" s="280">
        <f>CE66</f>
        <v>11034090.234637706</v>
      </c>
      <c r="J816" s="280">
        <f>CE67</f>
        <v>3663894</v>
      </c>
      <c r="K816" s="280">
        <f>CE68</f>
        <v>183571.91</v>
      </c>
      <c r="L816" s="280">
        <f>CE69</f>
        <v>2166767.96</v>
      </c>
      <c r="M816" s="280">
        <f>CE70</f>
        <v>-137665.51999999996</v>
      </c>
      <c r="N816" s="277">
        <f>CE75</f>
        <v>212643839.96000004</v>
      </c>
      <c r="O816" s="277">
        <f>CE73</f>
        <v>66090722.380000003</v>
      </c>
      <c r="P816" s="277">
        <f>CE76</f>
        <v>101299</v>
      </c>
      <c r="Q816" s="277">
        <f>CE77</f>
        <v>26585</v>
      </c>
      <c r="R816" s="277">
        <f>CE78</f>
        <v>26191</v>
      </c>
      <c r="S816" s="277">
        <f>CE79</f>
        <v>238040</v>
      </c>
      <c r="T816" s="281">
        <f>CE80</f>
        <v>65.570000000000007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17658760.798228506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17237390.149999999</v>
      </c>
      <c r="E817" s="180">
        <f>C379</f>
        <v>4277398.7699999996</v>
      </c>
      <c r="F817" s="180">
        <f>C380</f>
        <v>3375216.96</v>
      </c>
      <c r="G817" s="240">
        <f>C381</f>
        <v>6047381.0300000003</v>
      </c>
      <c r="H817" s="240">
        <f>C382</f>
        <v>465130.28</v>
      </c>
      <c r="I817" s="240">
        <f>C383</f>
        <v>11034089.51</v>
      </c>
      <c r="J817" s="240">
        <f>C384</f>
        <v>3663895.12</v>
      </c>
      <c r="K817" s="240">
        <f>C385</f>
        <v>183571.91</v>
      </c>
      <c r="L817" s="240">
        <f>C386+C387+C388+C389</f>
        <v>2166768.3699999964</v>
      </c>
      <c r="M817" s="240">
        <f>C370</f>
        <v>-137665.51999999999</v>
      </c>
      <c r="N817" s="180">
        <f>D361</f>
        <v>212643839.95999998</v>
      </c>
      <c r="O817" s="180">
        <f>C359</f>
        <v>66090722.380000003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7" workbookViewId="0">
      <selection activeCell="E72" sqref="E72"/>
    </sheetView>
  </sheetViews>
  <sheetFormatPr defaultRowHeight="15" x14ac:dyDescent="0.25"/>
  <cols>
    <col min="1" max="1" width="18.6640625" style="297" customWidth="1"/>
    <col min="2" max="2" width="18.6640625" style="296" customWidth="1"/>
    <col min="3" max="3" width="19" style="296" customWidth="1"/>
    <col min="4" max="4" width="18.08203125" customWidth="1"/>
    <col min="5" max="5" width="18.6640625" style="297" customWidth="1"/>
    <col min="6" max="6" width="18.6640625" style="296" customWidth="1"/>
    <col min="7" max="7" width="19" style="296" customWidth="1"/>
  </cols>
  <sheetData>
    <row r="1" spans="1:7" x14ac:dyDescent="0.25">
      <c r="A1" s="297" t="s">
        <v>1323</v>
      </c>
      <c r="B1" s="296" t="s">
        <v>1324</v>
      </c>
      <c r="C1" s="296" t="s">
        <v>1322</v>
      </c>
      <c r="E1" s="297" t="s">
        <v>1323</v>
      </c>
      <c r="F1" s="296" t="s">
        <v>1324</v>
      </c>
      <c r="G1" s="296" t="s">
        <v>1322</v>
      </c>
    </row>
    <row r="2" spans="1:7" x14ac:dyDescent="0.25">
      <c r="A2" s="297">
        <v>6070</v>
      </c>
      <c r="B2" s="296" t="s">
        <v>665</v>
      </c>
      <c r="C2" s="296">
        <v>133373.12025000001</v>
      </c>
      <c r="E2" s="297">
        <v>6070</v>
      </c>
      <c r="F2" s="296" t="s">
        <v>665</v>
      </c>
      <c r="G2" s="296">
        <v>149867.68025</v>
      </c>
    </row>
    <row r="3" spans="1:7" x14ac:dyDescent="0.25">
      <c r="A3" s="297">
        <v>6120</v>
      </c>
      <c r="B3" s="296" t="s">
        <v>1325</v>
      </c>
      <c r="C3" s="296">
        <v>11978.464750000001</v>
      </c>
      <c r="E3" s="297">
        <v>6120</v>
      </c>
      <c r="F3" s="296" t="s">
        <v>1325</v>
      </c>
      <c r="G3" s="296">
        <v>11978.464750000001</v>
      </c>
    </row>
    <row r="4" spans="1:7" x14ac:dyDescent="0.25">
      <c r="A4" s="297">
        <v>7010</v>
      </c>
      <c r="B4" s="296" t="s">
        <v>1297</v>
      </c>
      <c r="C4" s="296">
        <v>60072.05</v>
      </c>
      <c r="E4" s="297">
        <v>7010</v>
      </c>
      <c r="F4" s="296" t="s">
        <v>1297</v>
      </c>
      <c r="G4" s="296">
        <v>64099.780000000006</v>
      </c>
    </row>
    <row r="5" spans="1:7" x14ac:dyDescent="0.25">
      <c r="A5" s="297">
        <v>7020</v>
      </c>
      <c r="B5" s="296" t="s">
        <v>1298</v>
      </c>
      <c r="C5" s="296">
        <v>219766.65149999998</v>
      </c>
      <c r="E5" s="297">
        <v>7020</v>
      </c>
      <c r="F5" s="296" t="s">
        <v>1298</v>
      </c>
      <c r="G5" s="296">
        <v>377754.8015</v>
      </c>
    </row>
    <row r="6" spans="1:7" x14ac:dyDescent="0.25">
      <c r="A6" s="297">
        <v>7030</v>
      </c>
      <c r="B6" s="296" t="s">
        <v>106</v>
      </c>
      <c r="C6" s="296">
        <v>10167.469999999998</v>
      </c>
      <c r="E6" s="297">
        <v>7030</v>
      </c>
      <c r="F6" s="296" t="s">
        <v>106</v>
      </c>
      <c r="G6" s="296">
        <v>10167.469999999998</v>
      </c>
    </row>
    <row r="7" spans="1:7" x14ac:dyDescent="0.25">
      <c r="A7" s="297">
        <v>7040</v>
      </c>
      <c r="B7" s="296" t="s">
        <v>1195</v>
      </c>
      <c r="C7" s="296">
        <v>18997.919999999998</v>
      </c>
      <c r="E7" s="297">
        <v>7040</v>
      </c>
      <c r="F7" s="296" t="s">
        <v>1195</v>
      </c>
      <c r="G7" s="296">
        <v>18997.919999999998</v>
      </c>
    </row>
    <row r="8" spans="1:7" x14ac:dyDescent="0.25">
      <c r="A8" s="297">
        <v>7050</v>
      </c>
      <c r="B8" s="296" t="s">
        <v>1299</v>
      </c>
      <c r="C8" s="296">
        <v>1499.1054452499993</v>
      </c>
      <c r="E8" s="297">
        <v>7050</v>
      </c>
      <c r="F8" s="296" t="s">
        <v>1299</v>
      </c>
      <c r="G8" s="296">
        <v>1877.8854452499993</v>
      </c>
    </row>
    <row r="9" spans="1:7" x14ac:dyDescent="0.25">
      <c r="A9" s="297">
        <v>7060</v>
      </c>
      <c r="B9" s="296" t="s">
        <v>1300</v>
      </c>
      <c r="C9" s="296">
        <v>21561.998500000002</v>
      </c>
      <c r="E9" s="297">
        <v>7060</v>
      </c>
      <c r="F9" s="296" t="s">
        <v>1300</v>
      </c>
      <c r="G9" s="296">
        <v>21561.998500000002</v>
      </c>
    </row>
    <row r="10" spans="1:7" x14ac:dyDescent="0.25">
      <c r="A10" s="297">
        <v>7070</v>
      </c>
      <c r="B10" s="296" t="s">
        <v>1301</v>
      </c>
      <c r="C10" s="296">
        <v>295561.58999999997</v>
      </c>
      <c r="E10" s="297">
        <v>7070</v>
      </c>
      <c r="F10" s="296" t="s">
        <v>1301</v>
      </c>
      <c r="G10" s="296">
        <v>295653.44999999995</v>
      </c>
    </row>
    <row r="11" spans="1:7" x14ac:dyDescent="0.25">
      <c r="A11" s="297">
        <v>7120</v>
      </c>
      <c r="B11" s="296" t="s">
        <v>1302</v>
      </c>
      <c r="C11" s="296">
        <v>134669.01</v>
      </c>
      <c r="E11" s="297">
        <v>7120</v>
      </c>
      <c r="F11" s="296" t="s">
        <v>1302</v>
      </c>
      <c r="G11" s="296">
        <v>134669.01</v>
      </c>
    </row>
    <row r="12" spans="1:7" x14ac:dyDescent="0.25">
      <c r="A12" s="297">
        <v>7130</v>
      </c>
      <c r="B12" s="296" t="s">
        <v>1303</v>
      </c>
      <c r="C12" s="296">
        <v>101234.34999999999</v>
      </c>
      <c r="E12" s="297">
        <v>7130</v>
      </c>
      <c r="F12" s="296" t="s">
        <v>1303</v>
      </c>
      <c r="G12" s="296">
        <v>101234.34999999999</v>
      </c>
    </row>
    <row r="13" spans="1:7" x14ac:dyDescent="0.25">
      <c r="A13" s="297">
        <v>7140</v>
      </c>
      <c r="B13" s="296" t="s">
        <v>1304</v>
      </c>
      <c r="C13" s="296">
        <v>158235</v>
      </c>
      <c r="E13" s="297">
        <v>7140</v>
      </c>
      <c r="F13" s="296" t="s">
        <v>1304</v>
      </c>
      <c r="G13" s="296">
        <v>158235</v>
      </c>
    </row>
    <row r="14" spans="1:7" x14ac:dyDescent="0.25">
      <c r="A14" s="297">
        <v>7160</v>
      </c>
      <c r="B14" s="296" t="s">
        <v>1305</v>
      </c>
      <c r="C14" s="296">
        <v>21442.89</v>
      </c>
      <c r="E14" s="297">
        <v>7160</v>
      </c>
      <c r="F14" s="296" t="s">
        <v>1305</v>
      </c>
      <c r="G14" s="296">
        <v>21442.89</v>
      </c>
    </row>
    <row r="15" spans="1:7" x14ac:dyDescent="0.25">
      <c r="A15" s="297">
        <v>7170</v>
      </c>
      <c r="B15" s="296" t="s">
        <v>115</v>
      </c>
      <c r="C15" s="296">
        <v>90931.54</v>
      </c>
      <c r="E15" s="297">
        <v>7170</v>
      </c>
      <c r="F15" s="296" t="s">
        <v>115</v>
      </c>
      <c r="G15" s="296">
        <v>91188.98</v>
      </c>
    </row>
    <row r="16" spans="1:7" x14ac:dyDescent="0.25">
      <c r="A16" s="297">
        <v>7180</v>
      </c>
      <c r="B16" s="296" t="s">
        <v>1306</v>
      </c>
      <c r="C16" s="296">
        <v>213.04</v>
      </c>
      <c r="E16" s="297">
        <v>7180</v>
      </c>
      <c r="F16" s="296" t="s">
        <v>1306</v>
      </c>
      <c r="G16" s="296">
        <v>458.7</v>
      </c>
    </row>
    <row r="17" spans="1:7" x14ac:dyDescent="0.25">
      <c r="A17" s="297">
        <v>7200</v>
      </c>
      <c r="B17" s="296" t="s">
        <v>709</v>
      </c>
      <c r="C17" s="296">
        <v>129464.20999999998</v>
      </c>
      <c r="E17" s="297">
        <v>7200</v>
      </c>
      <c r="F17" s="296" t="s">
        <v>709</v>
      </c>
      <c r="G17" s="296">
        <v>129464.20999999998</v>
      </c>
    </row>
    <row r="18" spans="1:7" x14ac:dyDescent="0.25">
      <c r="A18" s="297">
        <v>7230</v>
      </c>
      <c r="B18" s="296" t="s">
        <v>118</v>
      </c>
      <c r="C18" s="296">
        <v>135340.46160000001</v>
      </c>
      <c r="E18" s="297">
        <v>7230</v>
      </c>
      <c r="F18" s="296" t="s">
        <v>118</v>
      </c>
      <c r="G18" s="296">
        <v>138003.81160000002</v>
      </c>
    </row>
    <row r="19" spans="1:7" x14ac:dyDescent="0.25">
      <c r="A19" s="297">
        <v>7260</v>
      </c>
      <c r="B19" s="296" t="s">
        <v>121</v>
      </c>
      <c r="C19" s="296">
        <v>767141.36</v>
      </c>
      <c r="E19" s="297">
        <v>7260</v>
      </c>
      <c r="F19" s="296" t="s">
        <v>121</v>
      </c>
      <c r="G19" s="296">
        <v>1176950.7100000002</v>
      </c>
    </row>
    <row r="20" spans="1:7" x14ac:dyDescent="0.25">
      <c r="A20" s="297">
        <v>7310</v>
      </c>
      <c r="B20" s="296" t="s">
        <v>719</v>
      </c>
      <c r="C20" s="296">
        <v>66540.460000000006</v>
      </c>
      <c r="E20" s="297">
        <v>7310</v>
      </c>
      <c r="F20" s="296" t="s">
        <v>719</v>
      </c>
      <c r="G20" s="296">
        <v>66540.460000000006</v>
      </c>
    </row>
    <row r="21" spans="1:7" x14ac:dyDescent="0.25">
      <c r="A21" s="297">
        <v>7320</v>
      </c>
      <c r="B21" s="296" t="s">
        <v>721</v>
      </c>
      <c r="C21" s="296">
        <v>21219.3</v>
      </c>
      <c r="E21" s="297">
        <v>7320</v>
      </c>
      <c r="F21" s="296" t="s">
        <v>721</v>
      </c>
      <c r="G21" s="296">
        <v>21219.3</v>
      </c>
    </row>
    <row r="22" spans="1:7" x14ac:dyDescent="0.25">
      <c r="A22" s="297">
        <v>7490</v>
      </c>
      <c r="B22" s="296" t="s">
        <v>1307</v>
      </c>
      <c r="C22" s="296">
        <v>230421.08142</v>
      </c>
      <c r="E22" s="297">
        <v>7490</v>
      </c>
      <c r="F22" s="296" t="s">
        <v>1307</v>
      </c>
      <c r="G22" s="296">
        <v>230421.08142</v>
      </c>
    </row>
    <row r="23" spans="1:7" x14ac:dyDescent="0.25">
      <c r="A23" s="297">
        <v>8310</v>
      </c>
      <c r="B23" s="296" t="s">
        <v>1308</v>
      </c>
      <c r="C23" s="296">
        <v>19488.455999999998</v>
      </c>
      <c r="E23" s="297">
        <v>8310</v>
      </c>
      <c r="F23" s="296" t="s">
        <v>1308</v>
      </c>
      <c r="G23" s="296">
        <v>19488.455999999998</v>
      </c>
    </row>
    <row r="24" spans="1:7" x14ac:dyDescent="0.25">
      <c r="A24" s="297">
        <v>8320</v>
      </c>
      <c r="B24" s="296" t="s">
        <v>135</v>
      </c>
      <c r="C24" s="296">
        <v>299705.88</v>
      </c>
      <c r="E24" s="297">
        <v>8320</v>
      </c>
      <c r="F24" s="296" t="s">
        <v>135</v>
      </c>
      <c r="G24" s="296">
        <v>314824.19</v>
      </c>
    </row>
    <row r="25" spans="1:7" x14ac:dyDescent="0.25">
      <c r="A25" s="297">
        <v>8430</v>
      </c>
      <c r="B25" s="296" t="s">
        <v>140</v>
      </c>
      <c r="C25" s="296">
        <v>1351180.2719999999</v>
      </c>
      <c r="E25" s="297">
        <v>8430</v>
      </c>
      <c r="F25" s="296" t="s">
        <v>140</v>
      </c>
      <c r="G25" s="296">
        <v>1715730.0719999997</v>
      </c>
    </row>
    <row r="26" spans="1:7" x14ac:dyDescent="0.25">
      <c r="A26" s="297">
        <v>8460</v>
      </c>
      <c r="B26" s="296" t="s">
        <v>141</v>
      </c>
      <c r="C26" s="296">
        <v>63613.720000000008</v>
      </c>
      <c r="E26" s="297">
        <v>8460</v>
      </c>
      <c r="F26" s="296" t="s">
        <v>141</v>
      </c>
      <c r="G26" s="296">
        <v>94333.430000000022</v>
      </c>
    </row>
    <row r="27" spans="1:7" x14ac:dyDescent="0.25">
      <c r="A27" s="297">
        <v>8470</v>
      </c>
      <c r="B27" s="296" t="s">
        <v>606</v>
      </c>
      <c r="C27" s="296">
        <v>83895.798250000007</v>
      </c>
      <c r="E27" s="297">
        <v>8470</v>
      </c>
      <c r="F27" s="296" t="s">
        <v>606</v>
      </c>
      <c r="G27" s="296">
        <v>83895.798250000007</v>
      </c>
    </row>
    <row r="28" spans="1:7" x14ac:dyDescent="0.25">
      <c r="A28" s="297">
        <v>8480</v>
      </c>
      <c r="B28" s="296" t="s">
        <v>637</v>
      </c>
      <c r="C28" s="296">
        <v>587995.48499999999</v>
      </c>
      <c r="E28" s="297">
        <v>8480</v>
      </c>
      <c r="F28" s="296" t="s">
        <v>637</v>
      </c>
      <c r="G28" s="296">
        <v>614012.13500000001</v>
      </c>
    </row>
    <row r="29" spans="1:7" x14ac:dyDescent="0.25">
      <c r="A29" s="297">
        <v>8490</v>
      </c>
      <c r="B29" s="296" t="s">
        <v>144</v>
      </c>
      <c r="C29" s="296">
        <v>0</v>
      </c>
      <c r="E29" s="297">
        <v>8490</v>
      </c>
      <c r="F29" s="296" t="s">
        <v>144</v>
      </c>
      <c r="G29" s="296">
        <v>0</v>
      </c>
    </row>
    <row r="30" spans="1:7" x14ac:dyDescent="0.25">
      <c r="A30" s="297">
        <v>8510</v>
      </c>
      <c r="B30" s="296" t="s">
        <v>145</v>
      </c>
      <c r="C30" s="296">
        <v>107480.22824999999</v>
      </c>
      <c r="E30" s="297">
        <v>8510</v>
      </c>
      <c r="F30" s="296" t="s">
        <v>145</v>
      </c>
      <c r="G30" s="296">
        <v>87264.259249999988</v>
      </c>
    </row>
    <row r="31" spans="1:7" x14ac:dyDescent="0.25">
      <c r="A31" s="297">
        <v>8530</v>
      </c>
      <c r="B31" s="296" t="s">
        <v>1309</v>
      </c>
      <c r="C31" s="296">
        <v>537598.21085347491</v>
      </c>
      <c r="E31" s="297">
        <v>8530</v>
      </c>
      <c r="F31" s="296" t="s">
        <v>1309</v>
      </c>
      <c r="G31" s="296">
        <v>557814.17985347495</v>
      </c>
    </row>
    <row r="32" spans="1:7" x14ac:dyDescent="0.25">
      <c r="A32" s="297">
        <v>8560</v>
      </c>
      <c r="B32" s="296" t="s">
        <v>147</v>
      </c>
      <c r="C32" s="296">
        <v>1505435.66738</v>
      </c>
      <c r="E32" s="297">
        <v>8560</v>
      </c>
      <c r="F32" s="296" t="s">
        <v>147</v>
      </c>
      <c r="G32" s="296">
        <v>1505435.66738</v>
      </c>
    </row>
    <row r="33" spans="1:7" x14ac:dyDescent="0.25">
      <c r="A33" s="297">
        <v>8610</v>
      </c>
      <c r="B33" s="296" t="s">
        <v>193</v>
      </c>
      <c r="C33" s="296">
        <v>652087.38946362503</v>
      </c>
      <c r="E33" s="297">
        <v>8610</v>
      </c>
      <c r="F33" s="296" t="s">
        <v>193</v>
      </c>
      <c r="G33" s="296">
        <v>635143.1647136251</v>
      </c>
    </row>
    <row r="34" spans="1:7" x14ac:dyDescent="0.25">
      <c r="A34" s="297">
        <v>8620</v>
      </c>
      <c r="B34" s="296" t="s">
        <v>1310</v>
      </c>
      <c r="C34" s="296">
        <v>63607.626500000006</v>
      </c>
      <c r="E34" s="297">
        <v>8620</v>
      </c>
      <c r="F34" s="296" t="s">
        <v>1310</v>
      </c>
      <c r="G34" s="296">
        <v>63607.626500000006</v>
      </c>
    </row>
    <row r="35" spans="1:7" x14ac:dyDescent="0.25">
      <c r="A35" s="297">
        <v>8630</v>
      </c>
      <c r="B35" s="296" t="s">
        <v>1316</v>
      </c>
      <c r="C35" s="296">
        <v>335208.30449999997</v>
      </c>
      <c r="E35" s="297">
        <v>8630</v>
      </c>
      <c r="F35" s="296" t="s">
        <v>1316</v>
      </c>
      <c r="G35" s="296">
        <v>335208.30449999997</v>
      </c>
    </row>
    <row r="36" spans="1:7" x14ac:dyDescent="0.25">
      <c r="A36" s="297">
        <v>8650</v>
      </c>
      <c r="B36" s="296" t="s">
        <v>152</v>
      </c>
      <c r="C36" s="296">
        <v>214014.21275000001</v>
      </c>
      <c r="E36" s="297">
        <v>8650</v>
      </c>
      <c r="F36" s="296" t="s">
        <v>152</v>
      </c>
      <c r="G36" s="296">
        <v>214014.21275000001</v>
      </c>
    </row>
    <row r="37" spans="1:7" x14ac:dyDescent="0.25">
      <c r="A37" s="297">
        <v>8660</v>
      </c>
      <c r="B37" s="296" t="s">
        <v>1311</v>
      </c>
      <c r="C37" s="296">
        <v>17575.629749999996</v>
      </c>
      <c r="E37" s="297">
        <v>8660</v>
      </c>
      <c r="F37" s="296" t="s">
        <v>1311</v>
      </c>
      <c r="G37" s="296">
        <v>17575.629749999996</v>
      </c>
    </row>
    <row r="38" spans="1:7" x14ac:dyDescent="0.25">
      <c r="A38" s="297">
        <v>8670</v>
      </c>
      <c r="B38" s="296" t="s">
        <v>154</v>
      </c>
      <c r="C38" s="296">
        <v>30091.622249999997</v>
      </c>
      <c r="E38" s="297">
        <v>8670</v>
      </c>
      <c r="F38" s="296" t="s">
        <v>154</v>
      </c>
      <c r="G38" s="296">
        <v>30091.622249999997</v>
      </c>
    </row>
    <row r="39" spans="1:7" x14ac:dyDescent="0.25">
      <c r="A39" s="297">
        <v>8680</v>
      </c>
      <c r="B39" s="296" t="s">
        <v>646</v>
      </c>
      <c r="C39" s="296">
        <v>10482.752750000003</v>
      </c>
      <c r="E39" s="297">
        <v>8680</v>
      </c>
      <c r="F39" s="296" t="s">
        <v>646</v>
      </c>
      <c r="G39" s="296">
        <v>10482.752750000003</v>
      </c>
    </row>
    <row r="40" spans="1:7" x14ac:dyDescent="0.25">
      <c r="A40" s="297">
        <v>8690</v>
      </c>
      <c r="B40" s="296" t="s">
        <v>648</v>
      </c>
      <c r="C40" s="296">
        <v>767035.98836307495</v>
      </c>
      <c r="E40" s="297">
        <v>8690</v>
      </c>
      <c r="F40" s="296" t="s">
        <v>648</v>
      </c>
      <c r="G40" s="296">
        <v>767035.98836307495</v>
      </c>
    </row>
    <row r="41" spans="1:7" x14ac:dyDescent="0.25">
      <c r="A41" s="297">
        <v>8700</v>
      </c>
      <c r="B41" s="296" t="s">
        <v>650</v>
      </c>
      <c r="C41" s="296">
        <v>137508.445706375</v>
      </c>
      <c r="E41" s="297">
        <v>8700</v>
      </c>
      <c r="F41" s="296" t="s">
        <v>650</v>
      </c>
      <c r="G41" s="296">
        <v>154452.670456375</v>
      </c>
    </row>
    <row r="42" spans="1:7" x14ac:dyDescent="0.25">
      <c r="A42" s="297">
        <v>8710</v>
      </c>
      <c r="B42" s="296" t="s">
        <v>1312</v>
      </c>
      <c r="C42" s="296">
        <v>798463.59161359991</v>
      </c>
      <c r="E42" s="297">
        <v>8710</v>
      </c>
      <c r="F42" s="296" t="s">
        <v>1312</v>
      </c>
      <c r="G42" s="296">
        <v>798463.59161359991</v>
      </c>
    </row>
    <row r="43" spans="1:7" x14ac:dyDescent="0.25">
      <c r="A43" s="297">
        <v>8720</v>
      </c>
      <c r="B43" s="296" t="s">
        <v>1313</v>
      </c>
      <c r="C43" s="296">
        <v>28829.389150000003</v>
      </c>
      <c r="E43" s="297">
        <v>8720</v>
      </c>
      <c r="F43" s="296" t="s">
        <v>1313</v>
      </c>
      <c r="G43" s="296">
        <v>28829.389150000003</v>
      </c>
    </row>
    <row r="44" spans="1:7" x14ac:dyDescent="0.25">
      <c r="A44" s="297">
        <v>8740</v>
      </c>
      <c r="B44" s="296" t="s">
        <v>201</v>
      </c>
      <c r="C44" s="296">
        <v>93033.581999999995</v>
      </c>
      <c r="E44" s="297">
        <v>8740</v>
      </c>
      <c r="F44" s="296" t="s">
        <v>201</v>
      </c>
      <c r="G44" s="296">
        <v>93033.581999999995</v>
      </c>
    </row>
    <row r="45" spans="1:7" x14ac:dyDescent="0.25">
      <c r="A45" s="297">
        <v>8770</v>
      </c>
      <c r="B45" s="296" t="s">
        <v>1314</v>
      </c>
      <c r="C45" s="296">
        <v>11254.406750000002</v>
      </c>
      <c r="E45" s="297">
        <v>8770</v>
      </c>
      <c r="F45" s="296" t="s">
        <v>1314</v>
      </c>
      <c r="G45" s="296">
        <v>11254.406750000002</v>
      </c>
    </row>
    <row r="46" spans="1:7" x14ac:dyDescent="0.25">
      <c r="A46" s="297">
        <v>8790</v>
      </c>
      <c r="B46" s="296" t="s">
        <v>1315</v>
      </c>
      <c r="C46" s="296">
        <v>7454.3632049000007</v>
      </c>
      <c r="E46" s="297">
        <v>8790</v>
      </c>
      <c r="F46" s="296" t="s">
        <v>1315</v>
      </c>
      <c r="G46" s="296">
        <v>7454.3632049000007</v>
      </c>
    </row>
    <row r="47" spans="1:7" x14ac:dyDescent="0.25">
      <c r="A47" s="297">
        <v>8900</v>
      </c>
      <c r="B47" s="296" t="s">
        <v>211</v>
      </c>
      <c r="C47" s="296">
        <v>1786218.5125496988</v>
      </c>
      <c r="E47" s="297">
        <v>8900</v>
      </c>
      <c r="F47" s="296" t="s">
        <v>211</v>
      </c>
      <c r="G47" s="296">
        <v>5251964.6125496989</v>
      </c>
    </row>
    <row r="48" spans="1:7" x14ac:dyDescent="0.25">
      <c r="A48" s="297">
        <v>7050</v>
      </c>
      <c r="B48" s="296" t="s">
        <v>689</v>
      </c>
      <c r="C48" s="296">
        <v>47577.671499999997</v>
      </c>
      <c r="G48" s="296">
        <v>16633198.058499999</v>
      </c>
    </row>
    <row r="49" spans="1:7" x14ac:dyDescent="0.25">
      <c r="A49" s="297" t="s">
        <v>1317</v>
      </c>
      <c r="B49" s="296" t="s">
        <v>1318</v>
      </c>
      <c r="C49" s="296">
        <f>SUM(C2:C48)</f>
        <v>12186668.279999996</v>
      </c>
      <c r="G49" s="296">
        <f>+data!CE66</f>
        <v>16412216.085950296</v>
      </c>
    </row>
    <row r="50" spans="1:7" x14ac:dyDescent="0.25">
      <c r="G50" s="296">
        <f>+G48-G49</f>
        <v>220981.97254970297</v>
      </c>
    </row>
    <row r="52" spans="1:7" x14ac:dyDescent="0.25">
      <c r="A52" s="297" t="s">
        <v>442</v>
      </c>
      <c r="B52" s="296" t="s">
        <v>256</v>
      </c>
      <c r="C52" s="296">
        <v>29986331.080000002</v>
      </c>
    </row>
    <row r="53" spans="1:7" x14ac:dyDescent="0.25">
      <c r="A53" s="297" t="s">
        <v>3</v>
      </c>
      <c r="B53" s="296" t="s">
        <v>256</v>
      </c>
      <c r="C53" s="296">
        <v>6727149.8600000003</v>
      </c>
    </row>
    <row r="54" spans="1:7" x14ac:dyDescent="0.25">
      <c r="A54" s="297" t="s">
        <v>236</v>
      </c>
      <c r="B54" s="296" t="s">
        <v>256</v>
      </c>
      <c r="C54" s="296">
        <v>2540556.7799999998</v>
      </c>
    </row>
    <row r="55" spans="1:7" x14ac:dyDescent="0.25">
      <c r="A55" s="297" t="s">
        <v>443</v>
      </c>
      <c r="B55" s="296" t="s">
        <v>256</v>
      </c>
      <c r="C55" s="296">
        <v>6312024.7300000004</v>
      </c>
    </row>
    <row r="56" spans="1:7" x14ac:dyDescent="0.25">
      <c r="A56" s="297" t="s">
        <v>444</v>
      </c>
      <c r="B56" s="296" t="s">
        <v>256</v>
      </c>
      <c r="C56" s="296">
        <v>556384.34</v>
      </c>
    </row>
    <row r="57" spans="1:7" x14ac:dyDescent="0.25">
      <c r="A57" s="297" t="s">
        <v>445</v>
      </c>
      <c r="B57" s="296" t="s">
        <v>256</v>
      </c>
      <c r="C57" s="296">
        <v>12186668.279999999</v>
      </c>
    </row>
    <row r="58" spans="1:7" x14ac:dyDescent="0.25">
      <c r="A58" s="297" t="s">
        <v>6</v>
      </c>
      <c r="B58" s="296" t="s">
        <v>256</v>
      </c>
      <c r="C58" s="296">
        <v>4372880.93</v>
      </c>
    </row>
    <row r="59" spans="1:7" x14ac:dyDescent="0.25">
      <c r="A59" s="297" t="s">
        <v>446</v>
      </c>
      <c r="B59" s="296" t="s">
        <v>256</v>
      </c>
      <c r="C59" s="296">
        <v>1577340.96</v>
      </c>
    </row>
    <row r="60" spans="1:7" x14ac:dyDescent="0.25">
      <c r="A60" s="297" t="s">
        <v>447</v>
      </c>
      <c r="B60" s="296" t="s">
        <v>256</v>
      </c>
      <c r="C60" s="296">
        <v>548964.32999999996</v>
      </c>
    </row>
    <row r="61" spans="1:7" x14ac:dyDescent="0.25">
      <c r="A61" s="297" t="s">
        <v>448</v>
      </c>
      <c r="B61" s="296" t="s">
        <v>256</v>
      </c>
      <c r="C61" s="296">
        <v>804292.09</v>
      </c>
    </row>
    <row r="62" spans="1:7" x14ac:dyDescent="0.25">
      <c r="A62" s="297" t="s">
        <v>449</v>
      </c>
      <c r="B62" s="296" t="s">
        <v>256</v>
      </c>
      <c r="C62" s="296">
        <v>168246.18</v>
      </c>
    </row>
    <row r="63" spans="1:7" x14ac:dyDescent="0.25">
      <c r="A63" s="297" t="s">
        <v>451</v>
      </c>
      <c r="B63" s="296" t="s">
        <v>256</v>
      </c>
      <c r="C63" s="296">
        <v>4690443.9399999976</v>
      </c>
    </row>
    <row r="64" spans="1:7" x14ac:dyDescent="0.25">
      <c r="A64" s="297" t="s">
        <v>452</v>
      </c>
      <c r="D64">
        <v>70471283.5</v>
      </c>
    </row>
    <row r="65" spans="1:5" x14ac:dyDescent="0.25">
      <c r="A65" s="297" t="s">
        <v>453</v>
      </c>
      <c r="D65">
        <v>6064647.599999994</v>
      </c>
    </row>
    <row r="66" spans="1:5" x14ac:dyDescent="0.25">
      <c r="A66" s="297" t="s">
        <v>454</v>
      </c>
      <c r="B66" s="296" t="s">
        <v>256</v>
      </c>
      <c r="C66" s="296">
        <v>3333547.17</v>
      </c>
    </row>
    <row r="67" spans="1:5" x14ac:dyDescent="0.25">
      <c r="A67" s="297" t="s">
        <v>455</v>
      </c>
      <c r="D67">
        <v>9398194.769999994</v>
      </c>
    </row>
    <row r="68" spans="1:5" x14ac:dyDescent="0.25">
      <c r="A68" s="297" t="s">
        <v>456</v>
      </c>
      <c r="B68" s="296" t="s">
        <v>256</v>
      </c>
    </row>
    <row r="69" spans="1:5" x14ac:dyDescent="0.25">
      <c r="A69" s="297" t="s">
        <v>457</v>
      </c>
      <c r="B69" s="296" t="s">
        <v>256</v>
      </c>
    </row>
    <row r="70" spans="1:5" x14ac:dyDescent="0.25">
      <c r="A70" s="297" t="s">
        <v>458</v>
      </c>
      <c r="D70">
        <v>9398194.769999994</v>
      </c>
    </row>
    <row r="71" spans="1:5" x14ac:dyDescent="0.25">
      <c r="D71">
        <v>4951664.9914999884</v>
      </c>
    </row>
    <row r="72" spans="1:5" x14ac:dyDescent="0.25">
      <c r="D72">
        <f>+D70-D71</f>
        <v>4446529.7785000056</v>
      </c>
      <c r="E72" s="298">
        <f>+C63-D72</f>
        <v>243914.16149999201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61"/>
  <sheetViews>
    <sheetView zoomScale="70" zoomScaleNormal="70" workbookViewId="0">
      <pane xSplit="1" ySplit="3" topLeftCell="M16" activePane="bottomRight" state="frozen"/>
      <selection activeCell="E88" sqref="E88:F127"/>
      <selection pane="topRight" activeCell="E88" sqref="E88:F127"/>
      <selection pane="bottomLeft" activeCell="E88" sqref="E88:F127"/>
      <selection pane="bottomRight" activeCell="R51" sqref="R51"/>
    </sheetView>
  </sheetViews>
  <sheetFormatPr defaultColWidth="8.9140625" defaultRowHeight="15" x14ac:dyDescent="0.25"/>
  <cols>
    <col min="1" max="1" width="18.58203125" style="287" bestFit="1" customWidth="1"/>
    <col min="2" max="2" width="18.58203125" style="7" customWidth="1"/>
    <col min="3" max="3" width="28.75" style="286" bestFit="1" customWidth="1"/>
    <col min="4" max="4" width="29.58203125" style="286" bestFit="1" customWidth="1"/>
    <col min="5" max="5" width="23.6640625" style="286" bestFit="1" customWidth="1"/>
    <col min="6" max="6" width="27.75" style="286" bestFit="1" customWidth="1"/>
    <col min="7" max="7" width="26" style="286" bestFit="1" customWidth="1"/>
    <col min="8" max="8" width="24.08203125" style="286" bestFit="1" customWidth="1"/>
    <col min="9" max="9" width="22.4140625" style="286" bestFit="1" customWidth="1"/>
    <col min="10" max="10" width="19.33203125" style="286" bestFit="1" customWidth="1"/>
    <col min="11" max="11" width="19" style="286" bestFit="1" customWidth="1"/>
    <col min="12" max="12" width="23.6640625" style="286" bestFit="1" customWidth="1"/>
    <col min="13" max="13" width="21.9140625" style="286" bestFit="1" customWidth="1"/>
    <col min="14" max="14" width="18.33203125" style="286" bestFit="1" customWidth="1"/>
    <col min="15" max="15" width="17.58203125" style="286" bestFit="1" customWidth="1"/>
    <col min="16" max="16" width="19" style="286" bestFit="1" customWidth="1"/>
    <col min="17" max="17" width="26.6640625" style="286" bestFit="1" customWidth="1"/>
    <col min="18" max="18" width="17" style="286" bestFit="1" customWidth="1"/>
    <col min="19" max="19" width="29.4140625" style="286" customWidth="1"/>
    <col min="20" max="20" width="25.25" style="286" bestFit="1" customWidth="1"/>
    <col min="21" max="21" width="18.58203125" style="286" bestFit="1" customWidth="1"/>
    <col min="22" max="16384" width="8.9140625" style="7"/>
  </cols>
  <sheetData>
    <row r="1" spans="1:22" s="292" customFormat="1" ht="15.6" x14ac:dyDescent="0.3">
      <c r="A1" s="292">
        <v>1</v>
      </c>
      <c r="B1" s="292">
        <v>2</v>
      </c>
      <c r="C1" s="292">
        <v>3</v>
      </c>
      <c r="D1" s="292">
        <v>4</v>
      </c>
      <c r="E1" s="292">
        <v>5</v>
      </c>
      <c r="F1" s="292">
        <v>6</v>
      </c>
      <c r="G1" s="292">
        <v>7</v>
      </c>
      <c r="H1" s="292">
        <v>8</v>
      </c>
      <c r="I1" s="292">
        <v>9</v>
      </c>
      <c r="J1" s="292">
        <v>10</v>
      </c>
      <c r="K1" s="292">
        <v>11</v>
      </c>
      <c r="L1" s="292">
        <v>12</v>
      </c>
      <c r="M1" s="292">
        <v>13</v>
      </c>
      <c r="N1" s="292">
        <v>14</v>
      </c>
      <c r="O1" s="292">
        <v>15</v>
      </c>
      <c r="P1" s="292">
        <v>16</v>
      </c>
      <c r="Q1" s="292">
        <v>17</v>
      </c>
      <c r="R1" s="292">
        <v>18</v>
      </c>
      <c r="S1" s="292">
        <v>19</v>
      </c>
      <c r="T1" s="292">
        <v>20</v>
      </c>
      <c r="U1" s="292">
        <v>21</v>
      </c>
    </row>
    <row r="3" spans="1:22" x14ac:dyDescent="0.25">
      <c r="A3" s="287" t="s">
        <v>1323</v>
      </c>
      <c r="B3" s="7" t="s">
        <v>1324</v>
      </c>
      <c r="C3" s="7" t="s">
        <v>1282</v>
      </c>
      <c r="D3" s="7" t="s">
        <v>1319</v>
      </c>
      <c r="E3" s="7" t="s">
        <v>1320</v>
      </c>
      <c r="F3" s="7" t="s">
        <v>1283</v>
      </c>
      <c r="G3" s="7" t="s">
        <v>1321</v>
      </c>
      <c r="H3" s="7" t="s">
        <v>1284</v>
      </c>
      <c r="I3" s="7" t="s">
        <v>1285</v>
      </c>
      <c r="J3" s="7" t="s">
        <v>1286</v>
      </c>
      <c r="K3" s="7" t="s">
        <v>1287</v>
      </c>
      <c r="L3" s="7" t="s">
        <v>1290</v>
      </c>
      <c r="M3" s="7" t="s">
        <v>1322</v>
      </c>
      <c r="N3" s="7" t="s">
        <v>1288</v>
      </c>
      <c r="O3" s="7" t="s">
        <v>1289</v>
      </c>
      <c r="P3" s="7" t="s">
        <v>1291</v>
      </c>
      <c r="Q3" s="7" t="s">
        <v>1292</v>
      </c>
      <c r="R3" s="294" t="s">
        <v>1293</v>
      </c>
      <c r="S3" s="7" t="s">
        <v>1294</v>
      </c>
      <c r="T3" s="7" t="s">
        <v>1295</v>
      </c>
      <c r="U3" s="7" t="s">
        <v>1296</v>
      </c>
      <c r="V3" s="288"/>
    </row>
    <row r="4" spans="1:22" x14ac:dyDescent="0.25">
      <c r="A4" s="287">
        <v>6070</v>
      </c>
      <c r="B4" s="7" t="s">
        <v>665</v>
      </c>
      <c r="C4" s="7">
        <v>16994767.060000002</v>
      </c>
      <c r="D4" s="7"/>
      <c r="E4" s="7">
        <v>3435680.12</v>
      </c>
      <c r="F4" s="7">
        <v>20430447.180000003</v>
      </c>
      <c r="G4" s="7">
        <v>20430447.180000003</v>
      </c>
      <c r="H4" s="7">
        <v>3000</v>
      </c>
      <c r="I4" s="7">
        <v>20433447.180000003</v>
      </c>
      <c r="J4" s="7">
        <v>3564840.48</v>
      </c>
      <c r="K4" s="7">
        <v>896963.07</v>
      </c>
      <c r="L4" s="7">
        <v>0</v>
      </c>
      <c r="M4" s="7">
        <v>149867.68025</v>
      </c>
      <c r="N4" s="7">
        <v>220951.94</v>
      </c>
      <c r="O4" s="7">
        <v>887.86</v>
      </c>
      <c r="P4" s="7">
        <v>3508.5299999999997</v>
      </c>
      <c r="Q4" s="7">
        <v>87265.1</v>
      </c>
      <c r="R4" s="294">
        <v>14702.240000000002</v>
      </c>
      <c r="S4" s="7">
        <v>4938986.900249999</v>
      </c>
      <c r="T4" s="7">
        <v>0</v>
      </c>
      <c r="U4" s="7">
        <v>15494460.279749999</v>
      </c>
    </row>
    <row r="5" spans="1:22" x14ac:dyDescent="0.25">
      <c r="A5" s="287">
        <v>6120</v>
      </c>
      <c r="B5" s="7" t="s">
        <v>1325</v>
      </c>
      <c r="C5" s="7"/>
      <c r="D5" s="7"/>
      <c r="E5" s="7"/>
      <c r="F5" s="7"/>
      <c r="G5" s="7"/>
      <c r="H5" s="7"/>
      <c r="I5" s="7"/>
      <c r="J5" s="7"/>
      <c r="K5" s="7"/>
      <c r="L5" s="7"/>
      <c r="M5" s="7">
        <v>11978.464750000001</v>
      </c>
      <c r="N5" s="7"/>
      <c r="O5" s="7"/>
      <c r="P5" s="7"/>
      <c r="Q5" s="7"/>
      <c r="R5" s="294">
        <v>0</v>
      </c>
      <c r="S5" s="7">
        <v>11978.464750000001</v>
      </c>
      <c r="T5" s="7"/>
      <c r="U5" s="7">
        <v>-11978.464750000001</v>
      </c>
    </row>
    <row r="6" spans="1:22" x14ac:dyDescent="0.25">
      <c r="A6" s="287">
        <v>7010</v>
      </c>
      <c r="B6" s="7" t="s">
        <v>1297</v>
      </c>
      <c r="C6" s="7">
        <v>7312352.2300000004</v>
      </c>
      <c r="D6" s="7"/>
      <c r="E6" s="7">
        <v>443953.79000000004</v>
      </c>
      <c r="F6" s="7">
        <v>7756306.0200000005</v>
      </c>
      <c r="G6" s="7">
        <v>7756306.0200000005</v>
      </c>
      <c r="H6" s="7">
        <v>920</v>
      </c>
      <c r="I6" s="7">
        <v>7757226.0200000005</v>
      </c>
      <c r="J6" s="7">
        <v>1426262.6900000002</v>
      </c>
      <c r="K6" s="7">
        <v>324044.84999999998</v>
      </c>
      <c r="L6" s="7">
        <v>0</v>
      </c>
      <c r="M6" s="7">
        <v>64099.780000000006</v>
      </c>
      <c r="N6" s="7">
        <v>75735.47</v>
      </c>
      <c r="O6" s="7">
        <v>0</v>
      </c>
      <c r="P6" s="7">
        <v>1470.44</v>
      </c>
      <c r="Q6" s="7">
        <v>37465.44999999999</v>
      </c>
      <c r="R6" s="294">
        <v>9558.56</v>
      </c>
      <c r="S6" s="7">
        <v>1938637.24</v>
      </c>
      <c r="T6" s="7">
        <v>0</v>
      </c>
      <c r="U6" s="7">
        <v>5818588.7800000003</v>
      </c>
    </row>
    <row r="7" spans="1:22" x14ac:dyDescent="0.25">
      <c r="A7" s="287">
        <v>7020</v>
      </c>
      <c r="B7" s="7" t="s">
        <v>1298</v>
      </c>
      <c r="C7" s="7">
        <v>15708190.959999997</v>
      </c>
      <c r="D7" s="7"/>
      <c r="E7" s="7">
        <v>46637505.379999995</v>
      </c>
      <c r="F7" s="7">
        <v>62345696.339999996</v>
      </c>
      <c r="G7" s="7">
        <v>62345696.339999996</v>
      </c>
      <c r="H7" s="7">
        <v>0</v>
      </c>
      <c r="I7" s="7">
        <v>62345696.339999996</v>
      </c>
      <c r="J7" s="7">
        <v>2104301.21</v>
      </c>
      <c r="K7" s="7">
        <v>514981.86</v>
      </c>
      <c r="L7" s="7">
        <v>58348.560000000005</v>
      </c>
      <c r="M7" s="7">
        <v>377754.8015</v>
      </c>
      <c r="N7" s="7">
        <v>2812442.45</v>
      </c>
      <c r="O7" s="7">
        <v>1774.45</v>
      </c>
      <c r="P7" s="7">
        <v>19328.41</v>
      </c>
      <c r="Q7" s="7">
        <v>919369.71</v>
      </c>
      <c r="R7" s="294">
        <v>19381.240000000002</v>
      </c>
      <c r="S7" s="7">
        <v>6827682.6915000007</v>
      </c>
      <c r="T7" s="7">
        <v>0</v>
      </c>
      <c r="U7" s="7">
        <v>55518013.648500003</v>
      </c>
    </row>
    <row r="8" spans="1:22" x14ac:dyDescent="0.25">
      <c r="A8" s="287">
        <v>7030</v>
      </c>
      <c r="B8" s="7" t="s">
        <v>106</v>
      </c>
      <c r="C8" s="7">
        <v>1200513.04</v>
      </c>
      <c r="D8" s="7"/>
      <c r="E8" s="7">
        <v>5481051.959999999</v>
      </c>
      <c r="F8" s="7">
        <v>6681565</v>
      </c>
      <c r="G8" s="7">
        <v>6681565</v>
      </c>
      <c r="H8" s="7">
        <v>0</v>
      </c>
      <c r="I8" s="7">
        <v>6681565</v>
      </c>
      <c r="J8" s="7">
        <v>1158402.4500000002</v>
      </c>
      <c r="K8" s="7">
        <v>262429.13999999996</v>
      </c>
      <c r="L8" s="7">
        <v>0</v>
      </c>
      <c r="M8" s="7">
        <v>10167.469999999998</v>
      </c>
      <c r="N8" s="7">
        <v>60573.529999999992</v>
      </c>
      <c r="O8" s="7">
        <v>0</v>
      </c>
      <c r="P8" s="7">
        <v>1733.72</v>
      </c>
      <c r="Q8" s="7">
        <v>13092.63</v>
      </c>
      <c r="R8" s="294">
        <v>2879.92</v>
      </c>
      <c r="S8" s="7">
        <v>1509278.8599999999</v>
      </c>
      <c r="T8" s="7">
        <v>0</v>
      </c>
      <c r="U8" s="7">
        <v>5172286.1399999997</v>
      </c>
    </row>
    <row r="9" spans="1:22" x14ac:dyDescent="0.25">
      <c r="A9" s="287">
        <v>7040</v>
      </c>
      <c r="B9" s="7" t="s">
        <v>1195</v>
      </c>
      <c r="C9" s="7">
        <v>1475042.26</v>
      </c>
      <c r="D9" s="7"/>
      <c r="E9" s="7">
        <v>3812329.52</v>
      </c>
      <c r="F9" s="7">
        <v>5287371.7799999993</v>
      </c>
      <c r="G9" s="7">
        <v>5287371.7799999993</v>
      </c>
      <c r="H9" s="7">
        <v>0</v>
      </c>
      <c r="I9" s="7">
        <v>5287371.7799999993</v>
      </c>
      <c r="J9" s="7">
        <v>0</v>
      </c>
      <c r="K9" s="7">
        <v>0</v>
      </c>
      <c r="L9" s="7">
        <v>181895.50999999998</v>
      </c>
      <c r="M9" s="7">
        <v>18997.919999999998</v>
      </c>
      <c r="N9" s="7">
        <v>71345.959999999992</v>
      </c>
      <c r="O9" s="7">
        <v>0</v>
      </c>
      <c r="P9" s="7">
        <v>-95.78</v>
      </c>
      <c r="Q9" s="7">
        <v>2112.5700000000002</v>
      </c>
      <c r="R9" s="294">
        <v>0</v>
      </c>
      <c r="S9" s="7">
        <v>274256.1799999997</v>
      </c>
      <c r="T9" s="7">
        <v>0</v>
      </c>
      <c r="U9" s="7">
        <v>5013115.5999999996</v>
      </c>
    </row>
    <row r="10" spans="1:22" x14ac:dyDescent="0.25">
      <c r="A10" s="287">
        <v>7050</v>
      </c>
      <c r="B10" s="7" t="s">
        <v>1299</v>
      </c>
      <c r="C10" s="7">
        <v>0</v>
      </c>
      <c r="D10" s="7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288873.27999999997</v>
      </c>
      <c r="K10" s="7">
        <v>95200.609999999986</v>
      </c>
      <c r="L10" s="7">
        <v>0</v>
      </c>
      <c r="M10" s="7">
        <f>1877.88544525+47578</f>
        <v>49455.885445250002</v>
      </c>
      <c r="N10" s="7">
        <v>-62726.289999999994</v>
      </c>
      <c r="O10" s="7">
        <v>0</v>
      </c>
      <c r="P10" s="7">
        <v>1621.07</v>
      </c>
      <c r="Q10" s="7">
        <v>0</v>
      </c>
      <c r="R10" s="294">
        <v>1189.9299999999998</v>
      </c>
      <c r="S10" s="7">
        <f>326036.48544525+47577.67</f>
        <v>373614.15544524998</v>
      </c>
      <c r="T10" s="7">
        <v>0</v>
      </c>
      <c r="U10" s="7">
        <f>+-326036.48544525-47577.67</f>
        <v>-373614.15544524998</v>
      </c>
    </row>
    <row r="11" spans="1:22" x14ac:dyDescent="0.25">
      <c r="A11" s="287">
        <v>7060</v>
      </c>
      <c r="B11" s="7" t="s">
        <v>1300</v>
      </c>
      <c r="C11" s="7">
        <v>396494.5</v>
      </c>
      <c r="D11" s="7"/>
      <c r="E11" s="7">
        <v>34394.660000000003</v>
      </c>
      <c r="F11" s="7">
        <v>430889.16</v>
      </c>
      <c r="G11" s="7">
        <v>430889.16</v>
      </c>
      <c r="H11" s="7">
        <v>0</v>
      </c>
      <c r="I11" s="7">
        <v>430889.16</v>
      </c>
      <c r="J11" s="7">
        <v>23073.260000000002</v>
      </c>
      <c r="K11" s="7">
        <v>3765.3199999999997</v>
      </c>
      <c r="L11" s="7">
        <v>0</v>
      </c>
      <c r="M11" s="7">
        <v>21561.998500000002</v>
      </c>
      <c r="N11" s="7">
        <v>23841.649999999998</v>
      </c>
      <c r="O11" s="7">
        <v>0</v>
      </c>
      <c r="P11" s="7">
        <v>0</v>
      </c>
      <c r="Q11" s="7">
        <v>0</v>
      </c>
      <c r="R11" s="294">
        <v>0</v>
      </c>
      <c r="S11" s="7">
        <v>72242.228499999997</v>
      </c>
      <c r="T11" s="7">
        <v>0</v>
      </c>
      <c r="U11" s="7">
        <v>358646.93150000001</v>
      </c>
    </row>
    <row r="12" spans="1:22" x14ac:dyDescent="0.25">
      <c r="A12" s="287">
        <v>7070</v>
      </c>
      <c r="B12" s="7" t="s">
        <v>1301</v>
      </c>
      <c r="C12" s="7">
        <v>3759650.0199999996</v>
      </c>
      <c r="D12" s="7"/>
      <c r="E12" s="7">
        <v>8633801.7400000002</v>
      </c>
      <c r="F12" s="7">
        <v>12393451.76</v>
      </c>
      <c r="G12" s="7">
        <v>12393451.76</v>
      </c>
      <c r="H12" s="7">
        <v>43396.52</v>
      </c>
      <c r="I12" s="7">
        <v>12436848.280000001</v>
      </c>
      <c r="J12" s="7">
        <v>858415.46</v>
      </c>
      <c r="K12" s="7">
        <v>230741.17</v>
      </c>
      <c r="L12" s="7">
        <v>22327.32</v>
      </c>
      <c r="M12" s="7">
        <v>295653.44999999995</v>
      </c>
      <c r="N12" s="7">
        <v>491972.32999999996</v>
      </c>
      <c r="O12" s="7">
        <v>194.76</v>
      </c>
      <c r="P12" s="7">
        <v>69001.740000000005</v>
      </c>
      <c r="Q12" s="7">
        <v>28368.240000000002</v>
      </c>
      <c r="R12" s="294">
        <v>46034.03</v>
      </c>
      <c r="S12" s="7">
        <v>2042708.5</v>
      </c>
      <c r="T12" s="7">
        <v>0</v>
      </c>
      <c r="U12" s="7">
        <v>10394139.779999999</v>
      </c>
    </row>
    <row r="13" spans="1:22" x14ac:dyDescent="0.25">
      <c r="A13" s="287">
        <v>7120</v>
      </c>
      <c r="B13" s="7" t="s">
        <v>1302</v>
      </c>
      <c r="C13" s="7">
        <v>213265.9</v>
      </c>
      <c r="D13" s="7"/>
      <c r="E13" s="7">
        <v>2704707</v>
      </c>
      <c r="F13" s="7">
        <v>2917972.9000000004</v>
      </c>
      <c r="G13" s="7">
        <v>2917972.9000000004</v>
      </c>
      <c r="H13" s="7">
        <v>0</v>
      </c>
      <c r="I13" s="7">
        <v>2917972.9000000004</v>
      </c>
      <c r="J13" s="7">
        <v>209088.92000000004</v>
      </c>
      <c r="K13" s="7">
        <v>47067.520000000004</v>
      </c>
      <c r="L13" s="7">
        <v>2300</v>
      </c>
      <c r="M13" s="7">
        <v>134669.01</v>
      </c>
      <c r="N13" s="7">
        <v>14489.189999999999</v>
      </c>
      <c r="O13" s="7">
        <v>0</v>
      </c>
      <c r="P13" s="7">
        <v>0</v>
      </c>
      <c r="Q13" s="7">
        <v>164794.84999999998</v>
      </c>
      <c r="R13" s="294">
        <v>0</v>
      </c>
      <c r="S13" s="7">
        <v>572409.49</v>
      </c>
      <c r="T13" s="7">
        <v>0</v>
      </c>
      <c r="U13" s="7">
        <v>2345563.41</v>
      </c>
    </row>
    <row r="14" spans="1:22" x14ac:dyDescent="0.25">
      <c r="A14" s="287">
        <v>7130</v>
      </c>
      <c r="B14" s="7" t="s">
        <v>1303</v>
      </c>
      <c r="C14" s="7">
        <v>1226179.54</v>
      </c>
      <c r="D14" s="7"/>
      <c r="E14" s="7">
        <v>10823852.74</v>
      </c>
      <c r="F14" s="7">
        <v>12050032.279999999</v>
      </c>
      <c r="G14" s="7">
        <v>12050032.279999999</v>
      </c>
      <c r="H14" s="7">
        <v>0</v>
      </c>
      <c r="I14" s="7">
        <v>12050032.279999999</v>
      </c>
      <c r="J14" s="7">
        <v>502678.26</v>
      </c>
      <c r="K14" s="7">
        <v>119530.18</v>
      </c>
      <c r="L14" s="7">
        <v>1350</v>
      </c>
      <c r="M14" s="7">
        <v>101234.34999999999</v>
      </c>
      <c r="N14" s="7">
        <v>53595.25</v>
      </c>
      <c r="O14" s="7">
        <v>0</v>
      </c>
      <c r="P14" s="7">
        <v>0</v>
      </c>
      <c r="Q14" s="7">
        <v>0</v>
      </c>
      <c r="R14" s="294">
        <v>391.62</v>
      </c>
      <c r="S14" s="7">
        <v>778779.66</v>
      </c>
      <c r="T14" s="7">
        <v>0</v>
      </c>
      <c r="U14" s="7">
        <v>11271252.620000001</v>
      </c>
    </row>
    <row r="15" spans="1:22" x14ac:dyDescent="0.25">
      <c r="A15" s="287">
        <v>7140</v>
      </c>
      <c r="B15" s="7" t="s">
        <v>1304</v>
      </c>
      <c r="C15" s="7">
        <v>656273.42000000004</v>
      </c>
      <c r="D15" s="7"/>
      <c r="E15" s="7">
        <v>6609568.4500000002</v>
      </c>
      <c r="F15" s="7">
        <v>7265841.8699999992</v>
      </c>
      <c r="G15" s="7">
        <v>7265841.8699999992</v>
      </c>
      <c r="H15" s="7">
        <v>4294.76</v>
      </c>
      <c r="I15" s="7">
        <v>7270136.6299999999</v>
      </c>
      <c r="J15" s="7">
        <v>1045809.79</v>
      </c>
      <c r="K15" s="7">
        <v>261703.69999999998</v>
      </c>
      <c r="L15" s="7">
        <v>12579</v>
      </c>
      <c r="M15" s="7">
        <v>158235</v>
      </c>
      <c r="N15" s="7">
        <v>20308.439999999995</v>
      </c>
      <c r="O15" s="7">
        <v>76.13</v>
      </c>
      <c r="P15" s="7">
        <v>4070.01</v>
      </c>
      <c r="Q15" s="7">
        <v>204251.8</v>
      </c>
      <c r="R15" s="294">
        <v>2135</v>
      </c>
      <c r="S15" s="7">
        <v>1709168.8699999996</v>
      </c>
      <c r="T15" s="7">
        <v>0</v>
      </c>
      <c r="U15" s="7">
        <v>5560967.7600000007</v>
      </c>
    </row>
    <row r="16" spans="1:22" x14ac:dyDescent="0.25">
      <c r="A16" s="287">
        <v>7160</v>
      </c>
      <c r="B16" s="7" t="s">
        <v>1305</v>
      </c>
      <c r="C16" s="7">
        <v>56820.73</v>
      </c>
      <c r="D16" s="7"/>
      <c r="E16" s="7">
        <v>820917.84000000008</v>
      </c>
      <c r="F16" s="7">
        <v>877738.57000000018</v>
      </c>
      <c r="G16" s="7">
        <v>877738.57000000018</v>
      </c>
      <c r="H16" s="7">
        <v>0</v>
      </c>
      <c r="I16" s="7">
        <v>877738.57000000018</v>
      </c>
      <c r="J16" s="7">
        <v>149186.23999999999</v>
      </c>
      <c r="K16" s="7">
        <v>32977.299999999996</v>
      </c>
      <c r="L16" s="7">
        <v>4375</v>
      </c>
      <c r="M16" s="7">
        <v>21442.89</v>
      </c>
      <c r="N16" s="7">
        <v>69406.92</v>
      </c>
      <c r="O16" s="7">
        <v>0</v>
      </c>
      <c r="P16" s="7">
        <v>0</v>
      </c>
      <c r="Q16" s="7">
        <v>10962.9</v>
      </c>
      <c r="R16" s="294">
        <v>254.37</v>
      </c>
      <c r="S16" s="7">
        <v>288605.62</v>
      </c>
      <c r="T16" s="7">
        <v>0</v>
      </c>
      <c r="U16" s="7">
        <v>589132.95000000019</v>
      </c>
    </row>
    <row r="17" spans="1:21" x14ac:dyDescent="0.25">
      <c r="A17" s="287">
        <v>7170</v>
      </c>
      <c r="B17" s="7" t="s">
        <v>115</v>
      </c>
      <c r="C17" s="7">
        <v>8885593.6999999993</v>
      </c>
      <c r="D17" s="7"/>
      <c r="E17" s="7">
        <v>18910496.670000002</v>
      </c>
      <c r="F17" s="7">
        <v>27796090.370000001</v>
      </c>
      <c r="G17" s="7">
        <v>27796090.370000001</v>
      </c>
      <c r="H17" s="7">
        <v>0</v>
      </c>
      <c r="I17" s="7">
        <v>27796090.370000001</v>
      </c>
      <c r="J17" s="7">
        <v>648606.49</v>
      </c>
      <c r="K17" s="7">
        <v>138024.24</v>
      </c>
      <c r="L17" s="7">
        <v>0</v>
      </c>
      <c r="M17" s="7">
        <v>91188.98</v>
      </c>
      <c r="N17" s="7">
        <v>1016175</v>
      </c>
      <c r="O17" s="7">
        <v>165.45</v>
      </c>
      <c r="P17" s="7">
        <v>9168.36</v>
      </c>
      <c r="Q17" s="7">
        <v>46603.78</v>
      </c>
      <c r="R17" s="294">
        <v>2746.4</v>
      </c>
      <c r="S17" s="7">
        <v>1952678.6999999997</v>
      </c>
      <c r="T17" s="7">
        <v>0</v>
      </c>
      <c r="U17" s="7">
        <v>25843411.670000002</v>
      </c>
    </row>
    <row r="18" spans="1:21" x14ac:dyDescent="0.25">
      <c r="A18" s="287">
        <v>7180</v>
      </c>
      <c r="B18" s="7" t="s">
        <v>1306</v>
      </c>
      <c r="C18" s="7">
        <v>2241837.59</v>
      </c>
      <c r="D18" s="7"/>
      <c r="E18" s="7">
        <v>2342872.6</v>
      </c>
      <c r="F18" s="7">
        <v>4584710.1900000013</v>
      </c>
      <c r="G18" s="7">
        <v>4584710.1900000013</v>
      </c>
      <c r="H18" s="7">
        <v>0</v>
      </c>
      <c r="I18" s="7">
        <v>4584710.1900000013</v>
      </c>
      <c r="J18" s="7">
        <v>515744.67</v>
      </c>
      <c r="K18" s="7">
        <v>137051.85</v>
      </c>
      <c r="L18" s="7">
        <v>0</v>
      </c>
      <c r="M18" s="7">
        <v>458.7</v>
      </c>
      <c r="N18" s="7">
        <v>21727.800000000003</v>
      </c>
      <c r="O18" s="7">
        <v>16.2</v>
      </c>
      <c r="P18" s="7">
        <v>42.029999999999994</v>
      </c>
      <c r="Q18" s="7">
        <v>9726.92</v>
      </c>
      <c r="R18" s="294">
        <v>3461.2700000000004</v>
      </c>
      <c r="S18" s="7">
        <v>688229.44000000006</v>
      </c>
      <c r="T18" s="7">
        <v>0</v>
      </c>
      <c r="U18" s="7">
        <v>3896480.75</v>
      </c>
    </row>
    <row r="19" spans="1:21" x14ac:dyDescent="0.25">
      <c r="A19" s="287">
        <v>7200</v>
      </c>
      <c r="B19" s="7" t="s">
        <v>709</v>
      </c>
      <c r="C19" s="7">
        <v>369191.35</v>
      </c>
      <c r="D19" s="7"/>
      <c r="E19" s="7">
        <v>93148.59</v>
      </c>
      <c r="F19" s="7">
        <v>462339.94</v>
      </c>
      <c r="G19" s="7">
        <v>462339.94</v>
      </c>
      <c r="H19" s="7">
        <v>0</v>
      </c>
      <c r="I19" s="7">
        <v>462339.94</v>
      </c>
      <c r="J19" s="7">
        <v>0</v>
      </c>
      <c r="K19" s="7">
        <v>0</v>
      </c>
      <c r="L19" s="7">
        <v>0</v>
      </c>
      <c r="M19" s="7">
        <v>129464.20999999998</v>
      </c>
      <c r="N19" s="7">
        <v>0</v>
      </c>
      <c r="O19" s="7">
        <v>0</v>
      </c>
      <c r="P19" s="7">
        <v>0</v>
      </c>
      <c r="Q19" s="7">
        <v>0</v>
      </c>
      <c r="R19" s="294">
        <v>0</v>
      </c>
      <c r="S19" s="7">
        <v>129464.20999999998</v>
      </c>
      <c r="T19" s="7">
        <v>0</v>
      </c>
      <c r="U19" s="7">
        <v>332875.73</v>
      </c>
    </row>
    <row r="20" spans="1:21" x14ac:dyDescent="0.25">
      <c r="A20" s="287">
        <v>7230</v>
      </c>
      <c r="B20" s="7" t="s">
        <v>118</v>
      </c>
      <c r="C20" s="7">
        <v>1976398.42</v>
      </c>
      <c r="D20" s="7"/>
      <c r="E20" s="7">
        <v>45075550.980000004</v>
      </c>
      <c r="F20" s="7">
        <v>47051949.399999999</v>
      </c>
      <c r="G20" s="7">
        <v>47051949.399999999</v>
      </c>
      <c r="H20" s="7">
        <v>0</v>
      </c>
      <c r="I20" s="7">
        <v>47051949.399999999</v>
      </c>
      <c r="J20" s="7">
        <v>2213607.4300000002</v>
      </c>
      <c r="K20" s="7">
        <v>533006.6100000001</v>
      </c>
      <c r="L20" s="7">
        <v>281006.54000000004</v>
      </c>
      <c r="M20" s="7">
        <v>138003.81160000002</v>
      </c>
      <c r="N20" s="7">
        <v>226408.86999999997</v>
      </c>
      <c r="O20" s="7">
        <v>649.86</v>
      </c>
      <c r="P20" s="7">
        <v>1171.17</v>
      </c>
      <c r="Q20" s="7">
        <v>44417.15</v>
      </c>
      <c r="R20" s="294">
        <v>7519.880000000001</v>
      </c>
      <c r="S20" s="7">
        <v>3445791.3215999999</v>
      </c>
      <c r="T20" s="7">
        <v>0</v>
      </c>
      <c r="U20" s="7">
        <v>43606158.078400001</v>
      </c>
    </row>
    <row r="21" spans="1:21" x14ac:dyDescent="0.25">
      <c r="A21" s="287">
        <v>7260</v>
      </c>
      <c r="B21" s="7" t="s">
        <v>121</v>
      </c>
      <c r="C21" s="7">
        <v>0</v>
      </c>
      <c r="D21" s="7">
        <v>29745864.150000002</v>
      </c>
      <c r="E21" s="7">
        <v>29749292.790000003</v>
      </c>
      <c r="F21" s="7">
        <v>29749292.790000003</v>
      </c>
      <c r="G21" s="7">
        <v>13923161.790000003</v>
      </c>
      <c r="H21" s="7">
        <v>298814.52</v>
      </c>
      <c r="I21" s="7">
        <v>14221976.310000002</v>
      </c>
      <c r="J21" s="7">
        <v>12281694.259999998</v>
      </c>
      <c r="K21" s="7">
        <v>2287695.91</v>
      </c>
      <c r="L21" s="7">
        <v>0</v>
      </c>
      <c r="M21" s="7">
        <v>908390.35</v>
      </c>
      <c r="N21" s="7">
        <v>780648.15</v>
      </c>
      <c r="O21" s="7">
        <v>108783.66</v>
      </c>
      <c r="P21" s="7">
        <v>1379973.0699999998</v>
      </c>
      <c r="Q21" s="7">
        <v>669014.69999999995</v>
      </c>
      <c r="R21" s="294">
        <v>539749.29</v>
      </c>
      <c r="S21" s="7">
        <v>18955949.390000001</v>
      </c>
      <c r="T21" s="7">
        <v>-67060.460000000006</v>
      </c>
      <c r="U21" s="7">
        <v>-4801033.5399999991</v>
      </c>
    </row>
    <row r="22" spans="1:21" x14ac:dyDescent="0.25">
      <c r="A22" s="287">
        <v>7310</v>
      </c>
      <c r="B22" s="7" t="s">
        <v>719</v>
      </c>
      <c r="C22" s="7">
        <v>250755.29</v>
      </c>
      <c r="D22" s="7"/>
      <c r="E22" s="7">
        <v>41796.25</v>
      </c>
      <c r="F22" s="7">
        <v>292551.54000000004</v>
      </c>
      <c r="G22" s="7">
        <v>292551.54000000004</v>
      </c>
      <c r="H22" s="7">
        <v>0</v>
      </c>
      <c r="I22" s="7">
        <v>292551.54000000004</v>
      </c>
      <c r="J22" s="7">
        <v>0</v>
      </c>
      <c r="K22" s="7">
        <v>0</v>
      </c>
      <c r="L22" s="7">
        <v>0</v>
      </c>
      <c r="M22" s="7">
        <v>66540.460000000006</v>
      </c>
      <c r="N22" s="7">
        <v>0</v>
      </c>
      <c r="O22" s="7">
        <v>0</v>
      </c>
      <c r="P22" s="7">
        <v>0</v>
      </c>
      <c r="Q22" s="7">
        <v>0</v>
      </c>
      <c r="R22" s="294">
        <v>0</v>
      </c>
      <c r="S22" s="7">
        <v>66540.460000000006</v>
      </c>
      <c r="T22" s="7">
        <v>0</v>
      </c>
      <c r="U22" s="7">
        <v>226011.08000000005</v>
      </c>
    </row>
    <row r="23" spans="1:21" x14ac:dyDescent="0.25">
      <c r="A23" s="287">
        <v>7320</v>
      </c>
      <c r="B23" s="7" t="s">
        <v>721</v>
      </c>
      <c r="C23" s="7">
        <v>59859.149999999994</v>
      </c>
      <c r="D23" s="7"/>
      <c r="E23" s="7">
        <v>8962.5999999999985</v>
      </c>
      <c r="F23" s="7">
        <v>68821.75</v>
      </c>
      <c r="G23" s="7">
        <v>68821.75</v>
      </c>
      <c r="H23" s="7">
        <v>0</v>
      </c>
      <c r="I23" s="7">
        <v>68821.75</v>
      </c>
      <c r="J23" s="7">
        <v>191.88</v>
      </c>
      <c r="K23" s="7">
        <v>22.92</v>
      </c>
      <c r="L23" s="7">
        <v>0</v>
      </c>
      <c r="M23" s="7">
        <v>21219.3</v>
      </c>
      <c r="N23" s="7">
        <v>0</v>
      </c>
      <c r="O23" s="7">
        <v>0</v>
      </c>
      <c r="P23" s="7">
        <v>0</v>
      </c>
      <c r="Q23" s="7">
        <v>0</v>
      </c>
      <c r="R23" s="294">
        <v>33.64</v>
      </c>
      <c r="S23" s="7">
        <v>21467.739999999998</v>
      </c>
      <c r="T23" s="7">
        <v>0</v>
      </c>
      <c r="U23" s="7">
        <v>47354.01</v>
      </c>
    </row>
    <row r="24" spans="1:21" x14ac:dyDescent="0.25">
      <c r="A24" s="287">
        <v>7490</v>
      </c>
      <c r="B24" s="7" t="s">
        <v>1307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230421.08142</v>
      </c>
      <c r="N24" s="7"/>
      <c r="O24" s="7"/>
      <c r="P24" s="7"/>
      <c r="Q24" s="7"/>
      <c r="R24" s="294">
        <v>0</v>
      </c>
      <c r="S24" s="7">
        <v>230421.08142</v>
      </c>
      <c r="T24" s="7"/>
      <c r="U24" s="7">
        <v>-230421.08142</v>
      </c>
    </row>
    <row r="25" spans="1:21" x14ac:dyDescent="0.25">
      <c r="A25" s="287">
        <v>8310</v>
      </c>
      <c r="B25" s="7" t="s">
        <v>1308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v>19488.455999999998</v>
      </c>
      <c r="N25" s="7"/>
      <c r="O25" s="7"/>
      <c r="P25" s="7"/>
      <c r="Q25" s="7"/>
      <c r="R25" s="294">
        <v>0</v>
      </c>
      <c r="S25" s="7">
        <v>19488.455999999998</v>
      </c>
      <c r="T25" s="7"/>
      <c r="U25" s="7">
        <v>-19488.455999999998</v>
      </c>
    </row>
    <row r="26" spans="1:21" x14ac:dyDescent="0.25">
      <c r="A26" s="287">
        <v>8320</v>
      </c>
      <c r="B26" s="7" t="s">
        <v>135</v>
      </c>
      <c r="C26" s="7">
        <v>0</v>
      </c>
      <c r="D26" s="7"/>
      <c r="E26" s="7">
        <v>0</v>
      </c>
      <c r="F26" s="7">
        <v>0</v>
      </c>
      <c r="G26" s="7">
        <v>0</v>
      </c>
      <c r="H26" s="7">
        <v>368135.84</v>
      </c>
      <c r="I26" s="7">
        <v>368135.84</v>
      </c>
      <c r="J26" s="7">
        <v>476831.27</v>
      </c>
      <c r="K26" s="7">
        <v>197116.23000000004</v>
      </c>
      <c r="L26" s="7">
        <v>0</v>
      </c>
      <c r="M26" s="7">
        <v>314824.19</v>
      </c>
      <c r="N26" s="7">
        <v>279540.6399999999</v>
      </c>
      <c r="O26" s="7">
        <v>361.11</v>
      </c>
      <c r="P26" s="7">
        <v>3497.49</v>
      </c>
      <c r="Q26" s="7">
        <v>40309.71</v>
      </c>
      <c r="R26" s="294">
        <v>21381.279999999999</v>
      </c>
      <c r="S26" s="7">
        <v>1333861.92</v>
      </c>
      <c r="T26" s="7">
        <v>0</v>
      </c>
      <c r="U26" s="7">
        <v>-965726.08000000019</v>
      </c>
    </row>
    <row r="27" spans="1:21" x14ac:dyDescent="0.25">
      <c r="A27" s="287">
        <v>8430</v>
      </c>
      <c r="B27" s="7" t="s">
        <v>140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10.89</v>
      </c>
      <c r="I27" s="7">
        <v>10.89</v>
      </c>
      <c r="J27" s="7">
        <v>265282.07000000007</v>
      </c>
      <c r="K27" s="7">
        <v>78260.840000000011</v>
      </c>
      <c r="L27" s="7">
        <v>0</v>
      </c>
      <c r="M27" s="7">
        <v>1715730.0719999997</v>
      </c>
      <c r="N27" s="7">
        <v>16198.619999999999</v>
      </c>
      <c r="O27" s="7">
        <v>408804.30999999994</v>
      </c>
      <c r="P27" s="7">
        <v>10257.879999999999</v>
      </c>
      <c r="Q27" s="7">
        <v>22297.62</v>
      </c>
      <c r="R27" s="294">
        <v>1883.3000000000004</v>
      </c>
      <c r="S27" s="7">
        <v>2518714.7119999998</v>
      </c>
      <c r="T27" s="7">
        <v>0</v>
      </c>
      <c r="U27" s="7">
        <v>-2518703.8219999997</v>
      </c>
    </row>
    <row r="28" spans="1:21" x14ac:dyDescent="0.25">
      <c r="A28" s="287">
        <v>8460</v>
      </c>
      <c r="B28" s="7" t="s">
        <v>141</v>
      </c>
      <c r="C28" s="7">
        <v>0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554415.68999999994</v>
      </c>
      <c r="K28" s="7">
        <v>200782.41000000003</v>
      </c>
      <c r="L28" s="7">
        <v>0</v>
      </c>
      <c r="M28" s="7">
        <v>94333.430000000022</v>
      </c>
      <c r="N28" s="7">
        <v>58106.160000000011</v>
      </c>
      <c r="O28" s="7">
        <v>368.27</v>
      </c>
      <c r="P28" s="7">
        <v>2010.77</v>
      </c>
      <c r="Q28" s="7">
        <v>9966.25</v>
      </c>
      <c r="R28" s="294">
        <v>455.27</v>
      </c>
      <c r="S28" s="7">
        <v>920438.25000000012</v>
      </c>
      <c r="T28" s="7">
        <v>0</v>
      </c>
      <c r="U28" s="7">
        <v>-920438.25000000012</v>
      </c>
    </row>
    <row r="29" spans="1:21" x14ac:dyDescent="0.25">
      <c r="A29" s="287">
        <v>8470</v>
      </c>
      <c r="B29" s="7" t="s">
        <v>606</v>
      </c>
      <c r="C29" s="7">
        <v>0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-1561.38</v>
      </c>
      <c r="K29" s="7">
        <v>-426.38</v>
      </c>
      <c r="L29" s="7">
        <v>0</v>
      </c>
      <c r="M29" s="7">
        <v>83895.798250000007</v>
      </c>
      <c r="N29" s="7">
        <v>0</v>
      </c>
      <c r="O29" s="7">
        <v>33153.119999999995</v>
      </c>
      <c r="P29" s="7">
        <v>0</v>
      </c>
      <c r="Q29" s="7">
        <v>0</v>
      </c>
      <c r="R29" s="294">
        <v>0</v>
      </c>
      <c r="S29" s="7">
        <v>115061.15825000001</v>
      </c>
      <c r="T29" s="7">
        <v>0</v>
      </c>
      <c r="U29" s="7">
        <v>-115061.15825000001</v>
      </c>
    </row>
    <row r="30" spans="1:21" x14ac:dyDescent="0.25">
      <c r="A30" s="287">
        <v>8480</v>
      </c>
      <c r="B30" s="7" t="s">
        <v>637</v>
      </c>
      <c r="C30" s="7">
        <v>0</v>
      </c>
      <c r="D30" s="7"/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614012.13500000001</v>
      </c>
      <c r="N30" s="7">
        <v>123.35</v>
      </c>
      <c r="O30" s="7">
        <v>0</v>
      </c>
      <c r="P30" s="7">
        <v>2824.17</v>
      </c>
      <c r="Q30" s="7">
        <v>84114.2</v>
      </c>
      <c r="R30" s="294">
        <v>0</v>
      </c>
      <c r="S30" s="7">
        <v>701073.85499999998</v>
      </c>
      <c r="T30" s="7">
        <v>0</v>
      </c>
      <c r="U30" s="7">
        <v>-701073.85499999998</v>
      </c>
    </row>
    <row r="31" spans="1:21" x14ac:dyDescent="0.25">
      <c r="A31" s="287">
        <v>8490</v>
      </c>
      <c r="B31" s="7" t="s">
        <v>144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0.17000000000007276</v>
      </c>
      <c r="I31" s="7">
        <v>0.17000000000007276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294">
        <v>0</v>
      </c>
      <c r="S31" s="7">
        <v>0</v>
      </c>
      <c r="T31" s="7">
        <v>0</v>
      </c>
      <c r="U31" s="7">
        <v>0.17000000000007276</v>
      </c>
    </row>
    <row r="32" spans="1:21" x14ac:dyDescent="0.25">
      <c r="A32" s="287">
        <v>8510</v>
      </c>
      <c r="B32" s="7" t="s">
        <v>145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v>87264.259249999988</v>
      </c>
      <c r="N32" s="7"/>
      <c r="O32" s="7"/>
      <c r="P32" s="7"/>
      <c r="Q32" s="7"/>
      <c r="R32" s="294">
        <v>0</v>
      </c>
      <c r="S32" s="7">
        <v>87264.259249999988</v>
      </c>
      <c r="T32" s="7"/>
      <c r="U32" s="7">
        <v>-87264.259249999988</v>
      </c>
    </row>
    <row r="33" spans="1:21" x14ac:dyDescent="0.25">
      <c r="A33" s="287">
        <v>8530</v>
      </c>
      <c r="B33" s="7" t="s">
        <v>1309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v>557814.17985347495</v>
      </c>
      <c r="N33" s="7"/>
      <c r="O33" s="7"/>
      <c r="P33" s="7"/>
      <c r="Q33" s="7"/>
      <c r="R33" s="294">
        <v>0</v>
      </c>
      <c r="S33" s="7">
        <v>557814.17985347495</v>
      </c>
      <c r="T33" s="7"/>
      <c r="U33" s="7">
        <v>-557814.17985347495</v>
      </c>
    </row>
    <row r="34" spans="1:21" x14ac:dyDescent="0.25">
      <c r="A34" s="287">
        <v>8560</v>
      </c>
      <c r="B34" s="7" t="s">
        <v>147</v>
      </c>
      <c r="C34" s="7">
        <v>0</v>
      </c>
      <c r="D34" s="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1505435.66738</v>
      </c>
      <c r="N34" s="7">
        <v>9290.630000000001</v>
      </c>
      <c r="O34" s="7">
        <v>0</v>
      </c>
      <c r="P34" s="7">
        <v>9236.6</v>
      </c>
      <c r="Q34" s="7">
        <v>142.08000000000001</v>
      </c>
      <c r="R34" s="294">
        <v>7.52</v>
      </c>
      <c r="S34" s="7">
        <v>1524112.4973800001</v>
      </c>
      <c r="T34" s="7">
        <v>0</v>
      </c>
      <c r="U34" s="7">
        <v>-1524112.4973800001</v>
      </c>
    </row>
    <row r="35" spans="1:21" x14ac:dyDescent="0.25">
      <c r="A35" s="287">
        <v>8610</v>
      </c>
      <c r="B35" s="7" t="s">
        <v>193</v>
      </c>
      <c r="C35" s="7">
        <v>0</v>
      </c>
      <c r="D35" s="7"/>
      <c r="E35" s="7">
        <v>0</v>
      </c>
      <c r="F35" s="7">
        <v>0</v>
      </c>
      <c r="G35" s="7">
        <v>0</v>
      </c>
      <c r="H35" s="7">
        <v>6715.5899999999992</v>
      </c>
      <c r="I35" s="7">
        <v>6715.5899999999992</v>
      </c>
      <c r="J35" s="7">
        <v>309278.28000000003</v>
      </c>
      <c r="K35" s="7">
        <v>60604.42</v>
      </c>
      <c r="L35" s="7">
        <v>0</v>
      </c>
      <c r="M35" s="7">
        <v>635143.1647136251</v>
      </c>
      <c r="N35" s="7">
        <v>22510.439999999995</v>
      </c>
      <c r="O35" s="7">
        <v>441.81</v>
      </c>
      <c r="P35" s="7">
        <v>12098.840000000002</v>
      </c>
      <c r="Q35" s="7">
        <v>6809.36</v>
      </c>
      <c r="R35" s="294">
        <v>39300.89</v>
      </c>
      <c r="S35" s="7">
        <v>1086187.2047136251</v>
      </c>
      <c r="T35" s="7">
        <v>0</v>
      </c>
      <c r="U35" s="7">
        <v>-1079471.6147136251</v>
      </c>
    </row>
    <row r="36" spans="1:21" x14ac:dyDescent="0.25">
      <c r="A36" s="287">
        <v>8620</v>
      </c>
      <c r="B36" s="7" t="s">
        <v>1310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>
        <v>63607.626500000006</v>
      </c>
      <c r="N36" s="7"/>
      <c r="O36" s="7"/>
      <c r="P36" s="7"/>
      <c r="Q36" s="7"/>
      <c r="R36" s="294">
        <v>0</v>
      </c>
      <c r="S36" s="7">
        <v>63607.626500000006</v>
      </c>
      <c r="T36" s="7"/>
      <c r="U36" s="7">
        <v>-63607.626500000006</v>
      </c>
    </row>
    <row r="37" spans="1:21" x14ac:dyDescent="0.25">
      <c r="A37" s="287">
        <v>8630</v>
      </c>
      <c r="B37" s="7" t="s">
        <v>1316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335208.30449999997</v>
      </c>
      <c r="N37" s="7"/>
      <c r="O37" s="7"/>
      <c r="P37" s="7"/>
      <c r="Q37" s="7"/>
      <c r="R37" s="294">
        <v>0</v>
      </c>
      <c r="S37" s="7">
        <v>335208.30449999997</v>
      </c>
      <c r="T37" s="7"/>
      <c r="U37" s="7">
        <v>-335208.30449999997</v>
      </c>
    </row>
    <row r="38" spans="1:21" x14ac:dyDescent="0.25">
      <c r="A38" s="287">
        <v>8650</v>
      </c>
      <c r="B38" s="7" t="s">
        <v>152</v>
      </c>
      <c r="C38" s="7">
        <v>0</v>
      </c>
      <c r="D38" s="7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46.550000000030643</v>
      </c>
      <c r="L38" s="7">
        <v>0</v>
      </c>
      <c r="M38" s="7">
        <v>214014.21275000001</v>
      </c>
      <c r="N38" s="7">
        <v>0</v>
      </c>
      <c r="O38" s="7">
        <v>0</v>
      </c>
      <c r="P38" s="7">
        <v>0</v>
      </c>
      <c r="Q38" s="7">
        <v>0</v>
      </c>
      <c r="R38" s="294">
        <v>218.95</v>
      </c>
      <c r="S38" s="7">
        <v>214060.76275000005</v>
      </c>
      <c r="T38" s="7">
        <v>0</v>
      </c>
      <c r="U38" s="7">
        <v>-214279.71275000006</v>
      </c>
    </row>
    <row r="39" spans="1:21" x14ac:dyDescent="0.25">
      <c r="A39" s="287">
        <v>8660</v>
      </c>
      <c r="B39" s="7" t="s">
        <v>1311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v>17575.629749999996</v>
      </c>
      <c r="N39" s="7"/>
      <c r="O39" s="7"/>
      <c r="P39" s="7"/>
      <c r="Q39" s="7"/>
      <c r="R39" s="294">
        <v>0</v>
      </c>
      <c r="S39" s="7">
        <v>17575.629749999996</v>
      </c>
      <c r="T39" s="7"/>
      <c r="U39" s="7">
        <v>-17575.629749999996</v>
      </c>
    </row>
    <row r="40" spans="1:21" x14ac:dyDescent="0.25">
      <c r="A40" s="287">
        <v>8670</v>
      </c>
      <c r="B40" s="7" t="s">
        <v>154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v>30091.622249999997</v>
      </c>
      <c r="N40" s="7"/>
      <c r="O40" s="7"/>
      <c r="P40" s="7"/>
      <c r="Q40" s="7"/>
      <c r="R40" s="294">
        <v>0</v>
      </c>
      <c r="S40" s="7">
        <v>30091.622249999997</v>
      </c>
      <c r="T40" s="7"/>
      <c r="U40" s="7">
        <v>-30091.622249999997</v>
      </c>
    </row>
    <row r="41" spans="1:21" x14ac:dyDescent="0.25">
      <c r="A41" s="287">
        <v>8680</v>
      </c>
      <c r="B41" s="7" t="s">
        <v>646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v>10482.752750000003</v>
      </c>
      <c r="N41" s="7"/>
      <c r="O41" s="7"/>
      <c r="P41" s="7"/>
      <c r="Q41" s="7"/>
      <c r="R41" s="294">
        <v>0</v>
      </c>
      <c r="S41" s="7">
        <v>10482.752750000003</v>
      </c>
      <c r="T41" s="7"/>
      <c r="U41" s="7">
        <v>-10482.752750000003</v>
      </c>
    </row>
    <row r="42" spans="1:21" x14ac:dyDescent="0.25">
      <c r="A42" s="287">
        <v>8690</v>
      </c>
      <c r="B42" s="7" t="s">
        <v>648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v>767035.98836307495</v>
      </c>
      <c r="N42" s="7"/>
      <c r="O42" s="7"/>
      <c r="P42" s="7"/>
      <c r="Q42" s="7"/>
      <c r="R42" s="294">
        <v>0</v>
      </c>
      <c r="S42" s="7">
        <v>767035.98836307495</v>
      </c>
      <c r="T42" s="7"/>
      <c r="U42" s="7">
        <v>-767035.98836307495</v>
      </c>
    </row>
    <row r="43" spans="1:21" x14ac:dyDescent="0.25">
      <c r="A43" s="287">
        <v>8700</v>
      </c>
      <c r="B43" s="7" t="s">
        <v>650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v>154452.670456375</v>
      </c>
      <c r="N43" s="7"/>
      <c r="O43" s="7"/>
      <c r="P43" s="7"/>
      <c r="Q43" s="7"/>
      <c r="R43" s="294">
        <v>0</v>
      </c>
      <c r="S43" s="7">
        <v>154452.670456375</v>
      </c>
      <c r="T43" s="7"/>
      <c r="U43" s="7">
        <v>-154452.670456375</v>
      </c>
    </row>
    <row r="44" spans="1:21" x14ac:dyDescent="0.25">
      <c r="A44" s="287">
        <v>8710</v>
      </c>
      <c r="B44" s="7" t="s">
        <v>1312</v>
      </c>
      <c r="C44" s="7">
        <v>0</v>
      </c>
      <c r="D44" s="7"/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86798.430000000022</v>
      </c>
      <c r="K44" s="7">
        <v>22439.47</v>
      </c>
      <c r="L44" s="7">
        <v>0</v>
      </c>
      <c r="M44" s="7">
        <v>798463.59161359991</v>
      </c>
      <c r="N44" s="7">
        <v>40.54</v>
      </c>
      <c r="O44" s="7">
        <v>0</v>
      </c>
      <c r="P44" s="7">
        <v>83.02</v>
      </c>
      <c r="Q44" s="7">
        <v>0</v>
      </c>
      <c r="R44" s="294">
        <v>498.93</v>
      </c>
      <c r="S44" s="7">
        <v>908323.98161359993</v>
      </c>
      <c r="T44" s="7">
        <v>0</v>
      </c>
      <c r="U44" s="7">
        <v>-908323.98161359993</v>
      </c>
    </row>
    <row r="45" spans="1:21" x14ac:dyDescent="0.25">
      <c r="A45" s="287">
        <v>8720</v>
      </c>
      <c r="B45" s="7" t="s">
        <v>1313</v>
      </c>
      <c r="C45" s="7">
        <v>0</v>
      </c>
      <c r="D45" s="7"/>
      <c r="E45" s="7">
        <v>0</v>
      </c>
      <c r="F45" s="7">
        <v>0</v>
      </c>
      <c r="G45" s="7">
        <v>0</v>
      </c>
      <c r="H45" s="7">
        <v>331.77</v>
      </c>
      <c r="I45" s="7">
        <v>331.77</v>
      </c>
      <c r="J45" s="7">
        <v>1178551.56</v>
      </c>
      <c r="K45" s="7">
        <v>283033.93</v>
      </c>
      <c r="L45" s="7">
        <v>0</v>
      </c>
      <c r="M45" s="7">
        <v>28829.389150000003</v>
      </c>
      <c r="N45" s="7">
        <v>3274.8399999999992</v>
      </c>
      <c r="O45" s="7">
        <v>707.34999999999991</v>
      </c>
      <c r="P45" s="7">
        <v>4559.3599999999997</v>
      </c>
      <c r="Q45" s="7">
        <v>0</v>
      </c>
      <c r="R45" s="294">
        <v>6401.09</v>
      </c>
      <c r="S45" s="7">
        <v>1505357.5191499998</v>
      </c>
      <c r="T45" s="7">
        <v>0</v>
      </c>
      <c r="U45" s="7">
        <v>-1505025.7491499998</v>
      </c>
    </row>
    <row r="46" spans="1:21" x14ac:dyDescent="0.25">
      <c r="A46" s="287">
        <v>8740</v>
      </c>
      <c r="B46" s="7" t="s">
        <v>201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v>93033.581999999995</v>
      </c>
      <c r="N46" s="7"/>
      <c r="O46" s="7"/>
      <c r="P46" s="7"/>
      <c r="Q46" s="7"/>
      <c r="R46" s="294">
        <v>0</v>
      </c>
      <c r="S46" s="7">
        <v>93033.581999999995</v>
      </c>
      <c r="T46" s="7"/>
      <c r="U46" s="7">
        <v>-93033.581999999995</v>
      </c>
    </row>
    <row r="47" spans="1:21" x14ac:dyDescent="0.25">
      <c r="A47" s="287">
        <v>8770</v>
      </c>
      <c r="B47" s="7" t="s">
        <v>1314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v>11254.406750000002</v>
      </c>
      <c r="N47" s="7"/>
      <c r="O47" s="7"/>
      <c r="P47" s="7"/>
      <c r="Q47" s="7"/>
      <c r="R47" s="294">
        <v>0</v>
      </c>
      <c r="S47" s="7">
        <v>11254.406750000002</v>
      </c>
      <c r="T47" s="7"/>
      <c r="U47" s="7">
        <v>-11254.406750000002</v>
      </c>
    </row>
    <row r="48" spans="1:21" x14ac:dyDescent="0.25">
      <c r="A48" s="287">
        <v>8790</v>
      </c>
      <c r="B48" s="7" t="s">
        <v>1315</v>
      </c>
      <c r="C48" s="7">
        <v>0</v>
      </c>
      <c r="D48" s="7"/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300.62000000000012</v>
      </c>
      <c r="K48" s="7">
        <v>86.140000000000015</v>
      </c>
      <c r="L48" s="7">
        <v>0</v>
      </c>
      <c r="M48" s="7">
        <v>7454.3632049000007</v>
      </c>
      <c r="N48" s="7">
        <v>0</v>
      </c>
      <c r="O48" s="7">
        <v>0</v>
      </c>
      <c r="P48" s="7">
        <v>0</v>
      </c>
      <c r="Q48" s="7">
        <v>0</v>
      </c>
      <c r="R48" s="294">
        <v>0</v>
      </c>
      <c r="S48" s="7">
        <v>7841.1232048999991</v>
      </c>
      <c r="T48" s="7">
        <v>0</v>
      </c>
      <c r="U48" s="7">
        <v>-7841.1232048999991</v>
      </c>
    </row>
    <row r="49" spans="1:21" x14ac:dyDescent="0.25">
      <c r="A49" s="287">
        <v>8900</v>
      </c>
      <c r="B49" s="7" t="s">
        <v>211</v>
      </c>
      <c r="C49" s="7">
        <v>-46604.3</v>
      </c>
      <c r="D49" s="7"/>
      <c r="E49" s="7">
        <v>-149117.07999999999</v>
      </c>
      <c r="F49" s="7">
        <v>-195721.37999999995</v>
      </c>
      <c r="G49" s="7">
        <v>-156806626.79999998</v>
      </c>
      <c r="H49" s="7">
        <v>0</v>
      </c>
      <c r="I49" s="7">
        <v>-156806626.79999998</v>
      </c>
      <c r="J49" s="7">
        <v>125657.77</v>
      </c>
      <c r="K49" s="7">
        <v>0</v>
      </c>
      <c r="L49" s="7">
        <v>1976374.85</v>
      </c>
      <c r="M49" s="7">
        <v>5251964.6125496989</v>
      </c>
      <c r="N49" s="7">
        <v>26531.729999999996</v>
      </c>
      <c r="O49" s="7">
        <v>0</v>
      </c>
      <c r="P49" s="7">
        <v>41780.06</v>
      </c>
      <c r="Q49" s="7">
        <v>1971795.9100000001</v>
      </c>
      <c r="R49" s="294">
        <v>1244226.3899999999</v>
      </c>
      <c r="S49" s="7">
        <v>10643731.322549699</v>
      </c>
      <c r="T49" s="286">
        <v>3379107.6299999994</v>
      </c>
      <c r="U49" s="7">
        <v>-164065850.49254969</v>
      </c>
    </row>
    <row r="50" spans="1:21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94"/>
      <c r="S50" s="7"/>
      <c r="U50" s="7"/>
    </row>
    <row r="51" spans="1:21" x14ac:dyDescent="0.25">
      <c r="A51" s="287" t="s">
        <v>1330</v>
      </c>
      <c r="C51" s="7">
        <f t="shared" ref="C51:L51" si="0">SUM(C4:C49)</f>
        <v>62736580.859999992</v>
      </c>
      <c r="D51" s="7">
        <f t="shared" si="0"/>
        <v>29745864.150000002</v>
      </c>
      <c r="E51" s="7">
        <f t="shared" si="0"/>
        <v>185510766.59999996</v>
      </c>
      <c r="F51" s="7">
        <f t="shared" si="0"/>
        <v>248247347.45999998</v>
      </c>
      <c r="G51" s="7">
        <f t="shared" si="0"/>
        <v>75810311.039999992</v>
      </c>
      <c r="H51" s="7">
        <f t="shared" si="0"/>
        <v>725620.06000000017</v>
      </c>
      <c r="I51" s="7">
        <f t="shared" si="0"/>
        <v>76535931.099999994</v>
      </c>
      <c r="J51" s="7">
        <f t="shared" si="0"/>
        <v>29986331.079999994</v>
      </c>
      <c r="K51" s="7">
        <f t="shared" si="0"/>
        <v>6727149.8599999994</v>
      </c>
      <c r="L51" s="7">
        <f t="shared" si="0"/>
        <v>2540556.7800000003</v>
      </c>
      <c r="M51" s="7">
        <f>SUM(M4:M49)</f>
        <v>16412215.698499996</v>
      </c>
      <c r="N51" s="7">
        <f t="shared" ref="N51:Q51" si="1">SUM(N4:N49)</f>
        <v>6312513.6100000003</v>
      </c>
      <c r="O51" s="7">
        <f t="shared" si="1"/>
        <v>556384.34</v>
      </c>
      <c r="P51" s="7">
        <f t="shared" si="1"/>
        <v>1577340.96</v>
      </c>
      <c r="Q51" s="7">
        <f t="shared" si="1"/>
        <v>4372880.93</v>
      </c>
      <c r="R51" s="7">
        <f>SUM(R4:R49)</f>
        <v>1964411.01</v>
      </c>
      <c r="S51" s="7">
        <f>SUM(S4:S49)</f>
        <v>70454964.988499999</v>
      </c>
      <c r="T51" s="286">
        <f>SUM(T4:T49)</f>
        <v>3312047.1699999995</v>
      </c>
      <c r="U51" s="286">
        <f>SUM(U4:U49)</f>
        <v>9398194.331499964</v>
      </c>
    </row>
    <row r="52" spans="1:21" x14ac:dyDescent="0.25">
      <c r="R52" s="295"/>
    </row>
    <row r="53" spans="1:21" s="290" customFormat="1" ht="15.6" x14ac:dyDescent="0.3">
      <c r="A53" s="289"/>
      <c r="B53" s="290" t="s">
        <v>1326</v>
      </c>
      <c r="C53" s="291">
        <v>62736580.859999999</v>
      </c>
      <c r="D53" s="291">
        <f>532247.34+29213616.81</f>
        <v>29745864.149999999</v>
      </c>
      <c r="E53" s="291">
        <f>+D53+155764902.45</f>
        <v>185510766.59999999</v>
      </c>
      <c r="F53" s="291">
        <v>248247347.46000001</v>
      </c>
      <c r="G53" s="291">
        <f>+F53-164163982.01-3260544.65-5012509.76</f>
        <v>75810311.040000007</v>
      </c>
      <c r="H53" s="291">
        <f>725280.22+339.84</f>
        <v>725620.05999999994</v>
      </c>
      <c r="I53" s="291">
        <v>76535931.099999994</v>
      </c>
      <c r="J53" s="291">
        <f>29408251.42+578079.66</f>
        <v>29986331.080000002</v>
      </c>
      <c r="K53" s="291">
        <v>6727149.8600000003</v>
      </c>
      <c r="L53" s="291">
        <v>2540556.7799999998</v>
      </c>
      <c r="M53" s="299">
        <f>9190.84+12186668.28+636835.15+3579521.1</f>
        <v>16412215.369999999</v>
      </c>
      <c r="N53" s="291">
        <v>6312024.7300000004</v>
      </c>
      <c r="O53" s="291">
        <v>556384.34</v>
      </c>
      <c r="P53" s="299">
        <v>1577340.96</v>
      </c>
      <c r="Q53" s="291">
        <v>4372880.93</v>
      </c>
      <c r="R53" s="300">
        <f>51618.15+548964.33+35408.2+72581.51+710.82+723.39+7230.35-186.87+306413.97+168246.18+774534+20155.86</f>
        <v>1986399.89</v>
      </c>
      <c r="S53" s="291">
        <v>70471283.939999998</v>
      </c>
      <c r="T53" s="299">
        <v>3333547.17</v>
      </c>
      <c r="U53" s="291">
        <v>9398194.3300000001</v>
      </c>
    </row>
    <row r="54" spans="1:21" s="290" customFormat="1" ht="15.6" x14ac:dyDescent="0.3">
      <c r="A54" s="289"/>
      <c r="B54" s="290" t="s">
        <v>1327</v>
      </c>
      <c r="C54" s="291">
        <f>+C53-C51</f>
        <v>0</v>
      </c>
      <c r="D54" s="291">
        <f t="shared" ref="D54:U54" si="2">+D53-D51</f>
        <v>0</v>
      </c>
      <c r="E54" s="291">
        <f t="shared" si="2"/>
        <v>0</v>
      </c>
      <c r="F54" s="291">
        <f t="shared" si="2"/>
        <v>0</v>
      </c>
      <c r="G54" s="291">
        <f t="shared" si="2"/>
        <v>0</v>
      </c>
      <c r="H54" s="291">
        <f t="shared" si="2"/>
        <v>0</v>
      </c>
      <c r="I54" s="291">
        <f t="shared" si="2"/>
        <v>0</v>
      </c>
      <c r="J54" s="291">
        <f t="shared" si="2"/>
        <v>0</v>
      </c>
      <c r="K54" s="291">
        <f t="shared" si="2"/>
        <v>0</v>
      </c>
      <c r="L54" s="291">
        <f t="shared" si="2"/>
        <v>0</v>
      </c>
      <c r="M54" s="291">
        <f>+M53-M51</f>
        <v>-0.32849999703466892</v>
      </c>
      <c r="N54" s="291">
        <f t="shared" si="2"/>
        <v>-488.87999999988824</v>
      </c>
      <c r="O54" s="291">
        <f t="shared" si="2"/>
        <v>0</v>
      </c>
      <c r="P54" s="291">
        <f t="shared" si="2"/>
        <v>0</v>
      </c>
      <c r="Q54" s="291">
        <f t="shared" si="2"/>
        <v>0</v>
      </c>
      <c r="R54" s="291">
        <f t="shared" si="2"/>
        <v>21988.879999999888</v>
      </c>
      <c r="S54" s="291">
        <f t="shared" si="2"/>
        <v>16318.951499998569</v>
      </c>
      <c r="T54" s="291">
        <f t="shared" si="2"/>
        <v>21500.000000000466</v>
      </c>
      <c r="U54" s="291">
        <f t="shared" si="2"/>
        <v>-1.4999639242887497E-3</v>
      </c>
    </row>
    <row r="55" spans="1:21" x14ac:dyDescent="0.25">
      <c r="P55" s="286">
        <f>+data!CE68</f>
        <v>1577340.9</v>
      </c>
    </row>
    <row r="56" spans="1:21" x14ac:dyDescent="0.25">
      <c r="M56" s="286">
        <v>9190.84</v>
      </c>
      <c r="P56" s="286">
        <f>+P53-P55</f>
        <v>6.0000000055879354E-2</v>
      </c>
      <c r="R56" s="286" t="s">
        <v>1331</v>
      </c>
    </row>
    <row r="57" spans="1:21" x14ac:dyDescent="0.25">
      <c r="M57" s="286">
        <v>12186668.279999999</v>
      </c>
      <c r="R57" s="286" t="s">
        <v>1332</v>
      </c>
    </row>
    <row r="58" spans="1:21" x14ac:dyDescent="0.25">
      <c r="M58" s="286">
        <v>636835</v>
      </c>
    </row>
    <row r="59" spans="1:21" x14ac:dyDescent="0.25">
      <c r="M59" s="286">
        <v>3579521</v>
      </c>
    </row>
    <row r="60" spans="1:21" x14ac:dyDescent="0.25">
      <c r="M60" s="286">
        <f>SUM(M56:M59)</f>
        <v>16412215.119999999</v>
      </c>
    </row>
    <row r="61" spans="1:21" x14ac:dyDescent="0.25">
      <c r="M61" s="286">
        <f>+M60-M53</f>
        <v>-0.25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37" workbookViewId="0">
      <selection activeCell="A3" sqref="A3:U49"/>
    </sheetView>
  </sheetViews>
  <sheetFormatPr defaultRowHeight="15" x14ac:dyDescent="0.25"/>
  <cols>
    <col min="2" max="2" width="21" bestFit="1" customWidth="1"/>
    <col min="3" max="4" width="40.33203125" bestFit="1" customWidth="1"/>
    <col min="5" max="5" width="32.08203125" bestFit="1" customWidth="1"/>
    <col min="6" max="6" width="38.33203125" bestFit="1" customWidth="1"/>
    <col min="7" max="7" width="36.25" bestFit="1" customWidth="1"/>
    <col min="8" max="8" width="33.25" bestFit="1" customWidth="1"/>
    <col min="9" max="9" width="31.08203125" bestFit="1" customWidth="1"/>
    <col min="10" max="10" width="26.08203125" bestFit="1" customWidth="1"/>
    <col min="11" max="11" width="25.08203125" bestFit="1" customWidth="1"/>
    <col min="12" max="12" width="33.25" bestFit="1" customWidth="1"/>
    <col min="13" max="13" width="30.08203125" bestFit="1" customWidth="1"/>
    <col min="14" max="14" width="24" bestFit="1" customWidth="1"/>
    <col min="15" max="15" width="25.08203125" bestFit="1" customWidth="1"/>
    <col min="16" max="16" width="26.08203125" bestFit="1" customWidth="1"/>
    <col min="17" max="17" width="37.33203125" bestFit="1" customWidth="1"/>
    <col min="18" max="18" width="22" bestFit="1" customWidth="1"/>
    <col min="19" max="19" width="32.08203125" bestFit="1" customWidth="1"/>
    <col min="20" max="20" width="35.25" bestFit="1" customWidth="1"/>
    <col min="21" max="21" width="24" bestFit="1" customWidth="1"/>
    <col min="22" max="22" width="28.08203125" bestFit="1" customWidth="1"/>
  </cols>
  <sheetData>
    <row r="1" spans="1:22" s="7" customFormat="1" x14ac:dyDescent="0.25">
      <c r="A1" s="287" t="s">
        <v>1323</v>
      </c>
      <c r="B1" s="7" t="s">
        <v>1324</v>
      </c>
      <c r="C1" s="7" t="s">
        <v>1282</v>
      </c>
      <c r="D1" s="7" t="s">
        <v>1319</v>
      </c>
      <c r="E1" s="7" t="s">
        <v>1320</v>
      </c>
      <c r="F1" s="7" t="s">
        <v>1283</v>
      </c>
      <c r="G1" s="7" t="s">
        <v>1321</v>
      </c>
      <c r="H1" s="7" t="s">
        <v>1284</v>
      </c>
      <c r="I1" s="7" t="s">
        <v>1285</v>
      </c>
      <c r="J1" s="7" t="s">
        <v>1286</v>
      </c>
      <c r="K1" s="7" t="s">
        <v>1287</v>
      </c>
      <c r="L1" s="7" t="s">
        <v>1290</v>
      </c>
      <c r="M1" s="7" t="s">
        <v>1322</v>
      </c>
      <c r="N1" s="7" t="s">
        <v>1288</v>
      </c>
      <c r="O1" s="7" t="s">
        <v>1289</v>
      </c>
      <c r="P1" s="7" t="s">
        <v>1291</v>
      </c>
      <c r="Q1" s="7" t="s">
        <v>1292</v>
      </c>
      <c r="R1" s="294" t="s">
        <v>1293</v>
      </c>
      <c r="S1" s="7" t="s">
        <v>1294</v>
      </c>
      <c r="T1" s="7" t="s">
        <v>1295</v>
      </c>
      <c r="U1" s="7" t="s">
        <v>1296</v>
      </c>
    </row>
    <row r="2" spans="1:22" x14ac:dyDescent="0.25">
      <c r="A2" t="s">
        <v>1323</v>
      </c>
      <c r="B2" t="s">
        <v>1324</v>
      </c>
      <c r="C2" t="s">
        <v>1282</v>
      </c>
      <c r="D2" t="s">
        <v>1319</v>
      </c>
      <c r="E2" t="s">
        <v>1320</v>
      </c>
      <c r="F2" t="s">
        <v>1283</v>
      </c>
      <c r="G2" t="s">
        <v>1321</v>
      </c>
      <c r="H2" t="s">
        <v>1284</v>
      </c>
      <c r="I2" t="s">
        <v>1285</v>
      </c>
      <c r="J2" t="s">
        <v>1286</v>
      </c>
      <c r="K2" t="s">
        <v>1287</v>
      </c>
      <c r="L2" t="s">
        <v>1290</v>
      </c>
      <c r="M2" t="s">
        <v>1322</v>
      </c>
      <c r="N2" t="s">
        <v>1288</v>
      </c>
      <c r="O2" t="s">
        <v>1289</v>
      </c>
      <c r="P2" t="s">
        <v>1291</v>
      </c>
      <c r="Q2" t="s">
        <v>1292</v>
      </c>
      <c r="R2" t="s">
        <v>1329</v>
      </c>
      <c r="S2" t="s">
        <v>1294</v>
      </c>
      <c r="T2" t="s">
        <v>1295</v>
      </c>
      <c r="U2" t="s">
        <v>1296</v>
      </c>
      <c r="V2" t="s">
        <v>1329</v>
      </c>
    </row>
    <row r="3" spans="1:22" x14ac:dyDescent="0.25">
      <c r="A3">
        <v>6070</v>
      </c>
      <c r="B3" t="s">
        <v>665</v>
      </c>
      <c r="C3">
        <v>16994767.060000002</v>
      </c>
      <c r="E3">
        <v>3435680.12</v>
      </c>
      <c r="F3">
        <v>20430447.180000003</v>
      </c>
      <c r="G3">
        <v>20430447.180000003</v>
      </c>
      <c r="H3">
        <v>3000</v>
      </c>
      <c r="I3">
        <v>20433447.180000003</v>
      </c>
      <c r="J3">
        <v>3564840.48</v>
      </c>
      <c r="K3">
        <v>896963.07</v>
      </c>
      <c r="L3">
        <v>0</v>
      </c>
      <c r="M3">
        <v>149867.68025</v>
      </c>
      <c r="N3">
        <v>220951.94</v>
      </c>
      <c r="O3">
        <v>887.86</v>
      </c>
      <c r="P3">
        <v>3508.5299999999997</v>
      </c>
      <c r="Q3">
        <v>87265.1</v>
      </c>
      <c r="R3">
        <v>14702.240000000002</v>
      </c>
      <c r="S3">
        <v>4938986.900249999</v>
      </c>
      <c r="T3">
        <v>0</v>
      </c>
      <c r="U3">
        <v>15494460.279749999</v>
      </c>
      <c r="V3">
        <v>14702.240000000002</v>
      </c>
    </row>
    <row r="4" spans="1:22" x14ac:dyDescent="0.25">
      <c r="A4">
        <v>6120</v>
      </c>
      <c r="B4" t="s">
        <v>1325</v>
      </c>
      <c r="M4">
        <v>11978.464750000001</v>
      </c>
      <c r="R4">
        <v>0</v>
      </c>
      <c r="S4">
        <v>11978.464750000001</v>
      </c>
      <c r="U4">
        <v>-11978.464750000001</v>
      </c>
      <c r="V4">
        <v>0</v>
      </c>
    </row>
    <row r="5" spans="1:22" x14ac:dyDescent="0.25">
      <c r="A5">
        <v>7010</v>
      </c>
      <c r="B5" t="s">
        <v>1297</v>
      </c>
      <c r="C5">
        <v>7312352.2300000004</v>
      </c>
      <c r="E5">
        <v>443953.79000000004</v>
      </c>
      <c r="F5">
        <v>7756306.0200000005</v>
      </c>
      <c r="G5">
        <v>7756306.0200000005</v>
      </c>
      <c r="H5">
        <v>920</v>
      </c>
      <c r="I5">
        <v>7757226.0200000005</v>
      </c>
      <c r="J5">
        <v>1426262.6900000002</v>
      </c>
      <c r="K5">
        <v>324044.84999999998</v>
      </c>
      <c r="L5">
        <v>0</v>
      </c>
      <c r="M5">
        <v>64099.780000000006</v>
      </c>
      <c r="N5">
        <v>75735.47</v>
      </c>
      <c r="O5">
        <v>0</v>
      </c>
      <c r="P5">
        <v>1470.44</v>
      </c>
      <c r="Q5">
        <v>37465.44999999999</v>
      </c>
      <c r="R5">
        <v>9558.56</v>
      </c>
      <c r="S5">
        <v>1938637.24</v>
      </c>
      <c r="T5">
        <v>0</v>
      </c>
      <c r="U5">
        <v>5818588.7800000003</v>
      </c>
      <c r="V5">
        <v>9558.56</v>
      </c>
    </row>
    <row r="6" spans="1:22" x14ac:dyDescent="0.25">
      <c r="A6">
        <v>7020</v>
      </c>
      <c r="B6" t="s">
        <v>1298</v>
      </c>
      <c r="C6">
        <v>15708190.959999997</v>
      </c>
      <c r="E6">
        <v>46637505.379999995</v>
      </c>
      <c r="F6">
        <v>62345696.339999996</v>
      </c>
      <c r="G6">
        <v>62345696.339999996</v>
      </c>
      <c r="H6">
        <v>0</v>
      </c>
      <c r="I6">
        <v>62345696.339999996</v>
      </c>
      <c r="J6">
        <v>2104301.21</v>
      </c>
      <c r="K6">
        <v>514981.86</v>
      </c>
      <c r="L6">
        <v>58348.560000000005</v>
      </c>
      <c r="M6">
        <v>377754.8015</v>
      </c>
      <c r="N6">
        <v>2812442.45</v>
      </c>
      <c r="O6">
        <v>1774.45</v>
      </c>
      <c r="P6">
        <v>19328.41</v>
      </c>
      <c r="Q6">
        <v>919369.71</v>
      </c>
      <c r="R6">
        <v>19381.240000000002</v>
      </c>
      <c r="S6">
        <v>6827682.6915000007</v>
      </c>
      <c r="T6">
        <v>0</v>
      </c>
      <c r="U6">
        <v>55518013.648500003</v>
      </c>
      <c r="V6">
        <v>19381.240000000002</v>
      </c>
    </row>
    <row r="7" spans="1:22" x14ac:dyDescent="0.25">
      <c r="A7">
        <v>7030</v>
      </c>
      <c r="B7" t="s">
        <v>106</v>
      </c>
      <c r="C7">
        <v>1200513.04</v>
      </c>
      <c r="E7">
        <v>5481051.959999999</v>
      </c>
      <c r="F7">
        <v>6681565</v>
      </c>
      <c r="G7">
        <v>6681565</v>
      </c>
      <c r="H7">
        <v>0</v>
      </c>
      <c r="I7">
        <v>6681565</v>
      </c>
      <c r="J7">
        <v>1158402.4500000002</v>
      </c>
      <c r="K7">
        <v>262429.13999999996</v>
      </c>
      <c r="L7">
        <v>0</v>
      </c>
      <c r="M7">
        <v>10167.469999999998</v>
      </c>
      <c r="N7">
        <v>60573.529999999992</v>
      </c>
      <c r="O7">
        <v>0</v>
      </c>
      <c r="P7">
        <v>1733.72</v>
      </c>
      <c r="Q7">
        <v>13092.63</v>
      </c>
      <c r="R7">
        <v>2879.92</v>
      </c>
      <c r="S7">
        <v>1509278.8599999999</v>
      </c>
      <c r="T7">
        <v>0</v>
      </c>
      <c r="U7">
        <v>5172286.1399999997</v>
      </c>
      <c r="V7">
        <v>2879.92</v>
      </c>
    </row>
    <row r="8" spans="1:22" x14ac:dyDescent="0.25">
      <c r="A8">
        <v>7040</v>
      </c>
      <c r="B8" t="s">
        <v>1195</v>
      </c>
      <c r="C8">
        <v>1475042.26</v>
      </c>
      <c r="E8">
        <v>3812329.52</v>
      </c>
      <c r="F8">
        <v>5287371.7799999993</v>
      </c>
      <c r="G8">
        <v>5287371.7799999993</v>
      </c>
      <c r="H8">
        <v>0</v>
      </c>
      <c r="I8">
        <v>5287371.7799999993</v>
      </c>
      <c r="J8">
        <v>0</v>
      </c>
      <c r="K8">
        <v>0</v>
      </c>
      <c r="L8">
        <v>181895.50999999998</v>
      </c>
      <c r="M8">
        <v>18997.919999999998</v>
      </c>
      <c r="N8">
        <v>71345.959999999992</v>
      </c>
      <c r="O8">
        <v>0</v>
      </c>
      <c r="P8">
        <v>-95.78</v>
      </c>
      <c r="Q8">
        <v>2112.5700000000002</v>
      </c>
      <c r="R8">
        <v>0</v>
      </c>
      <c r="S8">
        <v>274256.1799999997</v>
      </c>
      <c r="T8">
        <v>0</v>
      </c>
      <c r="U8">
        <v>5013115.5999999996</v>
      </c>
      <c r="V8">
        <v>0</v>
      </c>
    </row>
    <row r="9" spans="1:22" x14ac:dyDescent="0.25">
      <c r="A9">
        <v>7050</v>
      </c>
      <c r="B9" t="s">
        <v>1299</v>
      </c>
      <c r="C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288873.27999999997</v>
      </c>
      <c r="K9">
        <v>95200.609999999986</v>
      </c>
      <c r="L9">
        <v>0</v>
      </c>
      <c r="M9">
        <v>1877.8854452499993</v>
      </c>
      <c r="N9">
        <v>-62726.289999999994</v>
      </c>
      <c r="O9">
        <v>0</v>
      </c>
      <c r="P9">
        <v>1621.07</v>
      </c>
      <c r="Q9">
        <v>0</v>
      </c>
      <c r="R9">
        <v>1189.9299999999998</v>
      </c>
      <c r="S9">
        <v>326036.48544525</v>
      </c>
      <c r="T9">
        <v>0</v>
      </c>
      <c r="U9">
        <v>-326036.48544525</v>
      </c>
      <c r="V9">
        <v>1189.9299999999998</v>
      </c>
    </row>
    <row r="10" spans="1:22" x14ac:dyDescent="0.25">
      <c r="A10">
        <v>7060</v>
      </c>
      <c r="B10" t="s">
        <v>1300</v>
      </c>
      <c r="C10">
        <v>396494.5</v>
      </c>
      <c r="E10">
        <v>34394.660000000003</v>
      </c>
      <c r="F10">
        <v>430889.16</v>
      </c>
      <c r="G10">
        <v>430889.16</v>
      </c>
      <c r="H10">
        <v>0</v>
      </c>
      <c r="I10">
        <v>430889.16</v>
      </c>
      <c r="J10">
        <v>23073.260000000002</v>
      </c>
      <c r="K10">
        <v>3765.3199999999997</v>
      </c>
      <c r="L10">
        <v>0</v>
      </c>
      <c r="M10">
        <v>21561.998500000002</v>
      </c>
      <c r="N10">
        <v>23841.649999999998</v>
      </c>
      <c r="O10">
        <v>0</v>
      </c>
      <c r="P10">
        <v>0</v>
      </c>
      <c r="Q10">
        <v>0</v>
      </c>
      <c r="R10">
        <v>0</v>
      </c>
      <c r="S10">
        <v>72242.228499999997</v>
      </c>
      <c r="T10">
        <v>0</v>
      </c>
      <c r="U10">
        <v>358646.93150000001</v>
      </c>
      <c r="V10">
        <v>0</v>
      </c>
    </row>
    <row r="11" spans="1:22" x14ac:dyDescent="0.25">
      <c r="A11">
        <v>7070</v>
      </c>
      <c r="B11" t="s">
        <v>1301</v>
      </c>
      <c r="C11">
        <v>3759650.0199999996</v>
      </c>
      <c r="E11">
        <v>8633801.7400000002</v>
      </c>
      <c r="F11">
        <v>12393451.76</v>
      </c>
      <c r="G11">
        <v>12393451.76</v>
      </c>
      <c r="H11">
        <v>43396.52</v>
      </c>
      <c r="I11">
        <v>12436848.280000001</v>
      </c>
      <c r="J11">
        <v>858415.46</v>
      </c>
      <c r="K11">
        <v>230741.17</v>
      </c>
      <c r="L11">
        <v>22327.32</v>
      </c>
      <c r="M11">
        <v>295653.44999999995</v>
      </c>
      <c r="N11">
        <v>491972.32999999996</v>
      </c>
      <c r="O11">
        <v>194.76</v>
      </c>
      <c r="P11">
        <v>69001.740000000005</v>
      </c>
      <c r="Q11">
        <v>28368.240000000002</v>
      </c>
      <c r="R11">
        <v>46034.03</v>
      </c>
      <c r="S11">
        <v>2042708.5</v>
      </c>
      <c r="T11">
        <v>0</v>
      </c>
      <c r="U11">
        <v>10394139.779999999</v>
      </c>
      <c r="V11">
        <v>46034.03</v>
      </c>
    </row>
    <row r="12" spans="1:22" x14ac:dyDescent="0.25">
      <c r="A12">
        <v>7120</v>
      </c>
      <c r="B12" t="s">
        <v>1302</v>
      </c>
      <c r="C12">
        <v>213265.9</v>
      </c>
      <c r="E12">
        <v>2704707</v>
      </c>
      <c r="F12">
        <v>2917972.9000000004</v>
      </c>
      <c r="G12">
        <v>2917972.9000000004</v>
      </c>
      <c r="H12">
        <v>0</v>
      </c>
      <c r="I12">
        <v>2917972.9000000004</v>
      </c>
      <c r="J12">
        <v>209088.92000000004</v>
      </c>
      <c r="K12">
        <v>47067.520000000004</v>
      </c>
      <c r="L12">
        <v>2300</v>
      </c>
      <c r="M12">
        <v>134669.01</v>
      </c>
      <c r="N12">
        <v>14489.189999999999</v>
      </c>
      <c r="O12">
        <v>0</v>
      </c>
      <c r="P12">
        <v>0</v>
      </c>
      <c r="Q12">
        <v>164794.84999999998</v>
      </c>
      <c r="R12">
        <v>0</v>
      </c>
      <c r="S12">
        <v>572409.49</v>
      </c>
      <c r="T12">
        <v>0</v>
      </c>
      <c r="U12">
        <v>2345563.41</v>
      </c>
      <c r="V12">
        <v>0</v>
      </c>
    </row>
    <row r="13" spans="1:22" x14ac:dyDescent="0.25">
      <c r="A13">
        <v>7130</v>
      </c>
      <c r="B13" t="s">
        <v>1303</v>
      </c>
      <c r="C13">
        <v>1226179.54</v>
      </c>
      <c r="E13">
        <v>10823852.74</v>
      </c>
      <c r="F13">
        <v>12050032.279999999</v>
      </c>
      <c r="G13">
        <v>12050032.279999999</v>
      </c>
      <c r="H13">
        <v>0</v>
      </c>
      <c r="I13">
        <v>12050032.279999999</v>
      </c>
      <c r="J13">
        <v>502678.26</v>
      </c>
      <c r="K13">
        <v>119530.18</v>
      </c>
      <c r="L13">
        <v>1350</v>
      </c>
      <c r="M13">
        <v>101234.34999999999</v>
      </c>
      <c r="N13">
        <v>53595.25</v>
      </c>
      <c r="O13">
        <v>0</v>
      </c>
      <c r="P13">
        <v>0</v>
      </c>
      <c r="Q13">
        <v>0</v>
      </c>
      <c r="R13">
        <v>391.62</v>
      </c>
      <c r="S13">
        <v>778779.66</v>
      </c>
      <c r="T13">
        <v>0</v>
      </c>
      <c r="U13">
        <v>11271252.620000001</v>
      </c>
      <c r="V13">
        <v>391.62</v>
      </c>
    </row>
    <row r="14" spans="1:22" x14ac:dyDescent="0.25">
      <c r="A14">
        <v>7140</v>
      </c>
      <c r="B14" t="s">
        <v>1304</v>
      </c>
      <c r="C14">
        <v>656273.42000000004</v>
      </c>
      <c r="E14">
        <v>6609568.4500000002</v>
      </c>
      <c r="F14">
        <v>7265841.8699999992</v>
      </c>
      <c r="G14">
        <v>7265841.8699999992</v>
      </c>
      <c r="H14">
        <v>4294.76</v>
      </c>
      <c r="I14">
        <v>7270136.6299999999</v>
      </c>
      <c r="J14">
        <v>1045809.79</v>
      </c>
      <c r="K14">
        <v>261703.69999999998</v>
      </c>
      <c r="L14">
        <v>12579</v>
      </c>
      <c r="M14">
        <v>158235</v>
      </c>
      <c r="N14">
        <v>20308.439999999995</v>
      </c>
      <c r="O14">
        <v>76.13</v>
      </c>
      <c r="P14">
        <v>4070.01</v>
      </c>
      <c r="Q14">
        <v>204251.8</v>
      </c>
      <c r="R14">
        <v>2135</v>
      </c>
      <c r="S14">
        <v>1709168.8699999996</v>
      </c>
      <c r="T14">
        <v>0</v>
      </c>
      <c r="U14">
        <v>5560967.7600000007</v>
      </c>
      <c r="V14">
        <v>2135</v>
      </c>
    </row>
    <row r="15" spans="1:22" x14ac:dyDescent="0.25">
      <c r="A15">
        <v>7160</v>
      </c>
      <c r="B15" t="s">
        <v>1305</v>
      </c>
      <c r="C15">
        <v>56820.73</v>
      </c>
      <c r="E15">
        <v>820917.84000000008</v>
      </c>
      <c r="F15">
        <v>877738.57000000018</v>
      </c>
      <c r="G15">
        <v>877738.57000000018</v>
      </c>
      <c r="H15">
        <v>0</v>
      </c>
      <c r="I15">
        <v>877738.57000000018</v>
      </c>
      <c r="J15">
        <v>149186.23999999999</v>
      </c>
      <c r="K15">
        <v>32977.299999999996</v>
      </c>
      <c r="L15">
        <v>4375</v>
      </c>
      <c r="M15">
        <v>21442.89</v>
      </c>
      <c r="N15">
        <v>69406.92</v>
      </c>
      <c r="O15">
        <v>0</v>
      </c>
      <c r="P15">
        <v>0</v>
      </c>
      <c r="Q15">
        <v>10962.9</v>
      </c>
      <c r="R15">
        <v>254.37</v>
      </c>
      <c r="S15">
        <v>288605.62</v>
      </c>
      <c r="T15">
        <v>0</v>
      </c>
      <c r="U15">
        <v>589132.95000000019</v>
      </c>
      <c r="V15">
        <v>254.37</v>
      </c>
    </row>
    <row r="16" spans="1:22" x14ac:dyDescent="0.25">
      <c r="A16">
        <v>7170</v>
      </c>
      <c r="B16" t="s">
        <v>115</v>
      </c>
      <c r="C16">
        <v>8885593.6999999993</v>
      </c>
      <c r="E16">
        <v>18910496.670000002</v>
      </c>
      <c r="F16">
        <v>27796090.370000001</v>
      </c>
      <c r="G16">
        <v>27796090.370000001</v>
      </c>
      <c r="H16">
        <v>0</v>
      </c>
      <c r="I16">
        <v>27796090.370000001</v>
      </c>
      <c r="J16">
        <v>648606.49</v>
      </c>
      <c r="K16">
        <v>138024.24</v>
      </c>
      <c r="L16">
        <v>0</v>
      </c>
      <c r="M16">
        <v>91188.98</v>
      </c>
      <c r="N16">
        <v>1016175</v>
      </c>
      <c r="O16">
        <v>165.45</v>
      </c>
      <c r="P16">
        <v>9168.36</v>
      </c>
      <c r="Q16">
        <v>46603.78</v>
      </c>
      <c r="R16">
        <v>2746.4</v>
      </c>
      <c r="S16">
        <v>1952678.6999999997</v>
      </c>
      <c r="T16">
        <v>0</v>
      </c>
      <c r="U16">
        <v>25843411.670000002</v>
      </c>
      <c r="V16">
        <v>2746.4</v>
      </c>
    </row>
    <row r="17" spans="1:22" x14ac:dyDescent="0.25">
      <c r="A17">
        <v>7180</v>
      </c>
      <c r="B17" t="s">
        <v>1306</v>
      </c>
      <c r="C17">
        <v>2241837.59</v>
      </c>
      <c r="E17">
        <v>2342872.6</v>
      </c>
      <c r="F17">
        <v>4584710.1900000013</v>
      </c>
      <c r="G17">
        <v>4584710.1900000013</v>
      </c>
      <c r="H17">
        <v>0</v>
      </c>
      <c r="I17">
        <v>4584710.1900000013</v>
      </c>
      <c r="J17">
        <v>515744.67</v>
      </c>
      <c r="K17">
        <v>137051.85</v>
      </c>
      <c r="L17">
        <v>0</v>
      </c>
      <c r="M17">
        <v>458.7</v>
      </c>
      <c r="N17">
        <v>21727.800000000003</v>
      </c>
      <c r="O17">
        <v>16.2</v>
      </c>
      <c r="P17">
        <v>42.029999999999994</v>
      </c>
      <c r="Q17">
        <v>9726.92</v>
      </c>
      <c r="R17">
        <v>3461.2700000000004</v>
      </c>
      <c r="S17">
        <v>688229.44000000006</v>
      </c>
      <c r="T17">
        <v>0</v>
      </c>
      <c r="U17">
        <v>3896480.75</v>
      </c>
      <c r="V17">
        <v>3461.2700000000004</v>
      </c>
    </row>
    <row r="18" spans="1:22" x14ac:dyDescent="0.25">
      <c r="A18">
        <v>7200</v>
      </c>
      <c r="B18" t="s">
        <v>709</v>
      </c>
      <c r="C18">
        <v>369191.35</v>
      </c>
      <c r="E18">
        <v>93148.59</v>
      </c>
      <c r="F18">
        <v>462339.94</v>
      </c>
      <c r="G18">
        <v>462339.94</v>
      </c>
      <c r="H18">
        <v>0</v>
      </c>
      <c r="I18">
        <v>462339.94</v>
      </c>
      <c r="J18">
        <v>0</v>
      </c>
      <c r="K18">
        <v>0</v>
      </c>
      <c r="L18">
        <v>0</v>
      </c>
      <c r="M18">
        <v>129464.20999999998</v>
      </c>
      <c r="N18">
        <v>0</v>
      </c>
      <c r="O18">
        <v>0</v>
      </c>
      <c r="P18">
        <v>0</v>
      </c>
      <c r="Q18">
        <v>0</v>
      </c>
      <c r="R18">
        <v>0</v>
      </c>
      <c r="S18">
        <v>129464.20999999998</v>
      </c>
      <c r="T18">
        <v>0</v>
      </c>
      <c r="U18">
        <v>332875.73</v>
      </c>
      <c r="V18">
        <v>0</v>
      </c>
    </row>
    <row r="19" spans="1:22" x14ac:dyDescent="0.25">
      <c r="A19">
        <v>7230</v>
      </c>
      <c r="B19" t="s">
        <v>118</v>
      </c>
      <c r="C19">
        <v>1976398.42</v>
      </c>
      <c r="E19">
        <v>45075550.980000004</v>
      </c>
      <c r="F19">
        <v>47051949.399999999</v>
      </c>
      <c r="G19">
        <v>47051949.399999999</v>
      </c>
      <c r="H19">
        <v>0</v>
      </c>
      <c r="I19">
        <v>47051949.399999999</v>
      </c>
      <c r="J19">
        <v>2213607.4300000002</v>
      </c>
      <c r="K19">
        <v>533006.6100000001</v>
      </c>
      <c r="L19">
        <v>281006.54000000004</v>
      </c>
      <c r="M19">
        <v>138003.81160000002</v>
      </c>
      <c r="N19">
        <v>226408.86999999997</v>
      </c>
      <c r="O19">
        <v>649.86</v>
      </c>
      <c r="P19">
        <v>1171.17</v>
      </c>
      <c r="Q19">
        <v>44417.15</v>
      </c>
      <c r="R19">
        <v>7519.880000000001</v>
      </c>
      <c r="S19">
        <v>3445791.3215999999</v>
      </c>
      <c r="T19">
        <v>0</v>
      </c>
      <c r="U19">
        <v>43606158.078400001</v>
      </c>
      <c r="V19">
        <v>7519.880000000001</v>
      </c>
    </row>
    <row r="20" spans="1:22" x14ac:dyDescent="0.25">
      <c r="A20">
        <v>7260</v>
      </c>
      <c r="B20" t="s">
        <v>121</v>
      </c>
      <c r="C20">
        <v>0</v>
      </c>
      <c r="D20">
        <v>29745864.150000002</v>
      </c>
      <c r="E20">
        <v>29749292.790000003</v>
      </c>
      <c r="F20">
        <v>29749292.790000003</v>
      </c>
      <c r="G20">
        <v>13923161.790000003</v>
      </c>
      <c r="H20">
        <v>298814.52</v>
      </c>
      <c r="I20">
        <v>14221976.310000002</v>
      </c>
      <c r="J20">
        <v>12281694.259999998</v>
      </c>
      <c r="K20">
        <v>2287695.91</v>
      </c>
      <c r="L20">
        <v>0</v>
      </c>
      <c r="M20">
        <v>1176950.7100000002</v>
      </c>
      <c r="N20">
        <v>780648.15</v>
      </c>
      <c r="O20">
        <v>108783.66</v>
      </c>
      <c r="P20">
        <v>1111412.71</v>
      </c>
      <c r="Q20">
        <v>669014.69999999995</v>
      </c>
      <c r="R20">
        <v>539749.29</v>
      </c>
      <c r="S20">
        <v>18955949.390000001</v>
      </c>
      <c r="T20">
        <v>67060.460000000006</v>
      </c>
      <c r="U20">
        <v>-4801033.5399999991</v>
      </c>
      <c r="V20">
        <v>539749.29</v>
      </c>
    </row>
    <row r="21" spans="1:22" x14ac:dyDescent="0.25">
      <c r="A21">
        <v>7310</v>
      </c>
      <c r="B21" t="s">
        <v>719</v>
      </c>
      <c r="C21">
        <v>250755.29</v>
      </c>
      <c r="E21">
        <v>41796.25</v>
      </c>
      <c r="F21">
        <v>292551.54000000004</v>
      </c>
      <c r="G21">
        <v>292551.54000000004</v>
      </c>
      <c r="H21">
        <v>0</v>
      </c>
      <c r="I21">
        <v>292551.54000000004</v>
      </c>
      <c r="J21">
        <v>0</v>
      </c>
      <c r="K21">
        <v>0</v>
      </c>
      <c r="L21">
        <v>0</v>
      </c>
      <c r="M21">
        <v>66540.460000000006</v>
      </c>
      <c r="N21">
        <v>0</v>
      </c>
      <c r="O21">
        <v>0</v>
      </c>
      <c r="P21">
        <v>0</v>
      </c>
      <c r="Q21">
        <v>0</v>
      </c>
      <c r="R21">
        <v>0</v>
      </c>
      <c r="S21">
        <v>66540.460000000006</v>
      </c>
      <c r="T21">
        <v>0</v>
      </c>
      <c r="U21">
        <v>226011.08000000005</v>
      </c>
      <c r="V21">
        <v>0</v>
      </c>
    </row>
    <row r="22" spans="1:22" x14ac:dyDescent="0.25">
      <c r="A22">
        <v>7320</v>
      </c>
      <c r="B22" t="s">
        <v>721</v>
      </c>
      <c r="C22">
        <v>59859.149999999994</v>
      </c>
      <c r="E22">
        <v>8962.5999999999985</v>
      </c>
      <c r="F22">
        <v>68821.75</v>
      </c>
      <c r="G22">
        <v>68821.75</v>
      </c>
      <c r="H22">
        <v>0</v>
      </c>
      <c r="I22">
        <v>68821.75</v>
      </c>
      <c r="J22">
        <v>191.88</v>
      </c>
      <c r="K22">
        <v>22.92</v>
      </c>
      <c r="L22">
        <v>0</v>
      </c>
      <c r="M22">
        <v>21219.3</v>
      </c>
      <c r="N22">
        <v>0</v>
      </c>
      <c r="O22">
        <v>0</v>
      </c>
      <c r="P22">
        <v>0</v>
      </c>
      <c r="Q22">
        <v>0</v>
      </c>
      <c r="R22">
        <v>33.64</v>
      </c>
      <c r="S22">
        <v>21467.739999999998</v>
      </c>
      <c r="T22">
        <v>0</v>
      </c>
      <c r="U22">
        <v>47354.01</v>
      </c>
      <c r="V22">
        <v>33.64</v>
      </c>
    </row>
    <row r="23" spans="1:22" x14ac:dyDescent="0.25">
      <c r="A23">
        <v>7490</v>
      </c>
      <c r="B23" t="s">
        <v>1307</v>
      </c>
      <c r="M23">
        <v>230421.08142</v>
      </c>
      <c r="R23">
        <v>0</v>
      </c>
      <c r="S23">
        <v>230421.08142</v>
      </c>
      <c r="U23">
        <v>-230421.08142</v>
      </c>
      <c r="V23">
        <v>0</v>
      </c>
    </row>
    <row r="24" spans="1:22" x14ac:dyDescent="0.25">
      <c r="A24">
        <v>8310</v>
      </c>
      <c r="B24" t="s">
        <v>1308</v>
      </c>
      <c r="M24">
        <v>19488.455999999998</v>
      </c>
      <c r="R24">
        <v>0</v>
      </c>
      <c r="S24">
        <v>19488.455999999998</v>
      </c>
      <c r="U24">
        <v>-19488.455999999998</v>
      </c>
      <c r="V24">
        <v>0</v>
      </c>
    </row>
    <row r="25" spans="1:22" x14ac:dyDescent="0.25">
      <c r="A25">
        <v>8320</v>
      </c>
      <c r="B25" t="s">
        <v>135</v>
      </c>
      <c r="C25">
        <v>0</v>
      </c>
      <c r="E25">
        <v>0</v>
      </c>
      <c r="F25">
        <v>0</v>
      </c>
      <c r="G25">
        <v>0</v>
      </c>
      <c r="H25">
        <v>368135.84</v>
      </c>
      <c r="I25">
        <v>368135.84</v>
      </c>
      <c r="J25">
        <v>476831.27</v>
      </c>
      <c r="K25">
        <v>197116.23000000004</v>
      </c>
      <c r="L25">
        <v>0</v>
      </c>
      <c r="M25">
        <v>314824.19</v>
      </c>
      <c r="N25">
        <v>279540.6399999999</v>
      </c>
      <c r="O25">
        <v>361.11</v>
      </c>
      <c r="P25">
        <v>3497.49</v>
      </c>
      <c r="Q25">
        <v>40309.71</v>
      </c>
      <c r="R25">
        <v>21381.279999999999</v>
      </c>
      <c r="S25">
        <v>1333861.92</v>
      </c>
      <c r="T25">
        <v>0</v>
      </c>
      <c r="U25">
        <v>-965726.08000000019</v>
      </c>
      <c r="V25">
        <v>21381.279999999999</v>
      </c>
    </row>
    <row r="26" spans="1:22" x14ac:dyDescent="0.25">
      <c r="A26">
        <v>8430</v>
      </c>
      <c r="B26" t="s">
        <v>140</v>
      </c>
      <c r="C26">
        <v>0</v>
      </c>
      <c r="E26">
        <v>0</v>
      </c>
      <c r="F26">
        <v>0</v>
      </c>
      <c r="G26">
        <v>0</v>
      </c>
      <c r="H26">
        <v>10.89</v>
      </c>
      <c r="I26">
        <v>10.89</v>
      </c>
      <c r="J26">
        <v>265282.07000000007</v>
      </c>
      <c r="K26">
        <v>78260.840000000011</v>
      </c>
      <c r="L26">
        <v>0</v>
      </c>
      <c r="M26">
        <v>1715730.0719999997</v>
      </c>
      <c r="N26">
        <v>16198.619999999999</v>
      </c>
      <c r="O26">
        <v>408804.30999999994</v>
      </c>
      <c r="P26">
        <v>10257.879999999999</v>
      </c>
      <c r="Q26">
        <v>22297.62</v>
      </c>
      <c r="R26">
        <v>1883.3000000000004</v>
      </c>
      <c r="S26">
        <v>2518714.7119999998</v>
      </c>
      <c r="T26">
        <v>0</v>
      </c>
      <c r="U26">
        <v>-2518703.8219999997</v>
      </c>
      <c r="V26">
        <v>1883.3000000000004</v>
      </c>
    </row>
    <row r="27" spans="1:22" x14ac:dyDescent="0.25">
      <c r="A27">
        <v>8460</v>
      </c>
      <c r="B27" t="s">
        <v>141</v>
      </c>
      <c r="C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554415.68999999994</v>
      </c>
      <c r="K27">
        <v>200782.41000000003</v>
      </c>
      <c r="L27">
        <v>0</v>
      </c>
      <c r="M27">
        <v>94333.430000000022</v>
      </c>
      <c r="N27">
        <v>58106.160000000011</v>
      </c>
      <c r="O27">
        <v>368.27</v>
      </c>
      <c r="P27">
        <v>2010.77</v>
      </c>
      <c r="Q27">
        <v>9966.25</v>
      </c>
      <c r="R27">
        <v>455.27</v>
      </c>
      <c r="S27">
        <v>920438.25000000012</v>
      </c>
      <c r="T27">
        <v>0</v>
      </c>
      <c r="U27">
        <v>-920438.25000000012</v>
      </c>
      <c r="V27">
        <v>455.27</v>
      </c>
    </row>
    <row r="28" spans="1:22" x14ac:dyDescent="0.25">
      <c r="A28">
        <v>8470</v>
      </c>
      <c r="B28" t="s">
        <v>606</v>
      </c>
      <c r="C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-1561.38</v>
      </c>
      <c r="K28">
        <v>-426.38</v>
      </c>
      <c r="L28">
        <v>0</v>
      </c>
      <c r="M28">
        <v>83895.798250000007</v>
      </c>
      <c r="N28">
        <v>0</v>
      </c>
      <c r="O28">
        <v>33153.119999999995</v>
      </c>
      <c r="P28">
        <v>0</v>
      </c>
      <c r="Q28">
        <v>0</v>
      </c>
      <c r="R28">
        <v>0</v>
      </c>
      <c r="S28">
        <v>115061.15825000001</v>
      </c>
      <c r="T28">
        <v>0</v>
      </c>
      <c r="U28">
        <v>-115061.15825000001</v>
      </c>
      <c r="V28">
        <v>0</v>
      </c>
    </row>
    <row r="29" spans="1:22" x14ac:dyDescent="0.25">
      <c r="A29">
        <v>8480</v>
      </c>
      <c r="B29" t="s">
        <v>637</v>
      </c>
      <c r="C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614012.13500000001</v>
      </c>
      <c r="N29">
        <v>123.35</v>
      </c>
      <c r="O29">
        <v>0</v>
      </c>
      <c r="P29">
        <v>2824.17</v>
      </c>
      <c r="Q29">
        <v>84114.2</v>
      </c>
      <c r="R29">
        <v>0</v>
      </c>
      <c r="S29">
        <v>701073.85499999998</v>
      </c>
      <c r="T29">
        <v>0</v>
      </c>
      <c r="U29">
        <v>-701073.85499999998</v>
      </c>
      <c r="V29">
        <v>0</v>
      </c>
    </row>
    <row r="30" spans="1:22" x14ac:dyDescent="0.25">
      <c r="A30">
        <v>8490</v>
      </c>
      <c r="B30" t="s">
        <v>144</v>
      </c>
      <c r="C30">
        <v>0</v>
      </c>
      <c r="E30">
        <v>0</v>
      </c>
      <c r="F30">
        <v>0</v>
      </c>
      <c r="G30">
        <v>0</v>
      </c>
      <c r="H30">
        <v>0.17000000000007276</v>
      </c>
      <c r="I30">
        <v>0.17000000000007276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0.17000000000007276</v>
      </c>
      <c r="V30">
        <v>0</v>
      </c>
    </row>
    <row r="31" spans="1:22" x14ac:dyDescent="0.25">
      <c r="A31">
        <v>8510</v>
      </c>
      <c r="B31" t="s">
        <v>145</v>
      </c>
      <c r="M31">
        <v>87264.259249999988</v>
      </c>
      <c r="R31">
        <v>0</v>
      </c>
      <c r="S31">
        <v>87264.259249999988</v>
      </c>
      <c r="U31">
        <v>-87264.259249999988</v>
      </c>
      <c r="V31">
        <v>0</v>
      </c>
    </row>
    <row r="32" spans="1:22" x14ac:dyDescent="0.25">
      <c r="A32">
        <v>8530</v>
      </c>
      <c r="B32" t="s">
        <v>1309</v>
      </c>
      <c r="M32">
        <v>557814.17985347495</v>
      </c>
      <c r="R32">
        <v>0</v>
      </c>
      <c r="S32">
        <v>557814.17985347495</v>
      </c>
      <c r="U32">
        <v>-557814.17985347495</v>
      </c>
      <c r="V32">
        <v>0</v>
      </c>
    </row>
    <row r="33" spans="1:22" x14ac:dyDescent="0.25">
      <c r="A33">
        <v>8560</v>
      </c>
      <c r="B33" t="s">
        <v>147</v>
      </c>
      <c r="C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1505435.66738</v>
      </c>
      <c r="N33">
        <v>9290.630000000001</v>
      </c>
      <c r="O33">
        <v>0</v>
      </c>
      <c r="P33">
        <v>9236.6</v>
      </c>
      <c r="Q33">
        <v>142.08000000000001</v>
      </c>
      <c r="R33">
        <v>7.52</v>
      </c>
      <c r="S33">
        <v>1524112.4973800001</v>
      </c>
      <c r="T33">
        <v>0</v>
      </c>
      <c r="U33">
        <v>-1524112.4973800001</v>
      </c>
      <c r="V33">
        <v>7.52</v>
      </c>
    </row>
    <row r="34" spans="1:22" x14ac:dyDescent="0.25">
      <c r="A34">
        <v>8610</v>
      </c>
      <c r="B34" t="s">
        <v>193</v>
      </c>
      <c r="C34">
        <v>0</v>
      </c>
      <c r="E34">
        <v>0</v>
      </c>
      <c r="F34">
        <v>0</v>
      </c>
      <c r="G34">
        <v>0</v>
      </c>
      <c r="H34">
        <v>6715.5899999999992</v>
      </c>
      <c r="I34">
        <v>6715.5899999999992</v>
      </c>
      <c r="J34">
        <v>309278.28000000003</v>
      </c>
      <c r="K34">
        <v>60604.42</v>
      </c>
      <c r="L34">
        <v>0</v>
      </c>
      <c r="M34">
        <v>635143.1647136251</v>
      </c>
      <c r="N34">
        <v>22510.439999999995</v>
      </c>
      <c r="O34">
        <v>441.81</v>
      </c>
      <c r="P34">
        <v>12098.840000000002</v>
      </c>
      <c r="Q34">
        <v>6809.36</v>
      </c>
      <c r="R34">
        <v>39300.89</v>
      </c>
      <c r="S34">
        <v>1086187.2047136251</v>
      </c>
      <c r="T34">
        <v>0</v>
      </c>
      <c r="U34">
        <v>-1079471.6147136251</v>
      </c>
      <c r="V34">
        <v>39300.89</v>
      </c>
    </row>
    <row r="35" spans="1:22" x14ac:dyDescent="0.25">
      <c r="A35">
        <v>8620</v>
      </c>
      <c r="B35" t="s">
        <v>1310</v>
      </c>
      <c r="M35">
        <v>63607.626500000006</v>
      </c>
      <c r="R35">
        <v>0</v>
      </c>
      <c r="S35">
        <v>63607.626500000006</v>
      </c>
      <c r="U35">
        <v>-63607.626500000006</v>
      </c>
      <c r="V35">
        <v>0</v>
      </c>
    </row>
    <row r="36" spans="1:22" x14ac:dyDescent="0.25">
      <c r="A36">
        <v>8630</v>
      </c>
      <c r="B36" t="s">
        <v>1316</v>
      </c>
      <c r="M36">
        <v>335208.30449999997</v>
      </c>
      <c r="R36">
        <v>0</v>
      </c>
      <c r="S36">
        <v>335208.30449999997</v>
      </c>
      <c r="U36">
        <v>-335208.30449999997</v>
      </c>
      <c r="V36">
        <v>0</v>
      </c>
    </row>
    <row r="37" spans="1:22" x14ac:dyDescent="0.25">
      <c r="A37">
        <v>8650</v>
      </c>
      <c r="B37" t="s">
        <v>152</v>
      </c>
      <c r="C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46.550000000030643</v>
      </c>
      <c r="L37">
        <v>0</v>
      </c>
      <c r="M37">
        <v>214014.21275000001</v>
      </c>
      <c r="N37">
        <v>0</v>
      </c>
      <c r="O37">
        <v>0</v>
      </c>
      <c r="P37">
        <v>0</v>
      </c>
      <c r="Q37">
        <v>0</v>
      </c>
      <c r="R37">
        <v>218.95</v>
      </c>
      <c r="S37">
        <v>214060.76275000005</v>
      </c>
      <c r="T37">
        <v>0</v>
      </c>
      <c r="U37">
        <v>-214279.71275000006</v>
      </c>
      <c r="V37">
        <v>218.95</v>
      </c>
    </row>
    <row r="38" spans="1:22" x14ac:dyDescent="0.25">
      <c r="A38">
        <v>8660</v>
      </c>
      <c r="B38" t="s">
        <v>1311</v>
      </c>
      <c r="M38">
        <v>17575.629749999996</v>
      </c>
      <c r="R38">
        <v>0</v>
      </c>
      <c r="S38">
        <v>17575.629749999996</v>
      </c>
      <c r="U38">
        <v>-17575.629749999996</v>
      </c>
      <c r="V38">
        <v>0</v>
      </c>
    </row>
    <row r="39" spans="1:22" x14ac:dyDescent="0.25">
      <c r="A39">
        <v>8670</v>
      </c>
      <c r="B39" t="s">
        <v>154</v>
      </c>
      <c r="M39">
        <v>30091.622249999997</v>
      </c>
      <c r="R39">
        <v>0</v>
      </c>
      <c r="S39">
        <v>30091.622249999997</v>
      </c>
      <c r="U39">
        <v>-30091.622249999997</v>
      </c>
      <c r="V39">
        <v>0</v>
      </c>
    </row>
    <row r="40" spans="1:22" x14ac:dyDescent="0.25">
      <c r="A40">
        <v>8680</v>
      </c>
      <c r="B40" t="s">
        <v>646</v>
      </c>
      <c r="M40">
        <v>10482.752750000003</v>
      </c>
      <c r="R40">
        <v>0</v>
      </c>
      <c r="S40">
        <v>10482.752750000003</v>
      </c>
      <c r="U40">
        <v>-10482.752750000003</v>
      </c>
      <c r="V40">
        <v>0</v>
      </c>
    </row>
    <row r="41" spans="1:22" x14ac:dyDescent="0.25">
      <c r="A41">
        <v>8690</v>
      </c>
      <c r="B41" t="s">
        <v>648</v>
      </c>
      <c r="M41">
        <v>767035.98836307495</v>
      </c>
      <c r="R41">
        <v>0</v>
      </c>
      <c r="S41">
        <v>767035.98836307495</v>
      </c>
      <c r="U41">
        <v>-767035.98836307495</v>
      </c>
      <c r="V41">
        <v>0</v>
      </c>
    </row>
    <row r="42" spans="1:22" x14ac:dyDescent="0.25">
      <c r="A42">
        <v>8700</v>
      </c>
      <c r="B42" t="s">
        <v>650</v>
      </c>
      <c r="M42">
        <v>154452.670456375</v>
      </c>
      <c r="R42">
        <v>0</v>
      </c>
      <c r="S42">
        <v>154452.670456375</v>
      </c>
      <c r="U42">
        <v>-154452.670456375</v>
      </c>
      <c r="V42">
        <v>0</v>
      </c>
    </row>
    <row r="43" spans="1:22" x14ac:dyDescent="0.25">
      <c r="A43">
        <v>8710</v>
      </c>
      <c r="B43" t="s">
        <v>1312</v>
      </c>
      <c r="C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86798.430000000022</v>
      </c>
      <c r="K43">
        <v>22439.47</v>
      </c>
      <c r="L43">
        <v>0</v>
      </c>
      <c r="M43">
        <v>798463.59161359991</v>
      </c>
      <c r="N43">
        <v>40.54</v>
      </c>
      <c r="O43">
        <v>0</v>
      </c>
      <c r="P43">
        <v>83.02</v>
      </c>
      <c r="Q43">
        <v>0</v>
      </c>
      <c r="R43">
        <v>498.93</v>
      </c>
      <c r="S43">
        <v>908323.98161359993</v>
      </c>
      <c r="T43">
        <v>0</v>
      </c>
      <c r="U43">
        <v>-908323.98161359993</v>
      </c>
      <c r="V43">
        <v>498.93</v>
      </c>
    </row>
    <row r="44" spans="1:22" x14ac:dyDescent="0.25">
      <c r="A44">
        <v>8720</v>
      </c>
      <c r="B44" t="s">
        <v>1313</v>
      </c>
      <c r="C44">
        <v>0</v>
      </c>
      <c r="E44">
        <v>0</v>
      </c>
      <c r="F44">
        <v>0</v>
      </c>
      <c r="G44">
        <v>0</v>
      </c>
      <c r="H44">
        <v>331.77</v>
      </c>
      <c r="I44">
        <v>331.77</v>
      </c>
      <c r="J44">
        <v>1178551.56</v>
      </c>
      <c r="K44">
        <v>283033.93</v>
      </c>
      <c r="L44">
        <v>0</v>
      </c>
      <c r="M44">
        <v>28829.389150000003</v>
      </c>
      <c r="N44">
        <v>3274.8399999999992</v>
      </c>
      <c r="O44">
        <v>707.34999999999991</v>
      </c>
      <c r="P44">
        <v>4559.3599999999997</v>
      </c>
      <c r="Q44">
        <v>0</v>
      </c>
      <c r="R44">
        <v>6401.09</v>
      </c>
      <c r="S44">
        <v>1505357.5191499998</v>
      </c>
      <c r="T44">
        <v>0</v>
      </c>
      <c r="U44">
        <v>-1505025.7491499998</v>
      </c>
      <c r="V44">
        <v>6401.09</v>
      </c>
    </row>
    <row r="45" spans="1:22" x14ac:dyDescent="0.25">
      <c r="A45">
        <v>8740</v>
      </c>
      <c r="B45" t="s">
        <v>201</v>
      </c>
      <c r="M45">
        <v>93033.581999999995</v>
      </c>
      <c r="R45">
        <v>0</v>
      </c>
      <c r="S45">
        <v>93033.581999999995</v>
      </c>
      <c r="U45">
        <v>-93033.581999999995</v>
      </c>
      <c r="V45">
        <v>0</v>
      </c>
    </row>
    <row r="46" spans="1:22" x14ac:dyDescent="0.25">
      <c r="A46">
        <v>8770</v>
      </c>
      <c r="B46" t="s">
        <v>1314</v>
      </c>
      <c r="M46">
        <v>11254.406750000002</v>
      </c>
      <c r="R46">
        <v>0</v>
      </c>
      <c r="S46">
        <v>11254.406750000002</v>
      </c>
      <c r="U46">
        <v>-11254.406750000002</v>
      </c>
      <c r="V46">
        <v>0</v>
      </c>
    </row>
    <row r="47" spans="1:22" x14ac:dyDescent="0.25">
      <c r="A47">
        <v>8790</v>
      </c>
      <c r="B47" t="s">
        <v>1315</v>
      </c>
      <c r="C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300.62000000000012</v>
      </c>
      <c r="K47">
        <v>86.140000000000015</v>
      </c>
      <c r="L47">
        <v>0</v>
      </c>
      <c r="M47">
        <v>7454.3632049000007</v>
      </c>
      <c r="N47">
        <v>0</v>
      </c>
      <c r="O47">
        <v>0</v>
      </c>
      <c r="P47">
        <v>0</v>
      </c>
      <c r="Q47">
        <v>0</v>
      </c>
      <c r="R47">
        <v>0</v>
      </c>
      <c r="S47">
        <v>7841.1232048999991</v>
      </c>
      <c r="T47">
        <v>0</v>
      </c>
      <c r="U47">
        <v>-7841.1232048999991</v>
      </c>
      <c r="V47">
        <v>0</v>
      </c>
    </row>
    <row r="48" spans="1:22" x14ac:dyDescent="0.25">
      <c r="A48">
        <v>8900</v>
      </c>
      <c r="B48" t="s">
        <v>211</v>
      </c>
      <c r="C48">
        <v>-46604.3</v>
      </c>
      <c r="E48">
        <v>-149117.07999999999</v>
      </c>
      <c r="F48">
        <v>-195721.37999999995</v>
      </c>
      <c r="G48">
        <v>-156806626.79999998</v>
      </c>
      <c r="H48">
        <v>0</v>
      </c>
      <c r="I48">
        <v>-156806626.79999998</v>
      </c>
      <c r="J48">
        <v>125657.77</v>
      </c>
      <c r="K48">
        <v>0</v>
      </c>
      <c r="L48">
        <v>1976374.85</v>
      </c>
      <c r="M48">
        <v>5251964.6125496989</v>
      </c>
      <c r="N48">
        <v>26531.729999999996</v>
      </c>
      <c r="O48">
        <v>0</v>
      </c>
      <c r="P48">
        <v>41780.06</v>
      </c>
      <c r="Q48">
        <v>1971795.9100000001</v>
      </c>
      <c r="R48">
        <v>1244226.3899999999</v>
      </c>
      <c r="S48">
        <v>10643731.322549699</v>
      </c>
      <c r="T48">
        <v>3379107.6299999994</v>
      </c>
      <c r="U48">
        <v>-164065850.49254969</v>
      </c>
      <c r="V48">
        <v>1244226.3899999999</v>
      </c>
    </row>
    <row r="49" spans="1:22" x14ac:dyDescent="0.25">
      <c r="A49" t="s">
        <v>1317</v>
      </c>
      <c r="B49" t="s">
        <v>1318</v>
      </c>
      <c r="C49">
        <v>62736580.859999992</v>
      </c>
      <c r="D49">
        <v>29745864.150000002</v>
      </c>
      <c r="E49">
        <v>185510766.59999996</v>
      </c>
      <c r="F49">
        <v>248247347.45999998</v>
      </c>
      <c r="G49">
        <v>75810311.039999992</v>
      </c>
      <c r="H49">
        <v>725620.06000000017</v>
      </c>
      <c r="I49">
        <v>76535931.099999994</v>
      </c>
      <c r="J49">
        <v>29986331.079999994</v>
      </c>
      <c r="K49">
        <v>6727149.8599999994</v>
      </c>
      <c r="L49">
        <v>2540556.7800000003</v>
      </c>
      <c r="M49">
        <v>16633198.058499999</v>
      </c>
      <c r="N49">
        <v>6312513.6100000003</v>
      </c>
      <c r="O49">
        <v>556384.34</v>
      </c>
      <c r="P49">
        <v>1308780.6000000001</v>
      </c>
      <c r="Q49">
        <v>4372880.93</v>
      </c>
      <c r="R49">
        <v>1964411.01</v>
      </c>
      <c r="S49">
        <v>70407387.318499997</v>
      </c>
      <c r="T49">
        <v>3446168.0899999994</v>
      </c>
      <c r="U49">
        <v>9445772.0014999807</v>
      </c>
      <c r="V49">
        <v>1964411.01</v>
      </c>
    </row>
    <row r="51" spans="1:22" x14ac:dyDescent="0.25">
      <c r="A51" t="s">
        <v>1330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17" sqref="E17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Elizabeth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1450 Batersby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218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Enumclaw, WA 98022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H-35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Elizabeth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360-825-2505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360-825-9046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1506</v>
      </c>
      <c r="G23" s="21">
        <f>data!D111</f>
        <v>5143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357</v>
      </c>
      <c r="G26" s="13">
        <f>data!D114</f>
        <v>524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Elizabeth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709</v>
      </c>
      <c r="C7" s="48">
        <f>data!B139</f>
        <v>2988</v>
      </c>
      <c r="D7" s="48">
        <f>data!B140</f>
        <v>0</v>
      </c>
      <c r="E7" s="48">
        <f>data!B141</f>
        <v>28855193</v>
      </c>
      <c r="F7" s="48">
        <f>data!B142</f>
        <v>64994803</v>
      </c>
      <c r="G7" s="48">
        <f>data!B141+data!B142</f>
        <v>93849996</v>
      </c>
    </row>
    <row r="8" spans="1:13" ht="20.100000000000001" customHeight="1" x14ac:dyDescent="0.25">
      <c r="A8" s="23" t="s">
        <v>297</v>
      </c>
      <c r="B8" s="48">
        <f>data!C138</f>
        <v>265</v>
      </c>
      <c r="C8" s="48">
        <f>data!C139</f>
        <v>828</v>
      </c>
      <c r="D8" s="48">
        <f>data!C140</f>
        <v>0</v>
      </c>
      <c r="E8" s="48">
        <f>data!C141</f>
        <v>11521011</v>
      </c>
      <c r="F8" s="48">
        <f>data!C142</f>
        <v>34465735</v>
      </c>
      <c r="G8" s="48">
        <f>data!C141+data!C142</f>
        <v>45986746</v>
      </c>
    </row>
    <row r="9" spans="1:13" ht="20.100000000000001" customHeight="1" x14ac:dyDescent="0.25">
      <c r="A9" s="23" t="s">
        <v>1058</v>
      </c>
      <c r="B9" s="48">
        <f>data!D138</f>
        <v>532</v>
      </c>
      <c r="C9" s="48">
        <f>data!D139</f>
        <v>1327</v>
      </c>
      <c r="D9" s="48">
        <f>data!D140</f>
        <v>0</v>
      </c>
      <c r="E9" s="48">
        <f>data!D141</f>
        <v>22360377</v>
      </c>
      <c r="F9" s="48">
        <f>data!D142</f>
        <v>86050228</v>
      </c>
      <c r="G9" s="48">
        <f>data!D141+data!D142</f>
        <v>108410605</v>
      </c>
    </row>
    <row r="10" spans="1:13" ht="20.100000000000001" customHeight="1" x14ac:dyDescent="0.25">
      <c r="A10" s="111" t="s">
        <v>203</v>
      </c>
      <c r="B10" s="48">
        <f>data!E138</f>
        <v>1506</v>
      </c>
      <c r="C10" s="48">
        <f>data!E139</f>
        <v>5143</v>
      </c>
      <c r="D10" s="48">
        <f>data!E140</f>
        <v>0</v>
      </c>
      <c r="E10" s="48">
        <f>data!E141</f>
        <v>62736581</v>
      </c>
      <c r="F10" s="48">
        <f>data!E142</f>
        <v>185510766</v>
      </c>
      <c r="G10" s="48">
        <f>data!E141+data!E142</f>
        <v>248247347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Elizabeth Hospital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1925686.86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-9226.7699999999986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242598.57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2958089.47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22526.43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1313312.44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274162.59999999998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6727149.5999999996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1352433.25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224907.71000000002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1577340.96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513191.07999999996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35773.250000000007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548964.32999999996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29758.09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774534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804292.09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158075.22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10170.959999999999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168246.18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Elizabeth Hospital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3268423.02</v>
      </c>
      <c r="D7" s="21">
        <f>data!C195</f>
        <v>0</v>
      </c>
      <c r="E7" s="21">
        <f>data!D195</f>
        <v>0</v>
      </c>
      <c r="F7" s="21">
        <f>data!E195</f>
        <v>3268423.02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577014</v>
      </c>
      <c r="D8" s="21">
        <f>data!C196</f>
        <v>0</v>
      </c>
      <c r="E8" s="21">
        <f>data!D196</f>
        <v>0</v>
      </c>
      <c r="F8" s="21">
        <f>data!E196</f>
        <v>577014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56806667.079999998</v>
      </c>
      <c r="D9" s="21">
        <f>data!C197</f>
        <v>311447.92000000004</v>
      </c>
      <c r="E9" s="21">
        <f>data!D197</f>
        <v>0</v>
      </c>
      <c r="F9" s="21">
        <f>data!E197</f>
        <v>57118115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1910235.04</v>
      </c>
      <c r="D11" s="21">
        <f>data!C199</f>
        <v>7340</v>
      </c>
      <c r="E11" s="21">
        <f>data!D199</f>
        <v>0</v>
      </c>
      <c r="F11" s="21">
        <f>data!E199</f>
        <v>1917575.04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35479862.030000001</v>
      </c>
      <c r="D12" s="21">
        <f>data!C200</f>
        <v>594857.17999999993</v>
      </c>
      <c r="E12" s="21">
        <f>data!D200</f>
        <v>45193.919999999998</v>
      </c>
      <c r="F12" s="21">
        <f>data!E200</f>
        <v>36029525.289999999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2059379</v>
      </c>
      <c r="D14" s="21">
        <f>data!C202</f>
        <v>266729</v>
      </c>
      <c r="E14" s="21">
        <f>data!D202</f>
        <v>3295</v>
      </c>
      <c r="F14" s="21">
        <f>data!E202</f>
        <v>2322813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812957.66999999993</v>
      </c>
      <c r="D15" s="21">
        <f>data!C203</f>
        <v>-691502.04</v>
      </c>
      <c r="E15" s="21">
        <f>data!D203</f>
        <v>0</v>
      </c>
      <c r="F15" s="21">
        <f>data!E203</f>
        <v>121455.62999999989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100914537.84</v>
      </c>
      <c r="D16" s="21">
        <f>data!C204</f>
        <v>488872.06000000006</v>
      </c>
      <c r="E16" s="21">
        <f>data!D204</f>
        <v>48488.92</v>
      </c>
      <c r="F16" s="21">
        <f>data!E204</f>
        <v>101354920.97999999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439276.31</v>
      </c>
      <c r="D24" s="21">
        <f>data!C209</f>
        <v>53840.65</v>
      </c>
      <c r="E24" s="21">
        <f>data!D209</f>
        <v>0</v>
      </c>
      <c r="F24" s="21">
        <f>data!E209</f>
        <v>493116.96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13576593</v>
      </c>
      <c r="D25" s="21">
        <f>data!C210</f>
        <v>1511214.25</v>
      </c>
      <c r="E25" s="21">
        <f>data!D210</f>
        <v>0</v>
      </c>
      <c r="F25" s="21">
        <f>data!E210</f>
        <v>15087807.25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1117414.29</v>
      </c>
      <c r="D26" s="21">
        <f>data!C211</f>
        <v>104815.6</v>
      </c>
      <c r="E26" s="21">
        <f>data!D211</f>
        <v>0</v>
      </c>
      <c r="F26" s="21">
        <f>data!E211</f>
        <v>1222229.8900000001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27787507.100000001</v>
      </c>
      <c r="D28" s="21">
        <f>data!C213</f>
        <v>2471315.73</v>
      </c>
      <c r="E28" s="21">
        <f>data!D213</f>
        <v>30017.919999999998</v>
      </c>
      <c r="F28" s="21">
        <f>data!E213</f>
        <v>30228804.91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1029218</v>
      </c>
      <c r="D30" s="21">
        <f>data!C215</f>
        <v>231695</v>
      </c>
      <c r="E30" s="21">
        <f>data!D215</f>
        <v>0</v>
      </c>
      <c r="F30" s="21">
        <f>data!E215</f>
        <v>1260913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43950008.700000003</v>
      </c>
      <c r="D32" s="21">
        <f>data!C217</f>
        <v>4372881.2300000004</v>
      </c>
      <c r="E32" s="21">
        <f>data!D217</f>
        <v>30017.919999999998</v>
      </c>
      <c r="F32" s="21">
        <f>data!E217</f>
        <v>48292872.010000005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data</vt:lpstr>
      <vt:lpstr>New PS</vt:lpstr>
      <vt:lpstr>SE Data</vt:lpstr>
      <vt:lpstr>Sheet1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St. Elizabeth Hospital Year End Report</dc:title>
  <dc:subject>2019 St. Elizabeth Hospital Year End Report</dc:subject>
  <dc:creator>Washington State Dept of Health - HSQA - Community Health Systems</dc:creator>
  <cp:keywords>hospital financial reports</cp:keywords>
  <cp:lastModifiedBy>Huyck, Randall  (DOH)</cp:lastModifiedBy>
  <cp:lastPrinted>2019-10-31T18:51:35Z</cp:lastPrinted>
  <dcterms:created xsi:type="dcterms:W3CDTF">1999-06-02T22:01:56Z</dcterms:created>
  <dcterms:modified xsi:type="dcterms:W3CDTF">2019-10-31T21:08:53Z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