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bookViews>
    <workbookView xWindow="0" yWindow="0" windowWidth="23040" windowHeight="10824" tabRatio="847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data!$DR$823:$DR$868</definedName>
    <definedName name="Costcenter" localSheetId="9">'Prior Year'!#REF!</definedName>
    <definedName name="Costcenter">data!#REF!</definedName>
    <definedName name="Edit" localSheetId="9">'Prior Year'!$A$410:$E$477</definedName>
    <definedName name="Edit">data!$A$411:$E$478</definedName>
    <definedName name="Funds" localSheetId="9">'Prior Year'!#REF!</definedName>
    <definedName name="Funds">data!#REF!</definedName>
    <definedName name="Hospital" localSheetId="9">'Prior Year'!#REF!</definedName>
    <definedName name="Hospital">data!#REF!</definedName>
    <definedName name="_xlnm.Print_Area" localSheetId="8">'CC''s'!$A$1:$I$384</definedName>
    <definedName name="_xlnm.Print_Area" localSheetId="0">data!$A$44:$CE$80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data!#REF!</definedName>
  </definedNames>
  <calcPr calcId="152511"/>
</workbook>
</file>

<file path=xl/calcChain.xml><?xml version="1.0" encoding="utf-8"?>
<calcChain xmlns="http://schemas.openxmlformats.org/spreadsheetml/2006/main">
  <c r="B575" i="1" l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O817" i="10"/>
  <c r="M817" i="10"/>
  <c r="L817" i="10"/>
  <c r="K817" i="10"/>
  <c r="J817" i="10"/>
  <c r="I817" i="10"/>
  <c r="H817" i="10"/>
  <c r="G817" i="10"/>
  <c r="F817" i="10"/>
  <c r="E817" i="10"/>
  <c r="D817" i="10"/>
  <c r="X815" i="10"/>
  <c r="X813" i="10"/>
  <c r="W813" i="10"/>
  <c r="W815" i="10" s="1"/>
  <c r="V813" i="10"/>
  <c r="V815" i="10" s="1"/>
  <c r="U813" i="10"/>
  <c r="U815" i="10" s="1"/>
  <c r="A813" i="10"/>
  <c r="T812" i="10"/>
  <c r="S812" i="10"/>
  <c r="R812" i="10"/>
  <c r="Q812" i="10"/>
  <c r="P812" i="10"/>
  <c r="M812" i="10"/>
  <c r="K812" i="10"/>
  <c r="I812" i="10"/>
  <c r="H812" i="10"/>
  <c r="C812" i="10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M788" i="10"/>
  <c r="L788" i="10"/>
  <c r="K788" i="10"/>
  <c r="I788" i="10"/>
  <c r="H788" i="10"/>
  <c r="G788" i="10"/>
  <c r="F788" i="10"/>
  <c r="D788" i="10"/>
  <c r="C788" i="10"/>
  <c r="B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B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B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B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B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P734" i="10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CF730" i="10"/>
  <c r="CE730" i="10"/>
  <c r="CD730" i="10"/>
  <c r="CC730" i="10"/>
  <c r="CB730" i="10"/>
  <c r="CA730" i="10"/>
  <c r="BZ730" i="10"/>
  <c r="BY730" i="10"/>
  <c r="BX730" i="10"/>
  <c r="BW730" i="10"/>
  <c r="BV730" i="10"/>
  <c r="BU730" i="10"/>
  <c r="BT730" i="10"/>
  <c r="BS730" i="10"/>
  <c r="BR730" i="10"/>
  <c r="BQ730" i="10"/>
  <c r="BP730" i="10"/>
  <c r="BO730" i="10"/>
  <c r="BN730" i="10"/>
  <c r="BM730" i="10"/>
  <c r="BL730" i="10"/>
  <c r="BK730" i="10"/>
  <c r="BJ730" i="10"/>
  <c r="BF730" i="10"/>
  <c r="BE730" i="10"/>
  <c r="BB730" i="10"/>
  <c r="BA730" i="10"/>
  <c r="AZ730" i="10"/>
  <c r="AY730" i="10"/>
  <c r="AX730" i="10"/>
  <c r="AV730" i="10"/>
  <c r="AU730" i="10"/>
  <c r="AT730" i="10"/>
  <c r="AS730" i="10"/>
  <c r="AR730" i="10"/>
  <c r="AQ730" i="10"/>
  <c r="AP730" i="10"/>
  <c r="AO730" i="10"/>
  <c r="AN730" i="10"/>
  <c r="AM730" i="10"/>
  <c r="AL730" i="10"/>
  <c r="AK730" i="10"/>
  <c r="AJ730" i="10"/>
  <c r="AI730" i="10"/>
  <c r="AH730" i="10"/>
  <c r="AG730" i="10"/>
  <c r="AF730" i="10"/>
  <c r="AE730" i="10"/>
  <c r="AD730" i="10"/>
  <c r="AC730" i="10"/>
  <c r="AB730" i="10"/>
  <c r="AA730" i="10"/>
  <c r="Z730" i="10"/>
  <c r="Y730" i="10"/>
  <c r="X730" i="10"/>
  <c r="W730" i="10"/>
  <c r="V730" i="10"/>
  <c r="U730" i="10"/>
  <c r="T730" i="10"/>
  <c r="S730" i="10"/>
  <c r="R730" i="10"/>
  <c r="Q730" i="10"/>
  <c r="P730" i="10"/>
  <c r="O730" i="10"/>
  <c r="N730" i="10"/>
  <c r="M730" i="10"/>
  <c r="L730" i="10"/>
  <c r="K730" i="10"/>
  <c r="J730" i="10"/>
  <c r="I730" i="10"/>
  <c r="H730" i="10"/>
  <c r="G730" i="10"/>
  <c r="F730" i="10"/>
  <c r="E730" i="10"/>
  <c r="D730" i="10"/>
  <c r="C730" i="10"/>
  <c r="B730" i="10"/>
  <c r="A730" i="10"/>
  <c r="BR726" i="10"/>
  <c r="BQ726" i="10"/>
  <c r="BP726" i="10"/>
  <c r="BO726" i="10"/>
  <c r="BN726" i="10"/>
  <c r="BM726" i="10"/>
  <c r="BL726" i="10"/>
  <c r="BK726" i="10"/>
  <c r="BJ726" i="10"/>
  <c r="BI726" i="10"/>
  <c r="BH726" i="10"/>
  <c r="BG726" i="10"/>
  <c r="BF726" i="10"/>
  <c r="BE726" i="10"/>
  <c r="BD726" i="10"/>
  <c r="BC726" i="10"/>
  <c r="BB726" i="10"/>
  <c r="BA726" i="10"/>
  <c r="AZ726" i="10"/>
  <c r="AY726" i="10"/>
  <c r="AX726" i="10"/>
  <c r="AW726" i="10"/>
  <c r="AV726" i="10"/>
  <c r="AU726" i="10"/>
  <c r="AT726" i="10"/>
  <c r="AS726" i="10"/>
  <c r="AR726" i="10"/>
  <c r="AQ726" i="10"/>
  <c r="AP726" i="10"/>
  <c r="AO726" i="10"/>
  <c r="AN726" i="10"/>
  <c r="AM726" i="10"/>
  <c r="AL726" i="10"/>
  <c r="AK726" i="10"/>
  <c r="AJ726" i="10"/>
  <c r="AG726" i="10"/>
  <c r="AF726" i="10"/>
  <c r="AE726" i="10"/>
  <c r="AD726" i="10"/>
  <c r="AC726" i="10"/>
  <c r="AB726" i="10"/>
  <c r="AA726" i="10"/>
  <c r="Z726" i="10"/>
  <c r="Y726" i="10"/>
  <c r="X726" i="10"/>
  <c r="W726" i="10"/>
  <c r="V726" i="10"/>
  <c r="U726" i="10"/>
  <c r="S726" i="10"/>
  <c r="R726" i="10"/>
  <c r="Q726" i="10"/>
  <c r="P726" i="10"/>
  <c r="O726" i="10"/>
  <c r="N726" i="10"/>
  <c r="M726" i="10"/>
  <c r="L726" i="10"/>
  <c r="K726" i="10"/>
  <c r="J726" i="10"/>
  <c r="I726" i="10"/>
  <c r="H726" i="10"/>
  <c r="G726" i="10"/>
  <c r="F726" i="10"/>
  <c r="E726" i="10"/>
  <c r="D726" i="10"/>
  <c r="C726" i="10"/>
  <c r="B726" i="10"/>
  <c r="A726" i="10"/>
  <c r="CC722" i="10"/>
  <c r="CB722" i="10"/>
  <c r="CA722" i="10"/>
  <c r="BZ722" i="10"/>
  <c r="BX722" i="10"/>
  <c r="BW722" i="10"/>
  <c r="BV722" i="10"/>
  <c r="BU722" i="10"/>
  <c r="BT722" i="10"/>
  <c r="BS722" i="10"/>
  <c r="BR722" i="10"/>
  <c r="BQ722" i="10"/>
  <c r="BP722" i="10"/>
  <c r="BO722" i="10"/>
  <c r="BN722" i="10"/>
  <c r="BM722" i="10"/>
  <c r="BL722" i="10"/>
  <c r="BK722" i="10"/>
  <c r="BJ722" i="10"/>
  <c r="BI722" i="10"/>
  <c r="BH722" i="10"/>
  <c r="BG722" i="10"/>
  <c r="BF722" i="10"/>
  <c r="BE722" i="10"/>
  <c r="BD722" i="10"/>
  <c r="BC722" i="10"/>
  <c r="BB722" i="10"/>
  <c r="BA722" i="10"/>
  <c r="AZ722" i="10"/>
  <c r="AY722" i="10"/>
  <c r="AX722" i="10"/>
  <c r="AW722" i="10"/>
  <c r="AV722" i="10"/>
  <c r="AR722" i="10"/>
  <c r="AQ722" i="10"/>
  <c r="AP722" i="10"/>
  <c r="AO722" i="10"/>
  <c r="AN722" i="10"/>
  <c r="AM722" i="10"/>
  <c r="AL722" i="10"/>
  <c r="AK722" i="10"/>
  <c r="AJ722" i="10"/>
  <c r="AI722" i="10"/>
  <c r="AH722" i="10"/>
  <c r="AG722" i="10"/>
  <c r="AF722" i="10"/>
  <c r="AE722" i="10"/>
  <c r="AD722" i="10"/>
  <c r="AC722" i="10"/>
  <c r="AB722" i="10"/>
  <c r="AA722" i="10"/>
  <c r="Z722" i="10"/>
  <c r="Y722" i="10"/>
  <c r="X722" i="10"/>
  <c r="W722" i="10"/>
  <c r="V722" i="10"/>
  <c r="U722" i="10"/>
  <c r="T722" i="10"/>
  <c r="S722" i="10"/>
  <c r="R722" i="10"/>
  <c r="Q722" i="10"/>
  <c r="P722" i="10"/>
  <c r="O722" i="10"/>
  <c r="N722" i="10"/>
  <c r="M722" i="10"/>
  <c r="L722" i="10"/>
  <c r="K722" i="10"/>
  <c r="J722" i="10"/>
  <c r="I722" i="10"/>
  <c r="G722" i="10"/>
  <c r="F722" i="10"/>
  <c r="E722" i="10"/>
  <c r="D722" i="10"/>
  <c r="C722" i="10"/>
  <c r="B722" i="10"/>
  <c r="A722" i="10"/>
  <c r="C615" i="10"/>
  <c r="F550" i="10"/>
  <c r="E550" i="10"/>
  <c r="E546" i="10"/>
  <c r="E545" i="10"/>
  <c r="E544" i="10"/>
  <c r="H540" i="10"/>
  <c r="F540" i="10"/>
  <c r="E540" i="10"/>
  <c r="E539" i="10"/>
  <c r="E538" i="10"/>
  <c r="H538" i="10"/>
  <c r="E537" i="10"/>
  <c r="F537" i="10"/>
  <c r="E536" i="10"/>
  <c r="F535" i="10"/>
  <c r="E535" i="10"/>
  <c r="F534" i="10"/>
  <c r="E534" i="10"/>
  <c r="H533" i="10"/>
  <c r="F533" i="10"/>
  <c r="E533" i="10"/>
  <c r="H532" i="10"/>
  <c r="F532" i="10"/>
  <c r="E532" i="10"/>
  <c r="F531" i="10"/>
  <c r="E531" i="10"/>
  <c r="H531" i="10"/>
  <c r="E530" i="10"/>
  <c r="E529" i="10"/>
  <c r="F529" i="10"/>
  <c r="E528" i="10"/>
  <c r="E527" i="10"/>
  <c r="F526" i="10"/>
  <c r="E526" i="10"/>
  <c r="H525" i="10"/>
  <c r="F525" i="10"/>
  <c r="E525" i="10"/>
  <c r="E524" i="10"/>
  <c r="F524" i="10"/>
  <c r="E523" i="10"/>
  <c r="H523" i="10"/>
  <c r="E522" i="10"/>
  <c r="F521" i="10"/>
  <c r="F520" i="10"/>
  <c r="E520" i="10"/>
  <c r="H519" i="10"/>
  <c r="F519" i="10"/>
  <c r="E519" i="10"/>
  <c r="E518" i="10"/>
  <c r="F518" i="10"/>
  <c r="F517" i="10"/>
  <c r="E517" i="10"/>
  <c r="E516" i="10"/>
  <c r="E515" i="10"/>
  <c r="F515" i="10"/>
  <c r="E514" i="10"/>
  <c r="F514" i="10"/>
  <c r="F513" i="10"/>
  <c r="F512" i="10"/>
  <c r="E511" i="10"/>
  <c r="F511" i="10"/>
  <c r="E510" i="10"/>
  <c r="F510" i="10"/>
  <c r="E509" i="10"/>
  <c r="F508" i="10"/>
  <c r="E508" i="10"/>
  <c r="H507" i="10"/>
  <c r="F507" i="10"/>
  <c r="E507" i="10"/>
  <c r="H506" i="10"/>
  <c r="F506" i="10"/>
  <c r="E506" i="10"/>
  <c r="E505" i="10"/>
  <c r="E504" i="10"/>
  <c r="E503" i="10"/>
  <c r="F503" i="10"/>
  <c r="H502" i="10"/>
  <c r="E502" i="10"/>
  <c r="F502" i="10"/>
  <c r="H501" i="10"/>
  <c r="E501" i="10"/>
  <c r="F501" i="10"/>
  <c r="H500" i="10"/>
  <c r="F500" i="10"/>
  <c r="E500" i="10"/>
  <c r="F499" i="10"/>
  <c r="E499" i="10"/>
  <c r="E498" i="10"/>
  <c r="F498" i="10"/>
  <c r="F497" i="10"/>
  <c r="E497" i="10"/>
  <c r="H497" i="10"/>
  <c r="E496" i="10"/>
  <c r="G493" i="10"/>
  <c r="E493" i="10"/>
  <c r="C493" i="10"/>
  <c r="A493" i="10"/>
  <c r="B478" i="10"/>
  <c r="B476" i="10"/>
  <c r="B475" i="10"/>
  <c r="C474" i="10"/>
  <c r="B474" i="10"/>
  <c r="B473" i="10"/>
  <c r="B472" i="10"/>
  <c r="B471" i="10"/>
  <c r="C470" i="10"/>
  <c r="B470" i="10"/>
  <c r="B469" i="10"/>
  <c r="B468" i="10"/>
  <c r="B464" i="10"/>
  <c r="B463" i="10"/>
  <c r="C459" i="10"/>
  <c r="B459" i="10"/>
  <c r="C458" i="10"/>
  <c r="B458" i="10"/>
  <c r="B455" i="10"/>
  <c r="B454" i="10"/>
  <c r="B453" i="10"/>
  <c r="C448" i="10"/>
  <c r="C447" i="10"/>
  <c r="B447" i="10"/>
  <c r="C446" i="10"/>
  <c r="C445" i="10"/>
  <c r="C444" i="10"/>
  <c r="B444" i="10"/>
  <c r="B441" i="10"/>
  <c r="B439" i="10"/>
  <c r="C438" i="10"/>
  <c r="B438" i="10"/>
  <c r="B440" i="10" s="1"/>
  <c r="D437" i="10"/>
  <c r="B437" i="10"/>
  <c r="B436" i="10"/>
  <c r="D435" i="10"/>
  <c r="B435" i="10"/>
  <c r="B434" i="10"/>
  <c r="B433" i="10"/>
  <c r="B432" i="10"/>
  <c r="C431" i="10"/>
  <c r="B431" i="10"/>
  <c r="B430" i="10"/>
  <c r="B429" i="10"/>
  <c r="B428" i="10"/>
  <c r="B427" i="10"/>
  <c r="D424" i="10"/>
  <c r="B424" i="10"/>
  <c r="B423" i="10"/>
  <c r="D421" i="10"/>
  <c r="C421" i="10"/>
  <c r="B421" i="10"/>
  <c r="C420" i="10"/>
  <c r="B420" i="10"/>
  <c r="D418" i="10"/>
  <c r="C418" i="10"/>
  <c r="B418" i="10"/>
  <c r="B417" i="10"/>
  <c r="D415" i="10"/>
  <c r="B415" i="10"/>
  <c r="B414" i="10"/>
  <c r="A412" i="10"/>
  <c r="D390" i="10"/>
  <c r="D372" i="10"/>
  <c r="D367" i="10"/>
  <c r="D361" i="10"/>
  <c r="D329" i="10"/>
  <c r="C324" i="10"/>
  <c r="D319" i="10"/>
  <c r="D314" i="10"/>
  <c r="D290" i="10"/>
  <c r="D292" i="10" s="1"/>
  <c r="D341" i="10" s="1"/>
  <c r="C481" i="10" s="1"/>
  <c r="D283" i="10"/>
  <c r="D277" i="10"/>
  <c r="D275" i="10"/>
  <c r="D265" i="10"/>
  <c r="D260" i="10"/>
  <c r="D240" i="10"/>
  <c r="D236" i="10"/>
  <c r="B446" i="10" s="1"/>
  <c r="D229" i="10"/>
  <c r="C228" i="10"/>
  <c r="BY722" i="10" s="1"/>
  <c r="D221" i="10"/>
  <c r="CD722" i="10" s="1"/>
  <c r="D217" i="10"/>
  <c r="C217" i="10"/>
  <c r="D433" i="10" s="1"/>
  <c r="B217" i="10"/>
  <c r="E216" i="10"/>
  <c r="E215" i="10"/>
  <c r="E214" i="10"/>
  <c r="E213" i="10"/>
  <c r="E212" i="10"/>
  <c r="E217" i="10" s="1"/>
  <c r="C478" i="10" s="1"/>
  <c r="E211" i="10"/>
  <c r="E210" i="10"/>
  <c r="E209" i="10"/>
  <c r="D204" i="10"/>
  <c r="C204" i="10"/>
  <c r="B204" i="10"/>
  <c r="E203" i="10"/>
  <c r="C475" i="10" s="1"/>
  <c r="E202" i="10"/>
  <c r="E201" i="10"/>
  <c r="E200" i="10"/>
  <c r="C473" i="10" s="1"/>
  <c r="E199" i="10"/>
  <c r="C472" i="10" s="1"/>
  <c r="E198" i="10"/>
  <c r="E197" i="10"/>
  <c r="E196" i="10"/>
  <c r="C469" i="10" s="1"/>
  <c r="E195" i="10"/>
  <c r="C468" i="10" s="1"/>
  <c r="D190" i="10"/>
  <c r="D186" i="10"/>
  <c r="D436" i="10" s="1"/>
  <c r="D181" i="10"/>
  <c r="D438" i="10" s="1"/>
  <c r="D177" i="10"/>
  <c r="D434" i="10" s="1"/>
  <c r="D173" i="10"/>
  <c r="D428" i="10" s="1"/>
  <c r="C171" i="10"/>
  <c r="H722" i="10" s="1"/>
  <c r="E154" i="10"/>
  <c r="E153" i="10"/>
  <c r="E152" i="10"/>
  <c r="E151" i="10"/>
  <c r="E150" i="10"/>
  <c r="E148" i="10"/>
  <c r="E147" i="10"/>
  <c r="E146" i="10"/>
  <c r="E145" i="10"/>
  <c r="E144" i="10"/>
  <c r="C417" i="10" s="1"/>
  <c r="E142" i="10"/>
  <c r="E141" i="10"/>
  <c r="E140" i="10"/>
  <c r="D139" i="10"/>
  <c r="E138" i="10"/>
  <c r="C414" i="10" s="1"/>
  <c r="D138" i="10"/>
  <c r="AH726" i="10" s="1"/>
  <c r="E127" i="10"/>
  <c r="CE80" i="10"/>
  <c r="CF79" i="10"/>
  <c r="CE79" i="10"/>
  <c r="BY78" i="10"/>
  <c r="CE77" i="10"/>
  <c r="F77" i="10"/>
  <c r="Q737" i="10" s="1"/>
  <c r="E77" i="10"/>
  <c r="Q736" i="10" s="1"/>
  <c r="C77" i="10"/>
  <c r="Q734" i="10" s="1"/>
  <c r="BE76" i="10"/>
  <c r="P788" i="10" s="1"/>
  <c r="AV75" i="10"/>
  <c r="N779" i="10" s="1"/>
  <c r="AU75" i="10"/>
  <c r="N778" i="10" s="1"/>
  <c r="AT75" i="10"/>
  <c r="N777" i="10" s="1"/>
  <c r="AS75" i="10"/>
  <c r="N776" i="10" s="1"/>
  <c r="AR75" i="10"/>
  <c r="N775" i="10" s="1"/>
  <c r="AQ75" i="10"/>
  <c r="N774" i="10" s="1"/>
  <c r="AP75" i="10"/>
  <c r="N773" i="10" s="1"/>
  <c r="AO75" i="10"/>
  <c r="N772" i="10" s="1"/>
  <c r="AN75" i="10"/>
  <c r="N771" i="10" s="1"/>
  <c r="AM75" i="10"/>
  <c r="N770" i="10" s="1"/>
  <c r="AL75" i="10"/>
  <c r="N769" i="10" s="1"/>
  <c r="AK75" i="10"/>
  <c r="N768" i="10" s="1"/>
  <c r="AJ75" i="10"/>
  <c r="N767" i="10" s="1"/>
  <c r="AI75" i="10"/>
  <c r="N766" i="10" s="1"/>
  <c r="AH75" i="10"/>
  <c r="N765" i="10" s="1"/>
  <c r="AG75" i="10"/>
  <c r="N764" i="10" s="1"/>
  <c r="AF75" i="10"/>
  <c r="N763" i="10" s="1"/>
  <c r="AE75" i="10"/>
  <c r="N762" i="10" s="1"/>
  <c r="AD75" i="10"/>
  <c r="N761" i="10" s="1"/>
  <c r="AC75" i="10"/>
  <c r="N760" i="10" s="1"/>
  <c r="AB75" i="10"/>
  <c r="N759" i="10" s="1"/>
  <c r="AA75" i="10"/>
  <c r="N758" i="10" s="1"/>
  <c r="Z75" i="10"/>
  <c r="N757" i="10" s="1"/>
  <c r="Y75" i="10"/>
  <c r="N756" i="10" s="1"/>
  <c r="X75" i="10"/>
  <c r="N755" i="10" s="1"/>
  <c r="W75" i="10"/>
  <c r="N754" i="10" s="1"/>
  <c r="V75" i="10"/>
  <c r="N753" i="10" s="1"/>
  <c r="U75" i="10"/>
  <c r="N752" i="10" s="1"/>
  <c r="T75" i="10"/>
  <c r="N751" i="10" s="1"/>
  <c r="S75" i="10"/>
  <c r="N750" i="10" s="1"/>
  <c r="R75" i="10"/>
  <c r="N749" i="10" s="1"/>
  <c r="Q75" i="10"/>
  <c r="N748" i="10" s="1"/>
  <c r="P75" i="10"/>
  <c r="N747" i="10" s="1"/>
  <c r="O75" i="10"/>
  <c r="N746" i="10" s="1"/>
  <c r="N75" i="10"/>
  <c r="N745" i="10" s="1"/>
  <c r="M75" i="10"/>
  <c r="N744" i="10" s="1"/>
  <c r="L75" i="10"/>
  <c r="N743" i="10" s="1"/>
  <c r="K75" i="10"/>
  <c r="N742" i="10" s="1"/>
  <c r="J75" i="10"/>
  <c r="N741" i="10" s="1"/>
  <c r="I75" i="10"/>
  <c r="N740" i="10" s="1"/>
  <c r="H75" i="10"/>
  <c r="N739" i="10" s="1"/>
  <c r="G75" i="10"/>
  <c r="N738" i="10" s="1"/>
  <c r="F75" i="10"/>
  <c r="N737" i="10" s="1"/>
  <c r="E75" i="10"/>
  <c r="N736" i="10" s="1"/>
  <c r="D75" i="10"/>
  <c r="N735" i="10" s="1"/>
  <c r="C75" i="10"/>
  <c r="CE74" i="10"/>
  <c r="C464" i="10" s="1"/>
  <c r="AV73" i="10"/>
  <c r="CD71" i="10"/>
  <c r="C575" i="10" s="1"/>
  <c r="CE70" i="10"/>
  <c r="M816" i="10" s="1"/>
  <c r="CC69" i="10"/>
  <c r="CE68" i="10"/>
  <c r="CE66" i="10"/>
  <c r="I816" i="10" s="1"/>
  <c r="CE65" i="10"/>
  <c r="H816" i="10" s="1"/>
  <c r="CE64" i="10"/>
  <c r="CC64" i="10"/>
  <c r="G812" i="10" s="1"/>
  <c r="CE63" i="10"/>
  <c r="CC63" i="10"/>
  <c r="F812" i="10" s="1"/>
  <c r="CE61" i="10"/>
  <c r="BP48" i="10" s="1"/>
  <c r="BP62" i="10" s="1"/>
  <c r="CC61" i="10"/>
  <c r="CE60" i="10"/>
  <c r="B53" i="10"/>
  <c r="CE51" i="10"/>
  <c r="B49" i="10"/>
  <c r="AR48" i="10"/>
  <c r="AR62" i="10" s="1"/>
  <c r="CE47" i="10"/>
  <c r="E799" i="10" l="1"/>
  <c r="AZ48" i="10"/>
  <c r="AZ62" i="10" s="1"/>
  <c r="G816" i="10"/>
  <c r="F612" i="10"/>
  <c r="C430" i="10"/>
  <c r="AJ48" i="10"/>
  <c r="AJ62" i="10" s="1"/>
  <c r="N817" i="10"/>
  <c r="B465" i="10"/>
  <c r="D368" i="10"/>
  <c r="D373" i="10" s="1"/>
  <c r="D391" i="10" s="1"/>
  <c r="D393" i="10" s="1"/>
  <c r="D396" i="10" s="1"/>
  <c r="H505" i="10"/>
  <c r="F505" i="10"/>
  <c r="BH48" i="10"/>
  <c r="BH62" i="10" s="1"/>
  <c r="D242" i="10"/>
  <c r="B448" i="10" s="1"/>
  <c r="B445" i="10"/>
  <c r="D48" i="10"/>
  <c r="D62" i="10" s="1"/>
  <c r="E775" i="10"/>
  <c r="D816" i="10"/>
  <c r="BW48" i="10"/>
  <c r="BW62" i="10" s="1"/>
  <c r="BO48" i="10"/>
  <c r="BO62" i="10" s="1"/>
  <c r="BG48" i="10"/>
  <c r="BG62" i="10" s="1"/>
  <c r="AY48" i="10"/>
  <c r="AY62" i="10" s="1"/>
  <c r="AQ48" i="10"/>
  <c r="AQ62" i="10" s="1"/>
  <c r="AI48" i="10"/>
  <c r="AI62" i="10" s="1"/>
  <c r="AA48" i="10"/>
  <c r="AA62" i="10" s="1"/>
  <c r="S48" i="10"/>
  <c r="S62" i="10" s="1"/>
  <c r="K48" i="10"/>
  <c r="K62" i="10" s="1"/>
  <c r="C48" i="10"/>
  <c r="AK48" i="10"/>
  <c r="AK62" i="10" s="1"/>
  <c r="BV48" i="10"/>
  <c r="BV62" i="10" s="1"/>
  <c r="BN48" i="10"/>
  <c r="BN62" i="10" s="1"/>
  <c r="BF48" i="10"/>
  <c r="BF62" i="10" s="1"/>
  <c r="AX48" i="10"/>
  <c r="AX62" i="10" s="1"/>
  <c r="AP48" i="10"/>
  <c r="AP62" i="10" s="1"/>
  <c r="AH48" i="10"/>
  <c r="AH62" i="10" s="1"/>
  <c r="Z48" i="10"/>
  <c r="Z62" i="10" s="1"/>
  <c r="R48" i="10"/>
  <c r="R62" i="10" s="1"/>
  <c r="J48" i="10"/>
  <c r="J62" i="10" s="1"/>
  <c r="BU48" i="10"/>
  <c r="BU62" i="10" s="1"/>
  <c r="BE48" i="10"/>
  <c r="BE62" i="10" s="1"/>
  <c r="AO48" i="10"/>
  <c r="AO62" i="10" s="1"/>
  <c r="Q48" i="10"/>
  <c r="Q62" i="10" s="1"/>
  <c r="G48" i="10"/>
  <c r="G62" i="10" s="1"/>
  <c r="BQ48" i="10"/>
  <c r="BQ62" i="10" s="1"/>
  <c r="U48" i="10"/>
  <c r="U62" i="10" s="1"/>
  <c r="CC48" i="10"/>
  <c r="CC62" i="10" s="1"/>
  <c r="E812" i="10" s="1"/>
  <c r="BM48" i="10"/>
  <c r="BM62" i="10" s="1"/>
  <c r="AW48" i="10"/>
  <c r="AW62" i="10" s="1"/>
  <c r="AG48" i="10"/>
  <c r="AG62" i="10" s="1"/>
  <c r="Y48" i="10"/>
  <c r="Y62" i="10" s="1"/>
  <c r="I48" i="10"/>
  <c r="I62" i="10" s="1"/>
  <c r="BY48" i="10"/>
  <c r="BY62" i="10" s="1"/>
  <c r="AC48" i="10"/>
  <c r="AC62" i="10" s="1"/>
  <c r="E48" i="10"/>
  <c r="E62" i="10" s="1"/>
  <c r="CB48" i="10"/>
  <c r="CB62" i="10" s="1"/>
  <c r="BT48" i="10"/>
  <c r="BT62" i="10" s="1"/>
  <c r="BL48" i="10"/>
  <c r="BL62" i="10" s="1"/>
  <c r="BD48" i="10"/>
  <c r="BD62" i="10" s="1"/>
  <c r="AV48" i="10"/>
  <c r="AV62" i="10" s="1"/>
  <c r="AN48" i="10"/>
  <c r="AN62" i="10" s="1"/>
  <c r="AF48" i="10"/>
  <c r="AF62" i="10" s="1"/>
  <c r="X48" i="10"/>
  <c r="X62" i="10" s="1"/>
  <c r="P48" i="10"/>
  <c r="P62" i="10" s="1"/>
  <c r="H48" i="10"/>
  <c r="H62" i="10" s="1"/>
  <c r="AE48" i="10"/>
  <c r="AE62" i="10" s="1"/>
  <c r="O48" i="10"/>
  <c r="O62" i="10" s="1"/>
  <c r="AS48" i="10"/>
  <c r="AS62" i="10" s="1"/>
  <c r="C427" i="10"/>
  <c r="CA48" i="10"/>
  <c r="CA62" i="10" s="1"/>
  <c r="BS48" i="10"/>
  <c r="BS62" i="10" s="1"/>
  <c r="BK48" i="10"/>
  <c r="BK62" i="10" s="1"/>
  <c r="BC48" i="10"/>
  <c r="BC62" i="10" s="1"/>
  <c r="AU48" i="10"/>
  <c r="AU62" i="10" s="1"/>
  <c r="AM48" i="10"/>
  <c r="AM62" i="10" s="1"/>
  <c r="W48" i="10"/>
  <c r="W62" i="10" s="1"/>
  <c r="BA48" i="10"/>
  <c r="BA62" i="10" s="1"/>
  <c r="BZ48" i="10"/>
  <c r="BZ62" i="10" s="1"/>
  <c r="BR48" i="10"/>
  <c r="BR62" i="10" s="1"/>
  <c r="BJ48" i="10"/>
  <c r="BJ62" i="10" s="1"/>
  <c r="BB48" i="10"/>
  <c r="BB62" i="10" s="1"/>
  <c r="AT48" i="10"/>
  <c r="AT62" i="10" s="1"/>
  <c r="AL48" i="10"/>
  <c r="AL62" i="10" s="1"/>
  <c r="AD48" i="10"/>
  <c r="AD62" i="10" s="1"/>
  <c r="V48" i="10"/>
  <c r="V62" i="10" s="1"/>
  <c r="N48" i="10"/>
  <c r="N62" i="10" s="1"/>
  <c r="F48" i="10"/>
  <c r="F62" i="10" s="1"/>
  <c r="BI48" i="10"/>
  <c r="BI62" i="10" s="1"/>
  <c r="M48" i="10"/>
  <c r="M62" i="10" s="1"/>
  <c r="L48" i="10"/>
  <c r="L62" i="10" s="1"/>
  <c r="C471" i="10"/>
  <c r="E204" i="10"/>
  <c r="C476" i="10" s="1"/>
  <c r="T48" i="10"/>
  <c r="T62" i="10" s="1"/>
  <c r="AI726" i="10"/>
  <c r="E139" i="10"/>
  <c r="C415" i="10" s="1"/>
  <c r="BX48" i="10"/>
  <c r="BX62" i="10" s="1"/>
  <c r="AB48" i="10"/>
  <c r="AB62" i="10" s="1"/>
  <c r="R808" i="10"/>
  <c r="CE78" i="10"/>
  <c r="K816" i="10"/>
  <c r="C434" i="10"/>
  <c r="CE76" i="10"/>
  <c r="S816" i="10"/>
  <c r="J612" i="10"/>
  <c r="F496" i="10"/>
  <c r="H527" i="10"/>
  <c r="F527" i="10"/>
  <c r="L812" i="10"/>
  <c r="L815" i="10" s="1"/>
  <c r="C439" i="10"/>
  <c r="CE69" i="10"/>
  <c r="N734" i="10"/>
  <c r="N815" i="10" s="1"/>
  <c r="CE75" i="10"/>
  <c r="H539" i="10"/>
  <c r="F539" i="10"/>
  <c r="D464" i="10"/>
  <c r="AW730" i="10"/>
  <c r="D328" i="10"/>
  <c r="D330" i="10" s="1"/>
  <c r="D339" i="10" s="1"/>
  <c r="C482" i="10" s="1"/>
  <c r="C432" i="10"/>
  <c r="F509" i="10"/>
  <c r="H504" i="10"/>
  <c r="F504" i="10"/>
  <c r="O779" i="10"/>
  <c r="O815" i="10" s="1"/>
  <c r="CE73" i="10"/>
  <c r="C816" i="10"/>
  <c r="BI730" i="10"/>
  <c r="H612" i="10"/>
  <c r="F816" i="10"/>
  <c r="C429" i="10"/>
  <c r="F528" i="10"/>
  <c r="D812" i="10"/>
  <c r="D815" i="10" s="1"/>
  <c r="Q816" i="10"/>
  <c r="CF77" i="10"/>
  <c r="G612" i="10"/>
  <c r="F516" i="10"/>
  <c r="Q815" i="10"/>
  <c r="D463" i="10"/>
  <c r="H530" i="10"/>
  <c r="F530" i="10"/>
  <c r="F546" i="10"/>
  <c r="T816" i="10"/>
  <c r="L612" i="10"/>
  <c r="H536" i="10"/>
  <c r="F536" i="10"/>
  <c r="F544" i="10"/>
  <c r="H537" i="10"/>
  <c r="H545" i="10"/>
  <c r="F545" i="10"/>
  <c r="F522" i="10"/>
  <c r="F523" i="10"/>
  <c r="I815" i="10"/>
  <c r="F538" i="10"/>
  <c r="G815" i="10"/>
  <c r="C815" i="10"/>
  <c r="M815" i="10"/>
  <c r="H815" i="10"/>
  <c r="R815" i="10"/>
  <c r="S815" i="10"/>
  <c r="K815" i="10"/>
  <c r="T815" i="10"/>
  <c r="F815" i="10"/>
  <c r="P815" i="10"/>
  <c r="E755" i="10" l="1"/>
  <c r="E805" i="10"/>
  <c r="P816" i="10"/>
  <c r="D612" i="10"/>
  <c r="BW52" i="10"/>
  <c r="BW67" i="10" s="1"/>
  <c r="J806" i="10" s="1"/>
  <c r="S52" i="10"/>
  <c r="S67" i="10" s="1"/>
  <c r="J750" i="10" s="1"/>
  <c r="K52" i="10"/>
  <c r="K67" i="10" s="1"/>
  <c r="J742" i="10" s="1"/>
  <c r="AM52" i="10"/>
  <c r="AM67" i="10" s="1"/>
  <c r="J770" i="10" s="1"/>
  <c r="AE52" i="10"/>
  <c r="AE67" i="10" s="1"/>
  <c r="J762" i="10" s="1"/>
  <c r="AR52" i="10"/>
  <c r="AR67" i="10" s="1"/>
  <c r="AG52" i="10"/>
  <c r="AG67" i="10" s="1"/>
  <c r="J764" i="10" s="1"/>
  <c r="BA52" i="10"/>
  <c r="BA67" i="10" s="1"/>
  <c r="J784" i="10" s="1"/>
  <c r="AP52" i="10"/>
  <c r="AP67" i="10" s="1"/>
  <c r="J773" i="10" s="1"/>
  <c r="BP52" i="10"/>
  <c r="BP67" i="10" s="1"/>
  <c r="N52" i="10"/>
  <c r="N67" i="10" s="1"/>
  <c r="J745" i="10" s="1"/>
  <c r="BI52" i="10"/>
  <c r="BI67" i="10" s="1"/>
  <c r="J792" i="10" s="1"/>
  <c r="AX52" i="10"/>
  <c r="AX67" i="10" s="1"/>
  <c r="J781" i="10" s="1"/>
  <c r="CF76" i="10"/>
  <c r="BG52" i="10" s="1"/>
  <c r="BG67" i="10" s="1"/>
  <c r="CC52" i="10"/>
  <c r="CC67" i="10" s="1"/>
  <c r="J812" i="10" s="1"/>
  <c r="BR52" i="10"/>
  <c r="BR67" i="10" s="1"/>
  <c r="J801" i="10" s="1"/>
  <c r="F52" i="10"/>
  <c r="F67" i="10" s="1"/>
  <c r="J737" i="10" s="1"/>
  <c r="BZ52" i="10"/>
  <c r="BZ67" i="10" s="1"/>
  <c r="J809" i="10" s="1"/>
  <c r="CB52" i="10"/>
  <c r="CB67" i="10" s="1"/>
  <c r="J811" i="10" s="1"/>
  <c r="P52" i="10"/>
  <c r="P67" i="10" s="1"/>
  <c r="J747" i="10" s="1"/>
  <c r="E52" i="10"/>
  <c r="E67" i="10" s="1"/>
  <c r="J736" i="10" s="1"/>
  <c r="Y52" i="10"/>
  <c r="Y67" i="10" s="1"/>
  <c r="J756" i="10" s="1"/>
  <c r="AS52" i="10"/>
  <c r="AS67" i="10" s="1"/>
  <c r="J776" i="10" s="1"/>
  <c r="M52" i="10"/>
  <c r="M67" i="10" s="1"/>
  <c r="J744" i="10" s="1"/>
  <c r="E763" i="10"/>
  <c r="E768" i="10"/>
  <c r="D465" i="10"/>
  <c r="L816" i="10"/>
  <c r="C440" i="10"/>
  <c r="E807" i="10"/>
  <c r="E792" i="10"/>
  <c r="E793" i="10"/>
  <c r="E794" i="10"/>
  <c r="E747" i="10"/>
  <c r="E811" i="10"/>
  <c r="E796" i="10"/>
  <c r="E804" i="10"/>
  <c r="E797" i="10"/>
  <c r="E774" i="10"/>
  <c r="E735" i="10"/>
  <c r="O816" i="10"/>
  <c r="C463" i="10"/>
  <c r="E741" i="10"/>
  <c r="E760" i="10"/>
  <c r="E751" i="10"/>
  <c r="E753" i="10"/>
  <c r="E784" i="10"/>
  <c r="E771" i="10"/>
  <c r="E808" i="10"/>
  <c r="E800" i="10"/>
  <c r="E757" i="10"/>
  <c r="C62" i="10"/>
  <c r="CE48" i="10"/>
  <c r="E798" i="10"/>
  <c r="E791" i="10"/>
  <c r="E810" i="10"/>
  <c r="E761" i="10"/>
  <c r="E754" i="10"/>
  <c r="E776" i="10"/>
  <c r="AS71" i="10"/>
  <c r="E779" i="10"/>
  <c r="E740" i="10"/>
  <c r="E738" i="10"/>
  <c r="E765" i="10"/>
  <c r="E742" i="10"/>
  <c r="E806" i="10"/>
  <c r="E802" i="10"/>
  <c r="E767" i="10"/>
  <c r="E809" i="10"/>
  <c r="E790" i="10"/>
  <c r="R816" i="10"/>
  <c r="I612" i="10"/>
  <c r="E769" i="10"/>
  <c r="E770" i="10"/>
  <c r="E746" i="10"/>
  <c r="E787" i="10"/>
  <c r="E756" i="10"/>
  <c r="E748" i="10"/>
  <c r="E773" i="10"/>
  <c r="E750" i="10"/>
  <c r="E783" i="10"/>
  <c r="E737" i="10"/>
  <c r="F71" i="10"/>
  <c r="E736" i="10"/>
  <c r="E752" i="10"/>
  <c r="N816" i="10"/>
  <c r="K612" i="10"/>
  <c r="C465" i="10"/>
  <c r="E743" i="10"/>
  <c r="E777" i="10"/>
  <c r="E778" i="10"/>
  <c r="E762" i="10"/>
  <c r="AE71" i="10"/>
  <c r="E795" i="10"/>
  <c r="E764" i="10"/>
  <c r="E772" i="10"/>
  <c r="E781" i="10"/>
  <c r="AX71" i="10"/>
  <c r="E758" i="10"/>
  <c r="E801" i="10"/>
  <c r="E782" i="10"/>
  <c r="E745" i="10"/>
  <c r="N71" i="10"/>
  <c r="E749" i="10"/>
  <c r="E759" i="10"/>
  <c r="E744" i="10"/>
  <c r="E785" i="10"/>
  <c r="E786" i="10"/>
  <c r="E739" i="10"/>
  <c r="E803" i="10"/>
  <c r="E780" i="10"/>
  <c r="E788" i="10"/>
  <c r="E789" i="10"/>
  <c r="E766" i="10"/>
  <c r="J790" i="10" l="1"/>
  <c r="BG71" i="10"/>
  <c r="C696" i="10"/>
  <c r="C524" i="10"/>
  <c r="C710" i="10"/>
  <c r="C538" i="10"/>
  <c r="G538" i="10" s="1"/>
  <c r="C499" i="10"/>
  <c r="C671" i="10"/>
  <c r="AM71" i="10"/>
  <c r="BZ71" i="10"/>
  <c r="K71" i="10"/>
  <c r="BA71" i="10"/>
  <c r="P71" i="10"/>
  <c r="AH52" i="10"/>
  <c r="AH67" i="10" s="1"/>
  <c r="BQ52" i="10"/>
  <c r="BQ67" i="10" s="1"/>
  <c r="BH52" i="10"/>
  <c r="BH67" i="10" s="1"/>
  <c r="AN52" i="10"/>
  <c r="AN67" i="10" s="1"/>
  <c r="BU52" i="10"/>
  <c r="BU67" i="10" s="1"/>
  <c r="AF52" i="10"/>
  <c r="AF67" i="10" s="1"/>
  <c r="V52" i="10"/>
  <c r="V67" i="10" s="1"/>
  <c r="W52" i="10"/>
  <c r="W67" i="10" s="1"/>
  <c r="C52" i="10"/>
  <c r="BO52" i="10"/>
  <c r="BO67" i="10" s="1"/>
  <c r="C507" i="10"/>
  <c r="G507" i="10" s="1"/>
  <c r="C679" i="10"/>
  <c r="J799" i="10"/>
  <c r="BP71" i="10"/>
  <c r="BT52" i="10"/>
  <c r="BT67" i="10" s="1"/>
  <c r="I52" i="10"/>
  <c r="I67" i="10" s="1"/>
  <c r="BL52" i="10"/>
  <c r="BL67" i="10" s="1"/>
  <c r="BB52" i="10"/>
  <c r="BB67" i="10" s="1"/>
  <c r="AU52" i="10"/>
  <c r="AU67" i="10" s="1"/>
  <c r="AA52" i="10"/>
  <c r="AA67" i="10" s="1"/>
  <c r="Y71" i="10"/>
  <c r="M71" i="10"/>
  <c r="S71" i="10"/>
  <c r="CC71" i="10"/>
  <c r="BD52" i="10"/>
  <c r="BD67" i="10" s="1"/>
  <c r="Z52" i="10"/>
  <c r="Z67" i="10" s="1"/>
  <c r="Q52" i="10"/>
  <c r="Q67" i="10" s="1"/>
  <c r="AJ52" i="10"/>
  <c r="AJ67" i="10" s="1"/>
  <c r="AT52" i="10"/>
  <c r="AT67" i="10" s="1"/>
  <c r="AO52" i="10"/>
  <c r="AO67" i="10" s="1"/>
  <c r="BV52" i="10"/>
  <c r="BV67" i="10" s="1"/>
  <c r="BM52" i="10"/>
  <c r="BM67" i="10" s="1"/>
  <c r="BC52" i="10"/>
  <c r="BC67" i="10" s="1"/>
  <c r="AI52" i="10"/>
  <c r="AI67" i="10" s="1"/>
  <c r="BR71" i="10"/>
  <c r="BN52" i="10"/>
  <c r="BN67" i="10" s="1"/>
  <c r="AK52" i="10"/>
  <c r="AK67" i="10" s="1"/>
  <c r="AB52" i="10"/>
  <c r="AB67" i="10" s="1"/>
  <c r="H52" i="10"/>
  <c r="H67" i="10" s="1"/>
  <c r="T52" i="10"/>
  <c r="T67" i="10" s="1"/>
  <c r="BJ52" i="10"/>
  <c r="BJ67" i="10" s="1"/>
  <c r="D52" i="10"/>
  <c r="D67" i="10" s="1"/>
  <c r="BX52" i="10"/>
  <c r="BX67" i="10" s="1"/>
  <c r="BK52" i="10"/>
  <c r="BK67" i="10" s="1"/>
  <c r="AQ52" i="10"/>
  <c r="AQ67" i="10" s="1"/>
  <c r="J775" i="10"/>
  <c r="AR71" i="10"/>
  <c r="AG71" i="10"/>
  <c r="E71" i="10"/>
  <c r="AP71" i="10"/>
  <c r="BW71" i="10"/>
  <c r="CB71" i="10"/>
  <c r="BI71" i="10"/>
  <c r="BY52" i="10"/>
  <c r="BY67" i="10" s="1"/>
  <c r="AV52" i="10"/>
  <c r="AV67" i="10" s="1"/>
  <c r="AL52" i="10"/>
  <c r="AL67" i="10" s="1"/>
  <c r="R52" i="10"/>
  <c r="R67" i="10" s="1"/>
  <c r="AD52" i="10"/>
  <c r="AD67" i="10" s="1"/>
  <c r="J52" i="10"/>
  <c r="J67" i="10" s="1"/>
  <c r="BE52" i="10"/>
  <c r="BE67" i="10" s="1"/>
  <c r="G52" i="10"/>
  <c r="G67" i="10" s="1"/>
  <c r="BS52" i="10"/>
  <c r="BS67" i="10" s="1"/>
  <c r="AY52" i="10"/>
  <c r="AY67" i="10" s="1"/>
  <c r="C616" i="10"/>
  <c r="C543" i="10"/>
  <c r="E734" i="10"/>
  <c r="E815" i="10" s="1"/>
  <c r="CE62" i="10"/>
  <c r="X52" i="10"/>
  <c r="X67" i="10" s="1"/>
  <c r="BF52" i="10"/>
  <c r="BF67" i="10" s="1"/>
  <c r="AW52" i="10"/>
  <c r="AW67" i="10" s="1"/>
  <c r="AC52" i="10"/>
  <c r="AC67" i="10" s="1"/>
  <c r="AZ52" i="10"/>
  <c r="AZ67" i="10" s="1"/>
  <c r="U52" i="10"/>
  <c r="U67" i="10" s="1"/>
  <c r="L52" i="10"/>
  <c r="L67" i="10" s="1"/>
  <c r="O52" i="10"/>
  <c r="O67" i="10" s="1"/>
  <c r="CA52" i="10"/>
  <c r="CA67" i="10" s="1"/>
  <c r="J752" i="10" l="1"/>
  <c r="U71" i="10"/>
  <c r="J735" i="10"/>
  <c r="D71" i="10"/>
  <c r="J791" i="10"/>
  <c r="BH71" i="10"/>
  <c r="C670" i="10"/>
  <c r="C498" i="10"/>
  <c r="J757" i="10"/>
  <c r="Z71" i="10"/>
  <c r="J798" i="10"/>
  <c r="BO71" i="10"/>
  <c r="J760" i="10"/>
  <c r="AC71" i="10"/>
  <c r="J769" i="10"/>
  <c r="AL71" i="10"/>
  <c r="C698" i="10"/>
  <c r="C526" i="10"/>
  <c r="J751" i="10"/>
  <c r="T71" i="10"/>
  <c r="J786" i="10"/>
  <c r="BC71" i="10"/>
  <c r="J787" i="10"/>
  <c r="BD71" i="10"/>
  <c r="J795" i="10"/>
  <c r="BL71" i="10"/>
  <c r="CE52" i="10"/>
  <c r="C67" i="10"/>
  <c r="J765" i="10"/>
  <c r="AH71" i="10"/>
  <c r="J748" i="10"/>
  <c r="Q71" i="10"/>
  <c r="J793" i="10"/>
  <c r="BJ71" i="10"/>
  <c r="J800" i="10"/>
  <c r="BQ71" i="10"/>
  <c r="J780" i="10"/>
  <c r="AW71" i="10"/>
  <c r="J779" i="10"/>
  <c r="AV71" i="10"/>
  <c r="C709" i="10"/>
  <c r="C537" i="10"/>
  <c r="G537" i="10" s="1"/>
  <c r="J739" i="10"/>
  <c r="H71" i="10"/>
  <c r="J796" i="10"/>
  <c r="BM71" i="10"/>
  <c r="C620" i="10"/>
  <c r="C574" i="10"/>
  <c r="J740" i="10"/>
  <c r="I71" i="10"/>
  <c r="J754" i="10"/>
  <c r="W71" i="10"/>
  <c r="C681" i="10"/>
  <c r="C509" i="10"/>
  <c r="J743" i="10"/>
  <c r="L71" i="10"/>
  <c r="C568" i="10"/>
  <c r="C643" i="10"/>
  <c r="J761" i="10"/>
  <c r="AD71" i="10"/>
  <c r="J749" i="10"/>
  <c r="R71" i="10"/>
  <c r="J766" i="10"/>
  <c r="AI71" i="10"/>
  <c r="J785" i="10"/>
  <c r="BB71" i="10"/>
  <c r="G499" i="10"/>
  <c r="H499" i="10"/>
  <c r="J782" i="10"/>
  <c r="AY71" i="10"/>
  <c r="J789" i="10"/>
  <c r="BF71" i="10"/>
  <c r="J802" i="10"/>
  <c r="BS71" i="10"/>
  <c r="J808" i="10"/>
  <c r="BY71" i="10"/>
  <c r="J759" i="10"/>
  <c r="AB71" i="10"/>
  <c r="J805" i="10"/>
  <c r="BV71" i="10"/>
  <c r="C684" i="10"/>
  <c r="C512" i="10"/>
  <c r="J803" i="10"/>
  <c r="BT71" i="10"/>
  <c r="J753" i="10"/>
  <c r="V71" i="10"/>
  <c r="C630" i="10"/>
  <c r="C546" i="10"/>
  <c r="H524" i="10"/>
  <c r="G524" i="10"/>
  <c r="J807" i="10"/>
  <c r="BX71" i="10"/>
  <c r="C707" i="10"/>
  <c r="C535" i="10"/>
  <c r="J778" i="10"/>
  <c r="AU71" i="10"/>
  <c r="J774" i="10"/>
  <c r="AQ71" i="10"/>
  <c r="J783" i="10"/>
  <c r="AZ71" i="10"/>
  <c r="J810" i="10"/>
  <c r="CA71" i="10"/>
  <c r="J755" i="10"/>
  <c r="X71" i="10"/>
  <c r="J738" i="10"/>
  <c r="G71" i="10"/>
  <c r="C634" i="10"/>
  <c r="C554" i="10"/>
  <c r="J768" i="10"/>
  <c r="AK71" i="10"/>
  <c r="J772" i="10"/>
  <c r="AO71" i="10"/>
  <c r="C678" i="10"/>
  <c r="C506" i="10"/>
  <c r="G506" i="10" s="1"/>
  <c r="C621" i="10"/>
  <c r="C561" i="10"/>
  <c r="J763" i="10"/>
  <c r="AF71" i="10"/>
  <c r="C676" i="10"/>
  <c r="C504" i="10"/>
  <c r="G504" i="10" s="1"/>
  <c r="J746" i="10"/>
  <c r="O71" i="10"/>
  <c r="E816" i="10"/>
  <c r="C428" i="10"/>
  <c r="J788" i="10"/>
  <c r="BE71" i="10"/>
  <c r="C622" i="10"/>
  <c r="C573" i="10"/>
  <c r="J794" i="10"/>
  <c r="BK71" i="10"/>
  <c r="J797" i="10"/>
  <c r="BN71" i="10"/>
  <c r="J777" i="10"/>
  <c r="AT71" i="10"/>
  <c r="C690" i="10"/>
  <c r="C518" i="10"/>
  <c r="J804" i="10"/>
  <c r="BU71" i="10"/>
  <c r="C646" i="10"/>
  <c r="C571" i="10"/>
  <c r="C618" i="10"/>
  <c r="C552" i="10"/>
  <c r="J741" i="10"/>
  <c r="J71" i="10"/>
  <c r="C626" i="10"/>
  <c r="C563" i="10"/>
  <c r="J767" i="10"/>
  <c r="AJ71" i="10"/>
  <c r="J758" i="10"/>
  <c r="AA71" i="10"/>
  <c r="J771" i="10"/>
  <c r="AN71" i="10"/>
  <c r="C704" i="10"/>
  <c r="C532" i="10"/>
  <c r="G532" i="10" s="1"/>
  <c r="C692" i="10" l="1"/>
  <c r="C520" i="10"/>
  <c r="C697" i="10"/>
  <c r="C525" i="10"/>
  <c r="G525" i="10" s="1"/>
  <c r="G535" i="10"/>
  <c r="H535" i="10"/>
  <c r="C687" i="10"/>
  <c r="C515" i="10"/>
  <c r="C693" i="10"/>
  <c r="C521" i="10"/>
  <c r="C544" i="10"/>
  <c r="C625" i="10"/>
  <c r="C683" i="10"/>
  <c r="C511" i="10"/>
  <c r="G509" i="10"/>
  <c r="H509" i="10"/>
  <c r="C638" i="10"/>
  <c r="C558" i="10"/>
  <c r="C542" i="10"/>
  <c r="C631" i="10"/>
  <c r="C699" i="10"/>
  <c r="C527" i="10"/>
  <c r="G527" i="10" s="1"/>
  <c r="C633" i="10"/>
  <c r="C548" i="10"/>
  <c r="C701" i="10"/>
  <c r="C529" i="10"/>
  <c r="C559" i="10"/>
  <c r="C619" i="10"/>
  <c r="C694" i="10"/>
  <c r="C522" i="10"/>
  <c r="C553" i="10"/>
  <c r="C636" i="10"/>
  <c r="C628" i="10"/>
  <c r="C545" i="10"/>
  <c r="G545" i="10" s="1"/>
  <c r="C644" i="10"/>
  <c r="C569" i="10"/>
  <c r="C645" i="10"/>
  <c r="C570" i="10"/>
  <c r="C695" i="10"/>
  <c r="C523" i="10"/>
  <c r="G523" i="10" s="1"/>
  <c r="C688" i="10"/>
  <c r="C516" i="10"/>
  <c r="C673" i="10"/>
  <c r="C501" i="10"/>
  <c r="G501" i="10" s="1"/>
  <c r="C562" i="10"/>
  <c r="C623" i="10"/>
  <c r="J734" i="10"/>
  <c r="J815" i="10" s="1"/>
  <c r="CE67" i="10"/>
  <c r="C71" i="10"/>
  <c r="C685" i="10"/>
  <c r="C513" i="10"/>
  <c r="C711" i="10"/>
  <c r="C539" i="10"/>
  <c r="G539" i="10" s="1"/>
  <c r="H498" i="10"/>
  <c r="G498" i="10"/>
  <c r="C565" i="10"/>
  <c r="C640" i="10"/>
  <c r="C566" i="10"/>
  <c r="C641" i="10"/>
  <c r="C556" i="10"/>
  <c r="C635" i="10"/>
  <c r="C560" i="10"/>
  <c r="C627" i="10"/>
  <c r="C669" i="10"/>
  <c r="C497" i="10"/>
  <c r="G497" i="10" s="1"/>
  <c r="C614" i="10"/>
  <c r="C550" i="10"/>
  <c r="C647" i="10"/>
  <c r="C572" i="10"/>
  <c r="C680" i="10"/>
  <c r="C508" i="10"/>
  <c r="C708" i="10"/>
  <c r="C536" i="10"/>
  <c r="G536" i="10" s="1"/>
  <c r="C674" i="10"/>
  <c r="C502" i="10"/>
  <c r="G502" i="10" s="1"/>
  <c r="C702" i="10"/>
  <c r="C530" i="10"/>
  <c r="G530" i="10" s="1"/>
  <c r="C500" i="10"/>
  <c r="G500" i="10" s="1"/>
  <c r="C672" i="10"/>
  <c r="G512" i="10"/>
  <c r="H512" i="10"/>
  <c r="C564" i="10"/>
  <c r="C639" i="10"/>
  <c r="C547" i="10"/>
  <c r="C632" i="10"/>
  <c r="C617" i="10"/>
  <c r="C555" i="10"/>
  <c r="C637" i="10"/>
  <c r="C557" i="10"/>
  <c r="G526" i="10"/>
  <c r="H526" i="10" s="1"/>
  <c r="C705" i="10"/>
  <c r="C533" i="10"/>
  <c r="G533" i="10" s="1"/>
  <c r="C675" i="10"/>
  <c r="C503" i="10"/>
  <c r="G518" i="10"/>
  <c r="H518" i="10" s="1"/>
  <c r="C691" i="10"/>
  <c r="C519" i="10"/>
  <c r="G519" i="10" s="1"/>
  <c r="C686" i="10"/>
  <c r="C514" i="10"/>
  <c r="C534" i="10"/>
  <c r="C706" i="10"/>
  <c r="C689" i="10"/>
  <c r="C517" i="10"/>
  <c r="C712" i="10"/>
  <c r="C540" i="10"/>
  <c r="G540" i="10" s="1"/>
  <c r="G546" i="10"/>
  <c r="H546" i="10"/>
  <c r="C567" i="10"/>
  <c r="C642" i="10"/>
  <c r="C629" i="10"/>
  <c r="C551" i="10"/>
  <c r="C700" i="10"/>
  <c r="C528" i="10"/>
  <c r="C677" i="10"/>
  <c r="C505" i="10"/>
  <c r="G505" i="10" s="1"/>
  <c r="C713" i="10"/>
  <c r="C541" i="10"/>
  <c r="C682" i="10"/>
  <c r="C510" i="10"/>
  <c r="C624" i="10"/>
  <c r="C549" i="10"/>
  <c r="C703" i="10"/>
  <c r="C531" i="10"/>
  <c r="G531" i="10" s="1"/>
  <c r="H514" i="10" l="1"/>
  <c r="G514" i="10"/>
  <c r="H508" i="10"/>
  <c r="G508" i="10"/>
  <c r="G515" i="10"/>
  <c r="H515" i="10"/>
  <c r="G528" i="10"/>
  <c r="H528" i="10"/>
  <c r="H510" i="10"/>
  <c r="G510" i="10"/>
  <c r="H550" i="10"/>
  <c r="G550" i="10"/>
  <c r="G513" i="10"/>
  <c r="H513" i="10"/>
  <c r="G516" i="10"/>
  <c r="H516" i="10"/>
  <c r="G544" i="10"/>
  <c r="H544" i="10"/>
  <c r="G522" i="10"/>
  <c r="H522" i="10"/>
  <c r="G517" i="10"/>
  <c r="H517" i="10"/>
  <c r="C648" i="10"/>
  <c r="M716" i="10" s="1"/>
  <c r="Y816" i="10" s="1"/>
  <c r="D615" i="10"/>
  <c r="G503" i="10"/>
  <c r="H503" i="10"/>
  <c r="C668" i="10"/>
  <c r="C715" i="10" s="1"/>
  <c r="C496" i="10"/>
  <c r="G529" i="10"/>
  <c r="H529" i="10" s="1"/>
  <c r="G521" i="10"/>
  <c r="H521" i="10"/>
  <c r="G520" i="10"/>
  <c r="H520" i="10" s="1"/>
  <c r="G511" i="10"/>
  <c r="H511" i="10"/>
  <c r="G534" i="10"/>
  <c r="H534" i="10"/>
  <c r="J816" i="10"/>
  <c r="C433" i="10"/>
  <c r="C441" i="10" s="1"/>
  <c r="CE71" i="10"/>
  <c r="C716" i="10" s="1"/>
  <c r="D712" i="10" l="1"/>
  <c r="D704" i="10"/>
  <c r="D696" i="10"/>
  <c r="D688" i="10"/>
  <c r="D706" i="10"/>
  <c r="D698" i="10"/>
  <c r="D690" i="10"/>
  <c r="D713" i="10"/>
  <c r="D710" i="10"/>
  <c r="D702" i="10"/>
  <c r="D694" i="10"/>
  <c r="D686" i="10"/>
  <c r="D700" i="10"/>
  <c r="D693" i="10"/>
  <c r="D685" i="10"/>
  <c r="D681" i="10"/>
  <c r="D673" i="10"/>
  <c r="D707" i="10"/>
  <c r="D701" i="10"/>
  <c r="D695" i="10"/>
  <c r="D675" i="10"/>
  <c r="D644" i="10"/>
  <c r="D643" i="10"/>
  <c r="D642" i="10"/>
  <c r="D641" i="10"/>
  <c r="D640" i="10"/>
  <c r="D639" i="10"/>
  <c r="D638" i="10"/>
  <c r="D637" i="10"/>
  <c r="D636" i="10"/>
  <c r="D635" i="10"/>
  <c r="D634" i="10"/>
  <c r="D633" i="10"/>
  <c r="D632" i="10"/>
  <c r="D631" i="10"/>
  <c r="D630" i="10"/>
  <c r="D624" i="10"/>
  <c r="D689" i="10"/>
  <c r="D716" i="10"/>
  <c r="D705" i="10"/>
  <c r="D692" i="10"/>
  <c r="D687" i="10"/>
  <c r="D645" i="10"/>
  <c r="D629" i="10"/>
  <c r="D627" i="10"/>
  <c r="D625" i="10"/>
  <c r="D621" i="10"/>
  <c r="D699" i="10"/>
  <c r="D697" i="10"/>
  <c r="D684" i="10"/>
  <c r="D679" i="10"/>
  <c r="D678" i="10"/>
  <c r="D677" i="10"/>
  <c r="D646" i="10"/>
  <c r="D711" i="10"/>
  <c r="D676" i="10"/>
  <c r="D674" i="10"/>
  <c r="D672" i="10"/>
  <c r="D619" i="10"/>
  <c r="D708" i="10"/>
  <c r="D691" i="10"/>
  <c r="D671" i="10"/>
  <c r="D670" i="10"/>
  <c r="D669" i="10"/>
  <c r="D647" i="10"/>
  <c r="D626" i="10"/>
  <c r="D617" i="10"/>
  <c r="D683" i="10"/>
  <c r="D628" i="10"/>
  <c r="D623" i="10"/>
  <c r="D709" i="10"/>
  <c r="D703" i="10"/>
  <c r="D622" i="10"/>
  <c r="D682" i="10"/>
  <c r="D680" i="10"/>
  <c r="D620" i="10"/>
  <c r="D618" i="10"/>
  <c r="D616" i="10"/>
  <c r="D668" i="10"/>
  <c r="G496" i="10"/>
  <c r="H496" i="10" s="1"/>
  <c r="D715" i="10" l="1"/>
  <c r="E623" i="10"/>
  <c r="E612" i="10"/>
  <c r="E709" i="10" l="1"/>
  <c r="E701" i="10"/>
  <c r="E693" i="10"/>
  <c r="E711" i="10"/>
  <c r="E703" i="10"/>
  <c r="E695" i="10"/>
  <c r="E687" i="10"/>
  <c r="E713" i="10"/>
  <c r="E710" i="10"/>
  <c r="E716" i="10"/>
  <c r="E707" i="10"/>
  <c r="E699" i="10"/>
  <c r="E691" i="10"/>
  <c r="E712" i="10"/>
  <c r="E686" i="10"/>
  <c r="E684" i="10"/>
  <c r="E678" i="10"/>
  <c r="E670" i="10"/>
  <c r="E647" i="10"/>
  <c r="E646" i="10"/>
  <c r="E645" i="10"/>
  <c r="E629" i="10"/>
  <c r="E626" i="10"/>
  <c r="E694" i="10"/>
  <c r="E702" i="10"/>
  <c r="E688" i="10"/>
  <c r="E683" i="10"/>
  <c r="E680" i="10"/>
  <c r="E672" i="10"/>
  <c r="E690" i="10"/>
  <c r="E682" i="10"/>
  <c r="E641" i="10"/>
  <c r="E637" i="10"/>
  <c r="E633" i="10"/>
  <c r="E676" i="10"/>
  <c r="E675" i="10"/>
  <c r="E674" i="10"/>
  <c r="E642" i="10"/>
  <c r="E638" i="10"/>
  <c r="E634" i="10"/>
  <c r="E630" i="10"/>
  <c r="E624" i="10"/>
  <c r="E708" i="10"/>
  <c r="E706" i="10"/>
  <c r="E704" i="10"/>
  <c r="E685" i="10"/>
  <c r="E673" i="10"/>
  <c r="E671" i="10"/>
  <c r="E669" i="10"/>
  <c r="E668" i="10"/>
  <c r="E643" i="10"/>
  <c r="E639" i="10"/>
  <c r="E635" i="10"/>
  <c r="E631" i="10"/>
  <c r="E628" i="10"/>
  <c r="E640" i="10"/>
  <c r="E632" i="10"/>
  <c r="E705" i="10"/>
  <c r="E700" i="10"/>
  <c r="E681" i="10"/>
  <c r="E679" i="10"/>
  <c r="E677" i="10"/>
  <c r="E689" i="10"/>
  <c r="E698" i="10"/>
  <c r="E644" i="10"/>
  <c r="E636" i="10"/>
  <c r="E627" i="10"/>
  <c r="E697" i="10"/>
  <c r="E692" i="10"/>
  <c r="E625" i="10"/>
  <c r="E696" i="10"/>
  <c r="E715" i="10" l="1"/>
  <c r="F624" i="10"/>
  <c r="F706" i="10" l="1"/>
  <c r="F698" i="10"/>
  <c r="F690" i="10"/>
  <c r="F708" i="10"/>
  <c r="F700" i="10"/>
  <c r="F692" i="10"/>
  <c r="F684" i="10"/>
  <c r="F710" i="10"/>
  <c r="F716" i="10"/>
  <c r="F707" i="10"/>
  <c r="F712" i="10"/>
  <c r="F704" i="10"/>
  <c r="F696" i="10"/>
  <c r="F688" i="10"/>
  <c r="F701" i="10"/>
  <c r="F694" i="10"/>
  <c r="F687" i="10"/>
  <c r="F675" i="10"/>
  <c r="F644" i="10"/>
  <c r="F643" i="10"/>
  <c r="F642" i="10"/>
  <c r="F641" i="10"/>
  <c r="F640" i="10"/>
  <c r="F639" i="10"/>
  <c r="F638" i="10"/>
  <c r="F637" i="10"/>
  <c r="F636" i="10"/>
  <c r="F635" i="10"/>
  <c r="F634" i="10"/>
  <c r="F633" i="10"/>
  <c r="F632" i="10"/>
  <c r="F631" i="10"/>
  <c r="F630" i="10"/>
  <c r="F702" i="10"/>
  <c r="F695" i="10"/>
  <c r="F703" i="10"/>
  <c r="F689" i="10"/>
  <c r="F677" i="10"/>
  <c r="F669" i="10"/>
  <c r="F627" i="10"/>
  <c r="F705" i="10"/>
  <c r="F709" i="10"/>
  <c r="F697" i="10"/>
  <c r="F683" i="10"/>
  <c r="F681" i="10"/>
  <c r="F680" i="10"/>
  <c r="F679" i="10"/>
  <c r="F711" i="10"/>
  <c r="F685" i="10"/>
  <c r="F673" i="10"/>
  <c r="F672" i="10"/>
  <c r="F671" i="10"/>
  <c r="F693" i="10"/>
  <c r="F691" i="10"/>
  <c r="F670" i="10"/>
  <c r="F668" i="10"/>
  <c r="F647" i="10"/>
  <c r="F628" i="10"/>
  <c r="F626" i="10"/>
  <c r="F625" i="10"/>
  <c r="F686" i="10"/>
  <c r="F699" i="10"/>
  <c r="F682" i="10"/>
  <c r="F678" i="10"/>
  <c r="F676" i="10"/>
  <c r="F674" i="10"/>
  <c r="F646" i="10"/>
  <c r="F713" i="10"/>
  <c r="F645" i="10"/>
  <c r="F629" i="10"/>
  <c r="F715" i="10" l="1"/>
  <c r="G625" i="10"/>
  <c r="G711" i="10" l="1"/>
  <c r="G703" i="10"/>
  <c r="G695" i="10"/>
  <c r="G687" i="10"/>
  <c r="G713" i="10"/>
  <c r="G705" i="10"/>
  <c r="G697" i="10"/>
  <c r="G689" i="10"/>
  <c r="G716" i="10"/>
  <c r="G712" i="10"/>
  <c r="G709" i="10"/>
  <c r="G701" i="10"/>
  <c r="G693" i="10"/>
  <c r="G685" i="10"/>
  <c r="G710" i="10"/>
  <c r="G707" i="10"/>
  <c r="G702" i="10"/>
  <c r="G683" i="10"/>
  <c r="G680" i="10"/>
  <c r="G672" i="10"/>
  <c r="G708" i="10"/>
  <c r="G696" i="10"/>
  <c r="G682" i="10"/>
  <c r="G674" i="10"/>
  <c r="G694" i="10"/>
  <c r="G692" i="10"/>
  <c r="G699" i="10"/>
  <c r="G678" i="10"/>
  <c r="G677" i="10"/>
  <c r="G676" i="10"/>
  <c r="G646" i="10"/>
  <c r="G706" i="10"/>
  <c r="G704" i="10"/>
  <c r="G691" i="10"/>
  <c r="G688" i="10"/>
  <c r="G670" i="10"/>
  <c r="G669" i="10"/>
  <c r="G668" i="10"/>
  <c r="G647" i="10"/>
  <c r="G628" i="10"/>
  <c r="H628" i="10" s="1"/>
  <c r="G626" i="10"/>
  <c r="G643" i="10"/>
  <c r="G639" i="10"/>
  <c r="G635" i="10"/>
  <c r="G631" i="10"/>
  <c r="G700" i="10"/>
  <c r="G698" i="10"/>
  <c r="G686" i="10"/>
  <c r="G645" i="10"/>
  <c r="G629" i="10"/>
  <c r="G690" i="10"/>
  <c r="G681" i="10"/>
  <c r="G679" i="10"/>
  <c r="G675" i="10"/>
  <c r="G673" i="10"/>
  <c r="G671" i="10"/>
  <c r="G642" i="10"/>
  <c r="G634" i="10"/>
  <c r="G644" i="10"/>
  <c r="G636" i="10"/>
  <c r="G627" i="10"/>
  <c r="G641" i="10"/>
  <c r="G633" i="10"/>
  <c r="G684" i="10"/>
  <c r="G638" i="10"/>
  <c r="G630" i="10"/>
  <c r="G637" i="10"/>
  <c r="G632" i="10"/>
  <c r="G640" i="10"/>
  <c r="H708" i="10" l="1"/>
  <c r="H700" i="10"/>
  <c r="H692" i="10"/>
  <c r="H710" i="10"/>
  <c r="H702" i="10"/>
  <c r="H694" i="10"/>
  <c r="H686" i="10"/>
  <c r="H712" i="10"/>
  <c r="H709" i="10"/>
  <c r="H706" i="10"/>
  <c r="H698" i="10"/>
  <c r="H690" i="10"/>
  <c r="H695" i="10"/>
  <c r="H688" i="10"/>
  <c r="H677" i="10"/>
  <c r="H669" i="10"/>
  <c r="H703" i="10"/>
  <c r="H696" i="10"/>
  <c r="H704" i="10"/>
  <c r="H697" i="10"/>
  <c r="H679" i="10"/>
  <c r="H671" i="10"/>
  <c r="H701" i="10"/>
  <c r="H684" i="10"/>
  <c r="H675" i="10"/>
  <c r="H674" i="10"/>
  <c r="H673" i="10"/>
  <c r="H642" i="10"/>
  <c r="H638" i="10"/>
  <c r="H634" i="10"/>
  <c r="H630" i="10"/>
  <c r="H693" i="10"/>
  <c r="H643" i="10"/>
  <c r="H639" i="10"/>
  <c r="H635" i="10"/>
  <c r="H631" i="10"/>
  <c r="H713" i="10"/>
  <c r="H689" i="10"/>
  <c r="H644" i="10"/>
  <c r="H640" i="10"/>
  <c r="H636" i="10"/>
  <c r="H632" i="10"/>
  <c r="H705" i="10"/>
  <c r="H681" i="10"/>
  <c r="H637" i="10"/>
  <c r="H711" i="10"/>
  <c r="H683" i="10"/>
  <c r="H699" i="10"/>
  <c r="H647" i="10"/>
  <c r="H685" i="10"/>
  <c r="H682" i="10"/>
  <c r="H641" i="10"/>
  <c r="H633" i="10"/>
  <c r="H716" i="10"/>
  <c r="H680" i="10"/>
  <c r="H678" i="10"/>
  <c r="H676" i="10"/>
  <c r="H646" i="10"/>
  <c r="H707" i="10"/>
  <c r="H672" i="10"/>
  <c r="H670" i="10"/>
  <c r="H668" i="10"/>
  <c r="H645" i="10"/>
  <c r="H687" i="10"/>
  <c r="H629" i="10"/>
  <c r="H691" i="10"/>
  <c r="G715" i="10"/>
  <c r="H715" i="10" l="1"/>
  <c r="I629" i="10"/>
  <c r="I713" i="10" l="1"/>
  <c r="I705" i="10"/>
  <c r="I697" i="10"/>
  <c r="I689" i="10"/>
  <c r="I716" i="10"/>
  <c r="I707" i="10"/>
  <c r="I699" i="10"/>
  <c r="I691" i="10"/>
  <c r="I683" i="10"/>
  <c r="I706" i="10"/>
  <c r="I711" i="10"/>
  <c r="I703" i="10"/>
  <c r="I695" i="10"/>
  <c r="I687" i="10"/>
  <c r="I696" i="10"/>
  <c r="I682" i="10"/>
  <c r="I674" i="10"/>
  <c r="I708" i="10"/>
  <c r="I704" i="10"/>
  <c r="I690" i="10"/>
  <c r="I676" i="10"/>
  <c r="I668" i="10"/>
  <c r="I712" i="10"/>
  <c r="I685" i="10"/>
  <c r="I672" i="10"/>
  <c r="I671" i="10"/>
  <c r="I670" i="10"/>
  <c r="I647" i="10"/>
  <c r="I702" i="10"/>
  <c r="I700" i="10"/>
  <c r="I698" i="10"/>
  <c r="I686" i="10"/>
  <c r="I644" i="10"/>
  <c r="I640" i="10"/>
  <c r="I636" i="10"/>
  <c r="I632" i="10"/>
  <c r="I645" i="10"/>
  <c r="I679" i="10"/>
  <c r="I677" i="10"/>
  <c r="I675" i="10"/>
  <c r="I673" i="10"/>
  <c r="I710" i="10"/>
  <c r="I694" i="10"/>
  <c r="I669" i="10"/>
  <c r="I639" i="10"/>
  <c r="I631" i="10"/>
  <c r="I709" i="10"/>
  <c r="I641" i="10"/>
  <c r="I633" i="10"/>
  <c r="I693" i="10"/>
  <c r="I680" i="10"/>
  <c r="I678" i="10"/>
  <c r="I646" i="10"/>
  <c r="I692" i="10"/>
  <c r="I688" i="10"/>
  <c r="I684" i="10"/>
  <c r="I638" i="10"/>
  <c r="I630" i="10"/>
  <c r="I643" i="10"/>
  <c r="I635" i="10"/>
  <c r="I681" i="10"/>
  <c r="I634" i="10"/>
  <c r="I637" i="10"/>
  <c r="I701" i="10"/>
  <c r="I642" i="10"/>
  <c r="I715" i="10" l="1"/>
  <c r="J630" i="10"/>
  <c r="J710" i="10" l="1"/>
  <c r="J702" i="10"/>
  <c r="J694" i="10"/>
  <c r="J686" i="10"/>
  <c r="J712" i="10"/>
  <c r="J704" i="10"/>
  <c r="J696" i="10"/>
  <c r="J688" i="10"/>
  <c r="J711" i="10"/>
  <c r="J708" i="10"/>
  <c r="J700" i="10"/>
  <c r="J692" i="10"/>
  <c r="J703" i="10"/>
  <c r="J689" i="10"/>
  <c r="J679" i="10"/>
  <c r="J671" i="10"/>
  <c r="J697" i="10"/>
  <c r="J716" i="10"/>
  <c r="J713" i="10"/>
  <c r="J705" i="10"/>
  <c r="J698" i="10"/>
  <c r="J691" i="10"/>
  <c r="J681" i="10"/>
  <c r="J673" i="10"/>
  <c r="J709" i="10"/>
  <c r="J707" i="10"/>
  <c r="J701" i="10"/>
  <c r="J699" i="10"/>
  <c r="J690" i="10"/>
  <c r="J687" i="10"/>
  <c r="J684" i="10"/>
  <c r="J693" i="10"/>
  <c r="J669" i="10"/>
  <c r="J668" i="10"/>
  <c r="J643" i="10"/>
  <c r="J639" i="10"/>
  <c r="J635" i="10"/>
  <c r="J631" i="10"/>
  <c r="J644" i="10"/>
  <c r="J640" i="10"/>
  <c r="J636" i="10"/>
  <c r="J632" i="10"/>
  <c r="J645" i="10"/>
  <c r="J641" i="10"/>
  <c r="J637" i="10"/>
  <c r="J633" i="10"/>
  <c r="J683" i="10"/>
  <c r="J677" i="10"/>
  <c r="J675" i="10"/>
  <c r="J642" i="10"/>
  <c r="J634" i="10"/>
  <c r="J695" i="10"/>
  <c r="J647" i="10"/>
  <c r="J685" i="10"/>
  <c r="J682" i="10"/>
  <c r="J680" i="10"/>
  <c r="J678" i="10"/>
  <c r="J646" i="10"/>
  <c r="J676" i="10"/>
  <c r="J638" i="10"/>
  <c r="J674" i="10"/>
  <c r="J672" i="10"/>
  <c r="J670" i="10"/>
  <c r="J706" i="10"/>
  <c r="K644" i="10" l="1"/>
  <c r="J715" i="10"/>
  <c r="L647" i="10"/>
  <c r="L712" i="10" l="1"/>
  <c r="M712" i="10" s="1"/>
  <c r="Y778" i="10" s="1"/>
  <c r="L704" i="10"/>
  <c r="L696" i="10"/>
  <c r="L688" i="10"/>
  <c r="L706" i="10"/>
  <c r="L698" i="10"/>
  <c r="M698" i="10" s="1"/>
  <c r="Y764" i="10" s="1"/>
  <c r="L690" i="10"/>
  <c r="L682" i="10"/>
  <c r="L713" i="10"/>
  <c r="M713" i="10" s="1"/>
  <c r="Y779" i="10" s="1"/>
  <c r="L710" i="10"/>
  <c r="L702" i="10"/>
  <c r="L694" i="10"/>
  <c r="L686" i="10"/>
  <c r="L708" i="10"/>
  <c r="L697" i="10"/>
  <c r="M697" i="10" s="1"/>
  <c r="Y763" i="10" s="1"/>
  <c r="L681" i="10"/>
  <c r="L673" i="10"/>
  <c r="M673" i="10" s="1"/>
  <c r="Y739" i="10" s="1"/>
  <c r="L716" i="10"/>
  <c r="L705" i="10"/>
  <c r="L691" i="10"/>
  <c r="L711" i="10"/>
  <c r="L709" i="10"/>
  <c r="M709" i="10" s="1"/>
  <c r="Y775" i="10" s="1"/>
  <c r="L699" i="10"/>
  <c r="M699" i="10" s="1"/>
  <c r="Y765" i="10" s="1"/>
  <c r="L692" i="10"/>
  <c r="M692" i="10" s="1"/>
  <c r="Y758" i="10" s="1"/>
  <c r="L685" i="10"/>
  <c r="M685" i="10" s="1"/>
  <c r="Y751" i="10" s="1"/>
  <c r="L684" i="10"/>
  <c r="L675" i="10"/>
  <c r="L689" i="10"/>
  <c r="L680" i="10"/>
  <c r="M680" i="10" s="1"/>
  <c r="Y746" i="10" s="1"/>
  <c r="L687" i="10"/>
  <c r="M687" i="10" s="1"/>
  <c r="Y753" i="10" s="1"/>
  <c r="L683" i="10"/>
  <c r="M683" i="10" s="1"/>
  <c r="Y749" i="10" s="1"/>
  <c r="L679" i="10"/>
  <c r="M679" i="10" s="1"/>
  <c r="Y745" i="10" s="1"/>
  <c r="L678" i="10"/>
  <c r="M678" i="10" s="1"/>
  <c r="Y744" i="10" s="1"/>
  <c r="L677" i="10"/>
  <c r="L700" i="10"/>
  <c r="M700" i="10" s="1"/>
  <c r="Y766" i="10" s="1"/>
  <c r="L695" i="10"/>
  <c r="L671" i="10"/>
  <c r="L669" i="10"/>
  <c r="L703" i="10"/>
  <c r="M703" i="10" s="1"/>
  <c r="Y769" i="10" s="1"/>
  <c r="L693" i="10"/>
  <c r="M693" i="10" s="1"/>
  <c r="Y759" i="10" s="1"/>
  <c r="L676" i="10"/>
  <c r="M676" i="10" s="1"/>
  <c r="Y742" i="10" s="1"/>
  <c r="L674" i="10"/>
  <c r="L672" i="10"/>
  <c r="L670" i="10"/>
  <c r="L707" i="10"/>
  <c r="L668" i="10"/>
  <c r="L701" i="10"/>
  <c r="M701" i="10" s="1"/>
  <c r="Y767" i="10" s="1"/>
  <c r="K716" i="10"/>
  <c r="K707" i="10"/>
  <c r="K699" i="10"/>
  <c r="K691" i="10"/>
  <c r="K709" i="10"/>
  <c r="K701" i="10"/>
  <c r="K693" i="10"/>
  <c r="K685" i="10"/>
  <c r="K711" i="10"/>
  <c r="K708" i="10"/>
  <c r="K713" i="10"/>
  <c r="K705" i="10"/>
  <c r="K697" i="10"/>
  <c r="K689" i="10"/>
  <c r="K704" i="10"/>
  <c r="K690" i="10"/>
  <c r="K676" i="10"/>
  <c r="K668" i="10"/>
  <c r="K698" i="10"/>
  <c r="K678" i="10"/>
  <c r="K670" i="10"/>
  <c r="K703" i="10"/>
  <c r="K706" i="10"/>
  <c r="K695" i="10"/>
  <c r="K688" i="10"/>
  <c r="K702" i="10"/>
  <c r="K700" i="10"/>
  <c r="K686" i="10"/>
  <c r="K710" i="10"/>
  <c r="K696" i="10"/>
  <c r="K694" i="10"/>
  <c r="K692" i="10"/>
  <c r="K682" i="10"/>
  <c r="K681" i="10"/>
  <c r="K680" i="10"/>
  <c r="K712" i="10"/>
  <c r="K673" i="10"/>
  <c r="K671" i="10"/>
  <c r="K669" i="10"/>
  <c r="K684" i="10"/>
  <c r="K674" i="10"/>
  <c r="K672" i="10"/>
  <c r="K687" i="10"/>
  <c r="K679" i="10"/>
  <c r="K677" i="10"/>
  <c r="K683" i="10"/>
  <c r="K675" i="10"/>
  <c r="M708" i="10" l="1"/>
  <c r="Y774" i="10" s="1"/>
  <c r="K715" i="10"/>
  <c r="M681" i="10"/>
  <c r="Y747" i="10" s="1"/>
  <c r="M669" i="10"/>
  <c r="Y735" i="10" s="1"/>
  <c r="M671" i="10"/>
  <c r="Y737" i="10" s="1"/>
  <c r="M711" i="10"/>
  <c r="Y777" i="10" s="1"/>
  <c r="M686" i="10"/>
  <c r="Y752" i="10" s="1"/>
  <c r="M706" i="10"/>
  <c r="Y772" i="10" s="1"/>
  <c r="M670" i="10"/>
  <c r="Y736" i="10" s="1"/>
  <c r="M695" i="10"/>
  <c r="Y761" i="10" s="1"/>
  <c r="M689" i="10"/>
  <c r="Y755" i="10" s="1"/>
  <c r="M691" i="10"/>
  <c r="Y757" i="10" s="1"/>
  <c r="M694" i="10"/>
  <c r="Y760" i="10" s="1"/>
  <c r="M688" i="10"/>
  <c r="Y754" i="10" s="1"/>
  <c r="L715" i="10"/>
  <c r="M668" i="10"/>
  <c r="M707" i="10"/>
  <c r="Y773" i="10" s="1"/>
  <c r="M675" i="10"/>
  <c r="Y741" i="10" s="1"/>
  <c r="M705" i="10"/>
  <c r="Y771" i="10" s="1"/>
  <c r="M702" i="10"/>
  <c r="Y768" i="10" s="1"/>
  <c r="M696" i="10"/>
  <c r="Y762" i="10" s="1"/>
  <c r="M682" i="10"/>
  <c r="Y748" i="10" s="1"/>
  <c r="M690" i="10"/>
  <c r="Y756" i="10" s="1"/>
  <c r="M672" i="10"/>
  <c r="Y738" i="10" s="1"/>
  <c r="M674" i="10"/>
  <c r="Y740" i="10" s="1"/>
  <c r="M677" i="10"/>
  <c r="Y743" i="10" s="1"/>
  <c r="M684" i="10"/>
  <c r="Y750" i="10" s="1"/>
  <c r="M710" i="10"/>
  <c r="Y776" i="10" s="1"/>
  <c r="M704" i="10"/>
  <c r="Y770" i="10" s="1"/>
  <c r="Y734" i="10" l="1"/>
  <c r="Y815" i="10" s="1"/>
  <c r="M715" i="10"/>
  <c r="B197" i="1" l="1"/>
  <c r="AV74" i="1" l="1"/>
  <c r="AP74" i="1"/>
  <c r="CC69" i="1"/>
  <c r="CC66" i="1"/>
  <c r="CC64" i="1"/>
  <c r="CC63" i="1"/>
  <c r="AP68" i="1"/>
  <c r="AP66" i="1"/>
  <c r="AP64" i="1"/>
  <c r="AP61" i="1"/>
  <c r="AP63" i="1"/>
  <c r="Y66" i="1"/>
  <c r="Y64" i="1"/>
  <c r="Y61" i="1"/>
  <c r="Y59" i="1"/>
  <c r="E69" i="1" l="1"/>
  <c r="BN69" i="1" l="1"/>
  <c r="BV69" i="1"/>
  <c r="C227" i="1" l="1"/>
  <c r="C239" i="1"/>
  <c r="C233" i="1" l="1"/>
  <c r="C199" i="1"/>
  <c r="C175" i="1"/>
  <c r="C171" i="1"/>
  <c r="C389" i="1"/>
  <c r="BY69" i="1" l="1"/>
  <c r="BX69" i="1"/>
  <c r="BW69" i="1"/>
  <c r="BL69" i="1"/>
  <c r="BF69" i="1"/>
  <c r="BD69" i="1"/>
  <c r="BE69" i="1"/>
  <c r="AY69" i="1"/>
  <c r="AP69" i="1"/>
  <c r="AO69" i="1"/>
  <c r="AJ69" i="1"/>
  <c r="AG69" i="1"/>
  <c r="AE69" i="1"/>
  <c r="AC69" i="1"/>
  <c r="AB69" i="1"/>
  <c r="AA69" i="1"/>
  <c r="Y69" i="1"/>
  <c r="X69" i="1"/>
  <c r="U69" i="1"/>
  <c r="S69" i="1"/>
  <c r="R69" i="1"/>
  <c r="Q69" i="1"/>
  <c r="P69" i="1"/>
  <c r="F69" i="1"/>
  <c r="C69" i="1"/>
  <c r="F493" i="1" l="1"/>
  <c r="D493" i="1"/>
  <c r="B493" i="1"/>
  <c r="F515" i="1" l="1"/>
  <c r="A493" i="1"/>
  <c r="C115" i="8"/>
  <c r="C444" i="1"/>
  <c r="D367" i="1"/>
  <c r="D221" i="1"/>
  <c r="B444" i="1" s="1"/>
  <c r="D5" i="7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F517" i="1" s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BK48" i="1" s="1"/>
  <c r="BK62" i="1" s="1"/>
  <c r="G268" i="9" s="1"/>
  <c r="CE65" i="1"/>
  <c r="C431" i="1" s="1"/>
  <c r="CE63" i="1"/>
  <c r="C429" i="1" s="1"/>
  <c r="CE66" i="1"/>
  <c r="I368" i="9" s="1"/>
  <c r="CE68" i="1"/>
  <c r="I370" i="9" s="1"/>
  <c r="D75" i="1"/>
  <c r="AR75" i="1"/>
  <c r="I186" i="9"/>
  <c r="AS75" i="1"/>
  <c r="AT75" i="1"/>
  <c r="D218" i="9" s="1"/>
  <c r="AU75" i="1"/>
  <c r="E218" i="9"/>
  <c r="AQ75" i="1"/>
  <c r="H186" i="9" s="1"/>
  <c r="AO75" i="1"/>
  <c r="AN75" i="1"/>
  <c r="E186" i="9" s="1"/>
  <c r="AM75" i="1"/>
  <c r="D186" i="9" s="1"/>
  <c r="AI75" i="1"/>
  <c r="G154" i="9" s="1"/>
  <c r="AH75" i="1"/>
  <c r="AF75" i="1"/>
  <c r="D154" i="9" s="1"/>
  <c r="AD75" i="1"/>
  <c r="I122" i="9" s="1"/>
  <c r="AA75" i="1"/>
  <c r="F122" i="9" s="1"/>
  <c r="Z75" i="1"/>
  <c r="E122" i="9" s="1"/>
  <c r="X75" i="1"/>
  <c r="C122" i="9" s="1"/>
  <c r="W75" i="1"/>
  <c r="I90" i="9" s="1"/>
  <c r="V75" i="1"/>
  <c r="H90" i="9" s="1"/>
  <c r="T75" i="1"/>
  <c r="F90" i="9" s="1"/>
  <c r="R75" i="1"/>
  <c r="Q75" i="1"/>
  <c r="C90" i="9"/>
  <c r="P75" i="1"/>
  <c r="I58" i="9" s="1"/>
  <c r="O75" i="1"/>
  <c r="H58" i="9" s="1"/>
  <c r="N75" i="1"/>
  <c r="G58" i="9" s="1"/>
  <c r="M75" i="1"/>
  <c r="F58" i="9" s="1"/>
  <c r="L75" i="1"/>
  <c r="E58" i="9" s="1"/>
  <c r="I75" i="1"/>
  <c r="H75" i="1"/>
  <c r="H26" i="9"/>
  <c r="G75" i="1"/>
  <c r="F75" i="1"/>
  <c r="F26" i="9" s="1"/>
  <c r="AV75" i="1"/>
  <c r="AP75" i="1"/>
  <c r="G186" i="9" s="1"/>
  <c r="AJ75" i="1"/>
  <c r="AL75" i="1"/>
  <c r="C186" i="9"/>
  <c r="AK75" i="1"/>
  <c r="I154" i="9" s="1"/>
  <c r="AG75" i="1"/>
  <c r="E154" i="9" s="1"/>
  <c r="AE75" i="1"/>
  <c r="C154" i="9" s="1"/>
  <c r="AC75" i="1"/>
  <c r="H122" i="9" s="1"/>
  <c r="AB75" i="1"/>
  <c r="Y75" i="1"/>
  <c r="D122" i="9" s="1"/>
  <c r="U75" i="1"/>
  <c r="S75" i="1"/>
  <c r="E90" i="9" s="1"/>
  <c r="K75" i="1"/>
  <c r="J75" i="1"/>
  <c r="E75" i="1"/>
  <c r="E26" i="9"/>
  <c r="CE73" i="1"/>
  <c r="CE74" i="1"/>
  <c r="C464" i="1" s="1"/>
  <c r="C75" i="1"/>
  <c r="C26" i="9" s="1"/>
  <c r="CE80" i="1"/>
  <c r="CE78" i="1"/>
  <c r="I382" i="9" s="1"/>
  <c r="D361" i="1"/>
  <c r="B465" i="1" s="1"/>
  <c r="D372" i="1"/>
  <c r="C125" i="8" s="1"/>
  <c r="D260" i="1"/>
  <c r="C16" i="8" s="1"/>
  <c r="D265" i="1"/>
  <c r="C22" i="8" s="1"/>
  <c r="D275" i="1"/>
  <c r="B476" i="1" s="1"/>
  <c r="D290" i="1"/>
  <c r="D314" i="1"/>
  <c r="C68" i="8" s="1"/>
  <c r="D319" i="1"/>
  <c r="C74" i="8" s="1"/>
  <c r="D328" i="1"/>
  <c r="D329" i="1"/>
  <c r="C85" i="8" s="1"/>
  <c r="D229" i="1"/>
  <c r="B445" i="1" s="1"/>
  <c r="D236" i="1"/>
  <c r="D240" i="1"/>
  <c r="B447" i="1" s="1"/>
  <c r="E209" i="1"/>
  <c r="E210" i="1"/>
  <c r="E211" i="1"/>
  <c r="F26" i="6" s="1"/>
  <c r="E212" i="1"/>
  <c r="F27" i="6" s="1"/>
  <c r="E213" i="1"/>
  <c r="F28" i="6"/>
  <c r="E214" i="1"/>
  <c r="F29" i="6" s="1"/>
  <c r="E215" i="1"/>
  <c r="F30" i="6" s="1"/>
  <c r="E216" i="1"/>
  <c r="D217" i="1"/>
  <c r="E32" i="6" s="1"/>
  <c r="C217" i="1"/>
  <c r="D433" i="1" s="1"/>
  <c r="E196" i="1"/>
  <c r="C469" i="1" s="1"/>
  <c r="E197" i="1"/>
  <c r="C470" i="1" s="1"/>
  <c r="E198" i="1"/>
  <c r="E199" i="1"/>
  <c r="C472" i="1" s="1"/>
  <c r="E200" i="1"/>
  <c r="C473" i="1" s="1"/>
  <c r="E201" i="1"/>
  <c r="F13" i="6" s="1"/>
  <c r="E202" i="1"/>
  <c r="C474" i="1" s="1"/>
  <c r="E203" i="1"/>
  <c r="C475" i="1" s="1"/>
  <c r="D204" i="1"/>
  <c r="E16" i="6" s="1"/>
  <c r="B204" i="1"/>
  <c r="D190" i="1"/>
  <c r="D437" i="1" s="1"/>
  <c r="D186" i="1"/>
  <c r="D436" i="1" s="1"/>
  <c r="D181" i="1"/>
  <c r="D435" i="1" s="1"/>
  <c r="D177" i="1"/>
  <c r="C20" i="5" s="1"/>
  <c r="E154" i="1"/>
  <c r="G28" i="4" s="1"/>
  <c r="E153" i="1"/>
  <c r="E152" i="1"/>
  <c r="E151" i="1"/>
  <c r="C28" i="4" s="1"/>
  <c r="E150" i="1"/>
  <c r="E148" i="1"/>
  <c r="E147" i="1"/>
  <c r="E146" i="1"/>
  <c r="D19" i="4" s="1"/>
  <c r="E145" i="1"/>
  <c r="C19" i="4" s="1"/>
  <c r="E144" i="1"/>
  <c r="C417" i="1" s="1"/>
  <c r="E141" i="1"/>
  <c r="E10" i="4" s="1"/>
  <c r="E140" i="1"/>
  <c r="D10" i="4" s="1"/>
  <c r="E139" i="1"/>
  <c r="C10" i="4" s="1"/>
  <c r="E127" i="1"/>
  <c r="G34" i="3" s="1"/>
  <c r="CF79" i="1"/>
  <c r="B53" i="1"/>
  <c r="CE51" i="1"/>
  <c r="B49" i="1"/>
  <c r="A412" i="1"/>
  <c r="G493" i="1"/>
  <c r="E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5" i="1"/>
  <c r="B474" i="1"/>
  <c r="B473" i="1"/>
  <c r="B472" i="1"/>
  <c r="B471" i="1"/>
  <c r="B470" i="1"/>
  <c r="B469" i="1"/>
  <c r="B468" i="1"/>
  <c r="B464" i="1"/>
  <c r="B463" i="1"/>
  <c r="C459" i="1"/>
  <c r="B459" i="1"/>
  <c r="B458" i="1"/>
  <c r="B455" i="1"/>
  <c r="B454" i="1"/>
  <c r="B453" i="1"/>
  <c r="C448" i="1"/>
  <c r="C447" i="1"/>
  <c r="C446" i="1"/>
  <c r="C445" i="1"/>
  <c r="B438" i="1"/>
  <c r="C438" i="1"/>
  <c r="B437" i="1"/>
  <c r="B436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C421" i="1"/>
  <c r="B421" i="1"/>
  <c r="B420" i="1"/>
  <c r="D418" i="1"/>
  <c r="B418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9" i="8"/>
  <c r="C118" i="8"/>
  <c r="C117" i="8"/>
  <c r="C116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8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9" i="4"/>
  <c r="G18" i="4"/>
  <c r="G17" i="4"/>
  <c r="G16" i="4"/>
  <c r="F19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9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F31" i="6"/>
  <c r="E31" i="6"/>
  <c r="D31" i="6"/>
  <c r="E30" i="6"/>
  <c r="D30" i="6"/>
  <c r="E29" i="6"/>
  <c r="D29" i="6"/>
  <c r="E28" i="6"/>
  <c r="D28" i="6"/>
  <c r="E27" i="6"/>
  <c r="D27" i="6"/>
  <c r="E26" i="6"/>
  <c r="D26" i="6"/>
  <c r="F25" i="6"/>
  <c r="E25" i="6"/>
  <c r="D25" i="6"/>
  <c r="E24" i="6"/>
  <c r="D24" i="6"/>
  <c r="E15" i="6"/>
  <c r="D15" i="6"/>
  <c r="E14" i="6"/>
  <c r="D14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6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F12" i="6"/>
  <c r="I26" i="9"/>
  <c r="C218" i="9"/>
  <c r="D366" i="9"/>
  <c r="CE64" i="1"/>
  <c r="F612" i="1" s="1"/>
  <c r="D368" i="9"/>
  <c r="C276" i="9"/>
  <c r="CE70" i="1"/>
  <c r="C458" i="1" s="1"/>
  <c r="CE77" i="1"/>
  <c r="I381" i="9" s="1"/>
  <c r="I29" i="9"/>
  <c r="C95" i="9"/>
  <c r="E142" i="1"/>
  <c r="F10" i="4" s="1"/>
  <c r="G9" i="4"/>
  <c r="F9" i="4"/>
  <c r="E138" i="1"/>
  <c r="C414" i="1" s="1"/>
  <c r="C204" i="1"/>
  <c r="D16" i="6" s="1"/>
  <c r="E195" i="1"/>
  <c r="C28" i="6"/>
  <c r="B217" i="1"/>
  <c r="C32" i="6" s="1"/>
  <c r="D283" i="1"/>
  <c r="C42" i="8" s="1"/>
  <c r="C40" i="8"/>
  <c r="E515" i="1"/>
  <c r="H73" i="9"/>
  <c r="E105" i="9"/>
  <c r="E519" i="1"/>
  <c r="E528" i="1"/>
  <c r="G137" i="9"/>
  <c r="C9" i="5"/>
  <c r="D173" i="1"/>
  <c r="D428" i="1" s="1"/>
  <c r="F28" i="4"/>
  <c r="F24" i="6"/>
  <c r="CD71" i="1"/>
  <c r="C575" i="1" s="1"/>
  <c r="C615" i="1"/>
  <c r="E372" i="9"/>
  <c r="F499" i="1"/>
  <c r="F511" i="1"/>
  <c r="H505" i="1"/>
  <c r="F505" i="1"/>
  <c r="H501" i="1"/>
  <c r="F501" i="1"/>
  <c r="F497" i="1"/>
  <c r="H497" i="1"/>
  <c r="E373" i="9" l="1"/>
  <c r="F8" i="6"/>
  <c r="D330" i="1"/>
  <c r="C86" i="8" s="1"/>
  <c r="C84" i="8"/>
  <c r="F11" i="6"/>
  <c r="C27" i="5"/>
  <c r="C112" i="8"/>
  <c r="D13" i="7"/>
  <c r="F15" i="6"/>
  <c r="D463" i="1"/>
  <c r="G10" i="4"/>
  <c r="B10" i="4"/>
  <c r="F154" i="9"/>
  <c r="BE48" i="1"/>
  <c r="BE62" i="1" s="1"/>
  <c r="H236" i="9" s="1"/>
  <c r="AU48" i="1"/>
  <c r="AU62" i="1" s="1"/>
  <c r="E204" i="9" s="1"/>
  <c r="V48" i="1"/>
  <c r="V62" i="1" s="1"/>
  <c r="H76" i="9" s="1"/>
  <c r="AL48" i="1"/>
  <c r="AL62" i="1" s="1"/>
  <c r="C172" i="9" s="1"/>
  <c r="G90" i="9"/>
  <c r="I365" i="9"/>
  <c r="AC48" i="1"/>
  <c r="AC62" i="1" s="1"/>
  <c r="H108" i="9" s="1"/>
  <c r="Y48" i="1"/>
  <c r="Y62" i="1" s="1"/>
  <c r="D108" i="9" s="1"/>
  <c r="I612" i="1"/>
  <c r="D368" i="1"/>
  <c r="C120" i="8" s="1"/>
  <c r="C33" i="8"/>
  <c r="D32" i="6"/>
  <c r="F9" i="6"/>
  <c r="C34" i="5"/>
  <c r="C14" i="5"/>
  <c r="C415" i="1"/>
  <c r="AF48" i="1"/>
  <c r="AF62" i="1" s="1"/>
  <c r="D140" i="9" s="1"/>
  <c r="I363" i="9"/>
  <c r="BD48" i="1"/>
  <c r="BD62" i="1" s="1"/>
  <c r="G236" i="9" s="1"/>
  <c r="BP48" i="1"/>
  <c r="BP62" i="1" s="1"/>
  <c r="E300" i="9" s="1"/>
  <c r="BR48" i="1"/>
  <c r="BR62" i="1" s="1"/>
  <c r="G300" i="9" s="1"/>
  <c r="AA48" i="1"/>
  <c r="AA62" i="1" s="1"/>
  <c r="F108" i="9" s="1"/>
  <c r="AH48" i="1"/>
  <c r="AH62" i="1" s="1"/>
  <c r="S48" i="1"/>
  <c r="S62" i="1" s="1"/>
  <c r="BF48" i="1"/>
  <c r="BF62" i="1" s="1"/>
  <c r="CB48" i="1"/>
  <c r="CB62" i="1" s="1"/>
  <c r="C364" i="9" s="1"/>
  <c r="AG48" i="1"/>
  <c r="AG62" i="1" s="1"/>
  <c r="BH48" i="1"/>
  <c r="BH62" i="1" s="1"/>
  <c r="D268" i="9" s="1"/>
  <c r="AW48" i="1"/>
  <c r="AW62" i="1" s="1"/>
  <c r="BI48" i="1"/>
  <c r="BI62" i="1" s="1"/>
  <c r="E268" i="9" s="1"/>
  <c r="R48" i="1"/>
  <c r="R62" i="1" s="1"/>
  <c r="D76" i="9" s="1"/>
  <c r="AZ48" i="1"/>
  <c r="AZ62" i="1" s="1"/>
  <c r="BX48" i="1"/>
  <c r="BX62" i="1" s="1"/>
  <c r="BG48" i="1"/>
  <c r="BG62" i="1" s="1"/>
  <c r="C268" i="9" s="1"/>
  <c r="BS48" i="1"/>
  <c r="BS62" i="1" s="1"/>
  <c r="AB48" i="1"/>
  <c r="AB62" i="1" s="1"/>
  <c r="W48" i="1"/>
  <c r="W62" i="1" s="1"/>
  <c r="AT48" i="1"/>
  <c r="AT62" i="1" s="1"/>
  <c r="BT48" i="1"/>
  <c r="BT62" i="1" s="1"/>
  <c r="C48" i="1"/>
  <c r="C62" i="1" s="1"/>
  <c r="AI48" i="1"/>
  <c r="AI62" i="1" s="1"/>
  <c r="AK48" i="1"/>
  <c r="AK62" i="1" s="1"/>
  <c r="O48" i="1"/>
  <c r="O62" i="1" s="1"/>
  <c r="D48" i="1"/>
  <c r="D62" i="1" s="1"/>
  <c r="AX48" i="1"/>
  <c r="AX62" i="1" s="1"/>
  <c r="AY48" i="1"/>
  <c r="AY62" i="1" s="1"/>
  <c r="BA48" i="1"/>
  <c r="BA62" i="1" s="1"/>
  <c r="D236" i="9" s="1"/>
  <c r="BC48" i="1"/>
  <c r="BC62" i="1" s="1"/>
  <c r="F236" i="9" s="1"/>
  <c r="P48" i="1"/>
  <c r="P62" i="1" s="1"/>
  <c r="I44" i="9" s="1"/>
  <c r="G122" i="9"/>
  <c r="F48" i="1"/>
  <c r="F62" i="1" s="1"/>
  <c r="F12" i="9" s="1"/>
  <c r="CC48" i="1"/>
  <c r="CC62" i="1" s="1"/>
  <c r="BU48" i="1"/>
  <c r="BU62" i="1" s="1"/>
  <c r="T48" i="1"/>
  <c r="T62" i="1" s="1"/>
  <c r="J48" i="1"/>
  <c r="J62" i="1" s="1"/>
  <c r="C44" i="9" s="1"/>
  <c r="AR48" i="1"/>
  <c r="AR62" i="1" s="1"/>
  <c r="BL48" i="1"/>
  <c r="BL62" i="1" s="1"/>
  <c r="I48" i="1"/>
  <c r="I62" i="1" s="1"/>
  <c r="I12" i="9" s="1"/>
  <c r="C427" i="1"/>
  <c r="BZ48" i="1"/>
  <c r="BZ62" i="1" s="1"/>
  <c r="H332" i="9" s="1"/>
  <c r="X48" i="1"/>
  <c r="X62" i="1" s="1"/>
  <c r="I372" i="9"/>
  <c r="C430" i="1"/>
  <c r="I366" i="9"/>
  <c r="N48" i="1"/>
  <c r="N62" i="1" s="1"/>
  <c r="AJ48" i="1"/>
  <c r="AJ62" i="1" s="1"/>
  <c r="H140" i="9" s="1"/>
  <c r="AV48" i="1"/>
  <c r="AV62" i="1" s="1"/>
  <c r="F204" i="9" s="1"/>
  <c r="BJ48" i="1"/>
  <c r="BJ62" i="1" s="1"/>
  <c r="BV48" i="1"/>
  <c r="BV62" i="1" s="1"/>
  <c r="D332" i="9" s="1"/>
  <c r="AQ48" i="1"/>
  <c r="AQ62" i="1" s="1"/>
  <c r="Q48" i="1"/>
  <c r="Q62" i="1" s="1"/>
  <c r="C76" i="9" s="1"/>
  <c r="BM48" i="1"/>
  <c r="BM62" i="1" s="1"/>
  <c r="I268" i="9" s="1"/>
  <c r="BQ48" i="1"/>
  <c r="BQ62" i="1" s="1"/>
  <c r="F300" i="9" s="1"/>
  <c r="AM48" i="1"/>
  <c r="AM62" i="1" s="1"/>
  <c r="D172" i="9" s="1"/>
  <c r="G48" i="1"/>
  <c r="G62" i="1" s="1"/>
  <c r="G12" i="9" s="1"/>
  <c r="Z48" i="1"/>
  <c r="Z62" i="1" s="1"/>
  <c r="AN48" i="1"/>
  <c r="AN62" i="1" s="1"/>
  <c r="BB48" i="1"/>
  <c r="BB62" i="1" s="1"/>
  <c r="E236" i="9" s="1"/>
  <c r="BN48" i="1"/>
  <c r="BN62" i="1" s="1"/>
  <c r="BY48" i="1"/>
  <c r="BY62" i="1" s="1"/>
  <c r="G332" i="9" s="1"/>
  <c r="BO48" i="1"/>
  <c r="BO62" i="1" s="1"/>
  <c r="D300" i="9" s="1"/>
  <c r="E48" i="1"/>
  <c r="E62" i="1" s="1"/>
  <c r="AE48" i="1"/>
  <c r="AE62" i="1" s="1"/>
  <c r="H48" i="1"/>
  <c r="H62" i="1" s="1"/>
  <c r="AD48" i="1"/>
  <c r="AD62" i="1" s="1"/>
  <c r="AP48" i="1"/>
  <c r="AP62" i="1" s="1"/>
  <c r="G172" i="9" s="1"/>
  <c r="CA48" i="1"/>
  <c r="CA62" i="1" s="1"/>
  <c r="K48" i="1"/>
  <c r="K62" i="1" s="1"/>
  <c r="BW48" i="1"/>
  <c r="BW62" i="1" s="1"/>
  <c r="E332" i="9" s="1"/>
  <c r="AO48" i="1"/>
  <c r="AO62" i="1" s="1"/>
  <c r="U48" i="1"/>
  <c r="U62" i="1" s="1"/>
  <c r="M48" i="1"/>
  <c r="M62" i="1" s="1"/>
  <c r="L48" i="1"/>
  <c r="L62" i="1" s="1"/>
  <c r="AS48" i="1"/>
  <c r="AS62" i="1" s="1"/>
  <c r="I377" i="9"/>
  <c r="G612" i="1"/>
  <c r="CF77" i="1"/>
  <c r="C434" i="1"/>
  <c r="C432" i="1"/>
  <c r="I362" i="9"/>
  <c r="B446" i="1"/>
  <c r="D242" i="1"/>
  <c r="C418" i="1"/>
  <c r="D438" i="1"/>
  <c r="F14" i="6"/>
  <c r="C471" i="1"/>
  <c r="F10" i="6"/>
  <c r="D339" i="1"/>
  <c r="D26" i="9"/>
  <c r="CE75" i="1"/>
  <c r="F7" i="6"/>
  <c r="E204" i="1"/>
  <c r="C468" i="1"/>
  <c r="D22" i="7"/>
  <c r="C40" i="5"/>
  <c r="C420" i="1"/>
  <c r="B28" i="4"/>
  <c r="F186" i="9"/>
  <c r="I376" i="9"/>
  <c r="C463" i="1"/>
  <c r="D58" i="9"/>
  <c r="G26" i="9"/>
  <c r="E217" i="1"/>
  <c r="I384" i="9"/>
  <c r="L612" i="1"/>
  <c r="F218" i="9"/>
  <c r="D90" i="9"/>
  <c r="D464" i="1"/>
  <c r="H154" i="9"/>
  <c r="I367" i="9"/>
  <c r="D434" i="1"/>
  <c r="C58" i="9"/>
  <c r="D373" i="1" l="1"/>
  <c r="C126" i="8" s="1"/>
  <c r="D277" i="1"/>
  <c r="B478" i="1"/>
  <c r="C34" i="8"/>
  <c r="D465" i="1"/>
  <c r="I76" i="9"/>
  <c r="I236" i="9"/>
  <c r="E140" i="9"/>
  <c r="I300" i="9"/>
  <c r="I204" i="9"/>
  <c r="I172" i="9"/>
  <c r="I108" i="9"/>
  <c r="E76" i="9"/>
  <c r="H44" i="9"/>
  <c r="F76" i="9"/>
  <c r="G108" i="9"/>
  <c r="D12" i="9"/>
  <c r="H300" i="9"/>
  <c r="G204" i="9"/>
  <c r="C12" i="9"/>
  <c r="C236" i="9"/>
  <c r="F140" i="9"/>
  <c r="G140" i="9"/>
  <c r="F172" i="9"/>
  <c r="F268" i="9"/>
  <c r="F332" i="9"/>
  <c r="C300" i="9"/>
  <c r="G44" i="9"/>
  <c r="I332" i="9"/>
  <c r="H204" i="9"/>
  <c r="D204" i="9"/>
  <c r="H268" i="9"/>
  <c r="I140" i="9"/>
  <c r="F44" i="9"/>
  <c r="CE62" i="1"/>
  <c r="C428" i="1" s="1"/>
  <c r="C108" i="9"/>
  <c r="D44" i="9"/>
  <c r="G76" i="9"/>
  <c r="C332" i="9"/>
  <c r="D364" i="9"/>
  <c r="C140" i="9"/>
  <c r="E108" i="9"/>
  <c r="E12" i="9"/>
  <c r="E172" i="9"/>
  <c r="C204" i="9"/>
  <c r="CE48" i="1"/>
  <c r="H172" i="9"/>
  <c r="H12" i="9"/>
  <c r="E44" i="9"/>
  <c r="D27" i="7"/>
  <c r="B448" i="1"/>
  <c r="F544" i="1"/>
  <c r="H536" i="1"/>
  <c r="F536" i="1"/>
  <c r="F528" i="1"/>
  <c r="H528" i="1"/>
  <c r="F520" i="1"/>
  <c r="I378" i="9"/>
  <c r="K612" i="1"/>
  <c r="C465" i="1"/>
  <c r="F32" i="6"/>
  <c r="C478" i="1"/>
  <c r="C102" i="8"/>
  <c r="C482" i="1"/>
  <c r="F498" i="1"/>
  <c r="C476" i="1"/>
  <c r="F16" i="6"/>
  <c r="F516" i="1"/>
  <c r="F540" i="1"/>
  <c r="H540" i="1"/>
  <c r="F532" i="1"/>
  <c r="H532" i="1"/>
  <c r="F524" i="1"/>
  <c r="F550" i="1"/>
  <c r="C35" i="8" l="1"/>
  <c r="D292" i="1"/>
  <c r="I364" i="9"/>
  <c r="F522" i="1"/>
  <c r="F510" i="1"/>
  <c r="F513" i="1"/>
  <c r="F538" i="1"/>
  <c r="H538" i="1"/>
  <c r="F496" i="1"/>
  <c r="F534" i="1"/>
  <c r="H502" i="1"/>
  <c r="F502" i="1"/>
  <c r="H504" i="1"/>
  <c r="F504" i="1"/>
  <c r="H530" i="1"/>
  <c r="F530" i="1"/>
  <c r="F512" i="1"/>
  <c r="F526" i="1"/>
  <c r="F503" i="1"/>
  <c r="F508" i="1"/>
  <c r="F514" i="1"/>
  <c r="H507" i="1"/>
  <c r="F507" i="1"/>
  <c r="F518" i="1"/>
  <c r="F546" i="1"/>
  <c r="F506" i="1"/>
  <c r="H506" i="1"/>
  <c r="H500" i="1"/>
  <c r="F500" i="1"/>
  <c r="F509" i="1"/>
  <c r="D341" i="1" l="1"/>
  <c r="C481" i="1" s="1"/>
  <c r="C50" i="8"/>
  <c r="H545" i="1"/>
  <c r="F545" i="1"/>
  <c r="H525" i="1"/>
  <c r="F525" i="1"/>
  <c r="F529" i="1"/>
  <c r="F521" i="1"/>
  <c r="F535" i="1"/>
  <c r="H533" i="1"/>
  <c r="F533" i="1"/>
  <c r="H527" i="1"/>
  <c r="F527" i="1"/>
  <c r="F539" i="1"/>
  <c r="H539" i="1"/>
  <c r="F519" i="1"/>
  <c r="H519" i="1"/>
  <c r="F523" i="1"/>
  <c r="H523" i="1"/>
  <c r="F537" i="1"/>
  <c r="H537" i="1"/>
  <c r="F531" i="1"/>
  <c r="H531" i="1"/>
  <c r="C115" i="9" l="1"/>
  <c r="C439" i="1"/>
  <c r="CE69" i="1"/>
  <c r="I371" i="9" l="1"/>
  <c r="C440" i="1"/>
  <c r="B439" i="1" l="1"/>
  <c r="B440" i="1" s="1"/>
  <c r="C140" i="8"/>
  <c r="D390" i="1"/>
  <c r="C141" i="8" l="1"/>
  <c r="B441" i="1"/>
  <c r="D391" i="1"/>
  <c r="C142" i="8" l="1"/>
  <c r="D393" i="1"/>
  <c r="C146" i="8" l="1"/>
  <c r="D396" i="1"/>
  <c r="C151" i="8" s="1"/>
  <c r="I348" i="9"/>
  <c r="CE76" i="1"/>
  <c r="CF76" i="1" l="1"/>
  <c r="I380" i="9"/>
  <c r="D612" i="1"/>
  <c r="AP52" i="1"/>
  <c r="AP67" i="1" s="1"/>
  <c r="AN52" i="1"/>
  <c r="AN67" i="1" s="1"/>
  <c r="BB52" i="1"/>
  <c r="BB67" i="1" s="1"/>
  <c r="AH52" i="1"/>
  <c r="AH67" i="1" s="1"/>
  <c r="AE52" i="1"/>
  <c r="AE67" i="1" s="1"/>
  <c r="Q52" i="1"/>
  <c r="Q67" i="1" s="1"/>
  <c r="AC52" i="1"/>
  <c r="AC67" i="1" s="1"/>
  <c r="G52" i="1"/>
  <c r="G67" i="1" s="1"/>
  <c r="AM52" i="1"/>
  <c r="AM67" i="1" s="1"/>
  <c r="AO52" i="1"/>
  <c r="AO67" i="1" s="1"/>
  <c r="BN52" i="1"/>
  <c r="BN67" i="1" s="1"/>
  <c r="F177" i="9" l="1"/>
  <c r="AO71" i="1"/>
  <c r="H113" i="9"/>
  <c r="AC71" i="1"/>
  <c r="F145" i="9"/>
  <c r="AH71" i="1"/>
  <c r="BB71" i="1"/>
  <c r="E241" i="9"/>
  <c r="AF52" i="1"/>
  <c r="AF67" i="1" s="1"/>
  <c r="BT52" i="1"/>
  <c r="BT67" i="1" s="1"/>
  <c r="H52" i="1"/>
  <c r="H67" i="1" s="1"/>
  <c r="BU52" i="1"/>
  <c r="BU67" i="1" s="1"/>
  <c r="N52" i="1"/>
  <c r="N67" i="1" s="1"/>
  <c r="AW52" i="1"/>
  <c r="AW67" i="1" s="1"/>
  <c r="AI52" i="1"/>
  <c r="AI67" i="1" s="1"/>
  <c r="J52" i="1"/>
  <c r="J67" i="1" s="1"/>
  <c r="BQ52" i="1"/>
  <c r="BQ67" i="1" s="1"/>
  <c r="CC52" i="1"/>
  <c r="CC67" i="1" s="1"/>
  <c r="AK52" i="1"/>
  <c r="AK67" i="1" s="1"/>
  <c r="BD52" i="1"/>
  <c r="BD67" i="1" s="1"/>
  <c r="R52" i="1"/>
  <c r="R67" i="1" s="1"/>
  <c r="C52" i="1"/>
  <c r="BJ52" i="1"/>
  <c r="BJ67" i="1" s="1"/>
  <c r="CB52" i="1"/>
  <c r="CB67" i="1" s="1"/>
  <c r="AA52" i="1"/>
  <c r="AA67" i="1" s="1"/>
  <c r="BW52" i="1"/>
  <c r="BW67" i="1" s="1"/>
  <c r="F52" i="1"/>
  <c r="F67" i="1" s="1"/>
  <c r="K52" i="1"/>
  <c r="K67" i="1" s="1"/>
  <c r="AR52" i="1"/>
  <c r="AR67" i="1" s="1"/>
  <c r="AS52" i="1"/>
  <c r="AS67" i="1" s="1"/>
  <c r="Y52" i="1"/>
  <c r="Y67" i="1" s="1"/>
  <c r="BM52" i="1"/>
  <c r="BM67" i="1" s="1"/>
  <c r="AZ52" i="1"/>
  <c r="AZ67" i="1" s="1"/>
  <c r="BE52" i="1"/>
  <c r="BE67" i="1" s="1"/>
  <c r="AB52" i="1"/>
  <c r="AB67" i="1" s="1"/>
  <c r="G17" i="9"/>
  <c r="G71" i="1"/>
  <c r="C145" i="9"/>
  <c r="AE71" i="1"/>
  <c r="AN71" i="1"/>
  <c r="E177" i="9"/>
  <c r="P52" i="1"/>
  <c r="P67" i="1" s="1"/>
  <c r="AD52" i="1"/>
  <c r="AD67" i="1" s="1"/>
  <c r="W52" i="1"/>
  <c r="W67" i="1" s="1"/>
  <c r="T52" i="1"/>
  <c r="T67" i="1" s="1"/>
  <c r="BY52" i="1"/>
  <c r="BY67" i="1" s="1"/>
  <c r="BC52" i="1"/>
  <c r="BC67" i="1" s="1"/>
  <c r="M52" i="1"/>
  <c r="M67" i="1" s="1"/>
  <c r="BX52" i="1"/>
  <c r="BX67" i="1" s="1"/>
  <c r="AU52" i="1"/>
  <c r="AU67" i="1" s="1"/>
  <c r="E52" i="1"/>
  <c r="E67" i="1" s="1"/>
  <c r="BZ52" i="1"/>
  <c r="BZ67" i="1" s="1"/>
  <c r="BL52" i="1"/>
  <c r="BL67" i="1" s="1"/>
  <c r="U52" i="1"/>
  <c r="U67" i="1" s="1"/>
  <c r="CA52" i="1"/>
  <c r="CA67" i="1" s="1"/>
  <c r="BO52" i="1"/>
  <c r="BO67" i="1" s="1"/>
  <c r="C305" i="9"/>
  <c r="BN71" i="1"/>
  <c r="D177" i="9"/>
  <c r="AM71" i="1"/>
  <c r="C81" i="9"/>
  <c r="Q71" i="1"/>
  <c r="G177" i="9"/>
  <c r="AP71" i="1"/>
  <c r="BK52" i="1"/>
  <c r="BK67" i="1" s="1"/>
  <c r="BA52" i="1"/>
  <c r="BA67" i="1" s="1"/>
  <c r="BG52" i="1"/>
  <c r="BG67" i="1" s="1"/>
  <c r="AX52" i="1"/>
  <c r="AX67" i="1" s="1"/>
  <c r="AG52" i="1"/>
  <c r="AG67" i="1" s="1"/>
  <c r="L52" i="1"/>
  <c r="L67" i="1" s="1"/>
  <c r="BI52" i="1"/>
  <c r="BI67" i="1" s="1"/>
  <c r="BV52" i="1"/>
  <c r="BV67" i="1" s="1"/>
  <c r="AQ52" i="1"/>
  <c r="AQ67" i="1" s="1"/>
  <c r="I52" i="1"/>
  <c r="I67" i="1" s="1"/>
  <c r="AL52" i="1"/>
  <c r="AL67" i="1" s="1"/>
  <c r="BF52" i="1"/>
  <c r="BF67" i="1" s="1"/>
  <c r="AT52" i="1"/>
  <c r="AT67" i="1" s="1"/>
  <c r="D52" i="1"/>
  <c r="D67" i="1" s="1"/>
  <c r="O52" i="1"/>
  <c r="O67" i="1" s="1"/>
  <c r="V52" i="1"/>
  <c r="V67" i="1" s="1"/>
  <c r="BS52" i="1"/>
  <c r="BS67" i="1" s="1"/>
  <c r="Z52" i="1"/>
  <c r="Z67" i="1" s="1"/>
  <c r="BP52" i="1"/>
  <c r="BP67" i="1" s="1"/>
  <c r="S52" i="1"/>
  <c r="S67" i="1" s="1"/>
  <c r="BH52" i="1"/>
  <c r="BH67" i="1" s="1"/>
  <c r="AV52" i="1"/>
  <c r="AV67" i="1" s="1"/>
  <c r="AJ52" i="1"/>
  <c r="AJ67" i="1" s="1"/>
  <c r="AY52" i="1"/>
  <c r="AY67" i="1" s="1"/>
  <c r="BR52" i="1"/>
  <c r="BR67" i="1" s="1"/>
  <c r="X52" i="1"/>
  <c r="X67" i="1" s="1"/>
  <c r="I209" i="9" l="1"/>
  <c r="AY71" i="1"/>
  <c r="H145" i="9"/>
  <c r="AJ71" i="1"/>
  <c r="C113" i="9"/>
  <c r="X71" i="1"/>
  <c r="G305" i="9"/>
  <c r="BR71" i="1"/>
  <c r="D273" i="9"/>
  <c r="BH71" i="1"/>
  <c r="H305" i="9"/>
  <c r="BS71" i="1"/>
  <c r="D209" i="9"/>
  <c r="AT71" i="1"/>
  <c r="H177" i="9"/>
  <c r="AQ71" i="1"/>
  <c r="E145" i="9"/>
  <c r="AG71" i="1"/>
  <c r="G273" i="9"/>
  <c r="BK71" i="1"/>
  <c r="C85" i="9"/>
  <c r="C682" i="1"/>
  <c r="C510" i="1"/>
  <c r="BL71" i="1"/>
  <c r="H273" i="9"/>
  <c r="F337" i="9"/>
  <c r="BX71" i="1"/>
  <c r="F81" i="9"/>
  <c r="T71" i="1"/>
  <c r="I273" i="9"/>
  <c r="BM71" i="1"/>
  <c r="D49" i="9"/>
  <c r="K71" i="1"/>
  <c r="C369" i="9"/>
  <c r="CB71" i="1"/>
  <c r="G241" i="9"/>
  <c r="BD71" i="1"/>
  <c r="C49" i="9"/>
  <c r="J71" i="1"/>
  <c r="C337" i="9"/>
  <c r="BU71" i="1"/>
  <c r="H81" i="9"/>
  <c r="V71" i="1"/>
  <c r="BV71" i="1"/>
  <c r="D337" i="9"/>
  <c r="H209" i="9"/>
  <c r="AX71" i="1"/>
  <c r="C707" i="1"/>
  <c r="G181" i="9"/>
  <c r="C535" i="1"/>
  <c r="D305" i="9"/>
  <c r="BO71" i="1"/>
  <c r="H337" i="9"/>
  <c r="BZ71" i="1"/>
  <c r="F49" i="9"/>
  <c r="M71" i="1"/>
  <c r="I81" i="9"/>
  <c r="W71" i="1"/>
  <c r="G113" i="9"/>
  <c r="AB71" i="1"/>
  <c r="D113" i="9"/>
  <c r="Y71" i="1"/>
  <c r="F17" i="9"/>
  <c r="F71" i="1"/>
  <c r="F273" i="9"/>
  <c r="BJ71" i="1"/>
  <c r="I145" i="9"/>
  <c r="AK71" i="1"/>
  <c r="G145" i="9"/>
  <c r="AI71" i="1"/>
  <c r="H17" i="9"/>
  <c r="H71" i="1"/>
  <c r="F181" i="9"/>
  <c r="C706" i="1"/>
  <c r="C534" i="1"/>
  <c r="I241" i="9"/>
  <c r="BF71" i="1"/>
  <c r="BP71" i="1"/>
  <c r="E305" i="9"/>
  <c r="C177" i="9"/>
  <c r="AL71" i="1"/>
  <c r="E273" i="9"/>
  <c r="BI71" i="1"/>
  <c r="C273" i="9"/>
  <c r="BG71" i="1"/>
  <c r="C309" i="9"/>
  <c r="C619" i="1"/>
  <c r="C559" i="1"/>
  <c r="I337" i="9"/>
  <c r="CA71" i="1"/>
  <c r="E17" i="9"/>
  <c r="E71" i="1"/>
  <c r="F241" i="9"/>
  <c r="BC71" i="1"/>
  <c r="I113" i="9"/>
  <c r="AD71" i="1"/>
  <c r="E181" i="9"/>
  <c r="C705" i="1"/>
  <c r="C533" i="1"/>
  <c r="G533" i="1" s="1"/>
  <c r="G21" i="9"/>
  <c r="C672" i="1"/>
  <c r="C500" i="1"/>
  <c r="G500" i="1" s="1"/>
  <c r="H241" i="9"/>
  <c r="BE71" i="1"/>
  <c r="C209" i="9"/>
  <c r="AS71" i="1"/>
  <c r="E337" i="9"/>
  <c r="BW71" i="1"/>
  <c r="CE52" i="1"/>
  <c r="C67" i="1"/>
  <c r="CC71" i="1"/>
  <c r="D369" i="9"/>
  <c r="G209" i="9"/>
  <c r="AW71" i="1"/>
  <c r="I305" i="9"/>
  <c r="BT71" i="1"/>
  <c r="E245" i="9"/>
  <c r="C547" i="1"/>
  <c r="C632" i="1"/>
  <c r="C694" i="1"/>
  <c r="H117" i="9"/>
  <c r="C522" i="1"/>
  <c r="E81" i="9"/>
  <c r="S71" i="1"/>
  <c r="H49" i="9"/>
  <c r="O71" i="1"/>
  <c r="F209" i="9"/>
  <c r="AV71" i="1"/>
  <c r="E113" i="9"/>
  <c r="Z71" i="1"/>
  <c r="D17" i="9"/>
  <c r="D71" i="1"/>
  <c r="I17" i="9"/>
  <c r="I71" i="1"/>
  <c r="E49" i="9"/>
  <c r="L71" i="1"/>
  <c r="D241" i="9"/>
  <c r="BA71" i="1"/>
  <c r="D181" i="9"/>
  <c r="C704" i="1"/>
  <c r="C532" i="1"/>
  <c r="G532" i="1" s="1"/>
  <c r="G81" i="9"/>
  <c r="U71" i="1"/>
  <c r="AU71" i="1"/>
  <c r="E209" i="9"/>
  <c r="G337" i="9"/>
  <c r="BY71" i="1"/>
  <c r="I49" i="9"/>
  <c r="P71" i="1"/>
  <c r="C696" i="1"/>
  <c r="C149" i="9"/>
  <c r="C524" i="1"/>
  <c r="C241" i="9"/>
  <c r="AZ71" i="1"/>
  <c r="I177" i="9"/>
  <c r="AR71" i="1"/>
  <c r="F113" i="9"/>
  <c r="AA71" i="1"/>
  <c r="D81" i="9"/>
  <c r="R71" i="1"/>
  <c r="F305" i="9"/>
  <c r="BQ71" i="1"/>
  <c r="G49" i="9"/>
  <c r="N71" i="1"/>
  <c r="D145" i="9"/>
  <c r="AF71" i="1"/>
  <c r="F149" i="9"/>
  <c r="C699" i="1"/>
  <c r="C527" i="1"/>
  <c r="G527" i="1" s="1"/>
  <c r="G524" i="1" l="1"/>
  <c r="H524" i="1"/>
  <c r="G510" i="1"/>
  <c r="H510" i="1"/>
  <c r="G534" i="1"/>
  <c r="H534" i="1"/>
  <c r="G522" i="1"/>
  <c r="H522" i="1"/>
  <c r="G535" i="1"/>
  <c r="H535" i="1"/>
  <c r="F117" i="9"/>
  <c r="C692" i="1"/>
  <c r="C520" i="1"/>
  <c r="C712" i="1"/>
  <c r="E213" i="9"/>
  <c r="C540" i="1"/>
  <c r="G540" i="1" s="1"/>
  <c r="C683" i="1"/>
  <c r="D85" i="9"/>
  <c r="C511" i="1"/>
  <c r="G85" i="9"/>
  <c r="C686" i="1"/>
  <c r="C514" i="1"/>
  <c r="I21" i="9"/>
  <c r="C674" i="1"/>
  <c r="C502" i="1"/>
  <c r="G502" i="1" s="1"/>
  <c r="C680" i="1"/>
  <c r="H53" i="9"/>
  <c r="C508" i="1"/>
  <c r="C565" i="1"/>
  <c r="C640" i="1"/>
  <c r="I309" i="9"/>
  <c r="D373" i="9"/>
  <c r="C574" i="1"/>
  <c r="C620" i="1"/>
  <c r="E21" i="9"/>
  <c r="C670" i="1"/>
  <c r="C498" i="1"/>
  <c r="C572" i="1"/>
  <c r="C647" i="1"/>
  <c r="I341" i="9"/>
  <c r="C554" i="1"/>
  <c r="C634" i="1"/>
  <c r="E277" i="9"/>
  <c r="F277" i="9"/>
  <c r="C617" i="1"/>
  <c r="C555" i="1"/>
  <c r="C688" i="1"/>
  <c r="I85" i="9"/>
  <c r="C516" i="1"/>
  <c r="C341" i="9"/>
  <c r="C641" i="1"/>
  <c r="C566" i="1"/>
  <c r="C676" i="1"/>
  <c r="C504" i="1"/>
  <c r="G504" i="1" s="1"/>
  <c r="D53" i="9"/>
  <c r="C708" i="1"/>
  <c r="H181" i="9"/>
  <c r="C536" i="1"/>
  <c r="G536" i="1" s="1"/>
  <c r="G309" i="9"/>
  <c r="C626" i="1"/>
  <c r="C563" i="1"/>
  <c r="C562" i="1"/>
  <c r="F309" i="9"/>
  <c r="C623" i="1"/>
  <c r="C628" i="1"/>
  <c r="C245" i="9"/>
  <c r="C545" i="1"/>
  <c r="G545" i="1" s="1"/>
  <c r="E53" i="9"/>
  <c r="C677" i="1"/>
  <c r="C505" i="1"/>
  <c r="G505" i="1" s="1"/>
  <c r="F213" i="9"/>
  <c r="C713" i="1"/>
  <c r="C541" i="1"/>
  <c r="C17" i="9"/>
  <c r="C71" i="1"/>
  <c r="CE67" i="1"/>
  <c r="H245" i="9"/>
  <c r="C550" i="1"/>
  <c r="C614" i="1"/>
  <c r="C548" i="1"/>
  <c r="F245" i="9"/>
  <c r="C633" i="1"/>
  <c r="C277" i="9"/>
  <c r="C618" i="1"/>
  <c r="C552" i="1"/>
  <c r="C551" i="1"/>
  <c r="I245" i="9"/>
  <c r="C629" i="1"/>
  <c r="C702" i="1"/>
  <c r="I149" i="9"/>
  <c r="C530" i="1"/>
  <c r="G530" i="1" s="1"/>
  <c r="G117" i="9"/>
  <c r="C693" i="1"/>
  <c r="C521" i="1"/>
  <c r="D309" i="9"/>
  <c r="C560" i="1"/>
  <c r="C627" i="1"/>
  <c r="H85" i="9"/>
  <c r="C687" i="1"/>
  <c r="C515" i="1"/>
  <c r="C573" i="1"/>
  <c r="C373" i="9"/>
  <c r="C622" i="1"/>
  <c r="C644" i="1"/>
  <c r="F341" i="9"/>
  <c r="C569" i="1"/>
  <c r="C698" i="1"/>
  <c r="E149" i="9"/>
  <c r="C526" i="1"/>
  <c r="C636" i="1"/>
  <c r="D277" i="9"/>
  <c r="C553" i="1"/>
  <c r="I213" i="9"/>
  <c r="C625" i="1"/>
  <c r="C544" i="1"/>
  <c r="D149" i="9"/>
  <c r="C697" i="1"/>
  <c r="C525" i="1"/>
  <c r="G525" i="1" s="1"/>
  <c r="C679" i="1"/>
  <c r="G53" i="9"/>
  <c r="C507" i="1"/>
  <c r="G507" i="1" s="1"/>
  <c r="C537" i="1"/>
  <c r="G537" i="1" s="1"/>
  <c r="C709" i="1"/>
  <c r="I181" i="9"/>
  <c r="G341" i="9"/>
  <c r="C570" i="1"/>
  <c r="C645" i="1"/>
  <c r="D245" i="9"/>
  <c r="C630" i="1"/>
  <c r="C546" i="1"/>
  <c r="E117" i="9"/>
  <c r="C691" i="1"/>
  <c r="C519" i="1"/>
  <c r="G519" i="1" s="1"/>
  <c r="C710" i="1"/>
  <c r="C213" i="9"/>
  <c r="C538" i="1"/>
  <c r="G538" i="1" s="1"/>
  <c r="C695" i="1"/>
  <c r="I117" i="9"/>
  <c r="C523" i="1"/>
  <c r="G523" i="1" s="1"/>
  <c r="G149" i="9"/>
  <c r="C700" i="1"/>
  <c r="C528" i="1"/>
  <c r="G528" i="1" s="1"/>
  <c r="D117" i="9"/>
  <c r="C690" i="1"/>
  <c r="C518" i="1"/>
  <c r="C646" i="1"/>
  <c r="C571" i="1"/>
  <c r="H341" i="9"/>
  <c r="G245" i="9"/>
  <c r="C549" i="1"/>
  <c r="C624" i="1"/>
  <c r="F85" i="9"/>
  <c r="C685" i="1"/>
  <c r="C513" i="1"/>
  <c r="C637" i="1"/>
  <c r="C557" i="1"/>
  <c r="H277" i="9"/>
  <c r="C556" i="1"/>
  <c r="G277" i="9"/>
  <c r="C635" i="1"/>
  <c r="C639" i="1"/>
  <c r="H309" i="9"/>
  <c r="C564" i="1"/>
  <c r="H149" i="9"/>
  <c r="C701" i="1"/>
  <c r="C529" i="1"/>
  <c r="C681" i="1"/>
  <c r="C509" i="1"/>
  <c r="I53" i="9"/>
  <c r="D21" i="9"/>
  <c r="C669" i="1"/>
  <c r="C497" i="1"/>
  <c r="G497" i="1" s="1"/>
  <c r="E85" i="9"/>
  <c r="C684" i="1"/>
  <c r="C512" i="1"/>
  <c r="C542" i="1"/>
  <c r="G213" i="9"/>
  <c r="C631" i="1"/>
  <c r="E341" i="9"/>
  <c r="C568" i="1"/>
  <c r="C643" i="1"/>
  <c r="C703" i="1"/>
  <c r="C181" i="9"/>
  <c r="C531" i="1"/>
  <c r="G531" i="1" s="1"/>
  <c r="C561" i="1"/>
  <c r="C621" i="1"/>
  <c r="E309" i="9"/>
  <c r="C673" i="1"/>
  <c r="H21" i="9"/>
  <c r="C501" i="1"/>
  <c r="G501" i="1" s="1"/>
  <c r="C671" i="1"/>
  <c r="F21" i="9"/>
  <c r="C499" i="1"/>
  <c r="F53" i="9"/>
  <c r="C678" i="1"/>
  <c r="C506" i="1"/>
  <c r="G506" i="1" s="1"/>
  <c r="H213" i="9"/>
  <c r="C543" i="1"/>
  <c r="C616" i="1"/>
  <c r="D341" i="9"/>
  <c r="C642" i="1"/>
  <c r="C567" i="1"/>
  <c r="C675" i="1"/>
  <c r="C53" i="9"/>
  <c r="C503" i="1"/>
  <c r="C558" i="1"/>
  <c r="I277" i="9"/>
  <c r="C638" i="1"/>
  <c r="D213" i="9"/>
  <c r="C711" i="1"/>
  <c r="C539" i="1"/>
  <c r="G539" i="1" s="1"/>
  <c r="C117" i="9"/>
  <c r="C689" i="1"/>
  <c r="C517" i="1"/>
  <c r="G512" i="1" l="1"/>
  <c r="H512" i="1"/>
  <c r="G517" i="1"/>
  <c r="H517" i="1"/>
  <c r="G529" i="1"/>
  <c r="H529" i="1"/>
  <c r="G521" i="1"/>
  <c r="H521" i="1"/>
  <c r="G550" i="1"/>
  <c r="H550" i="1" s="1"/>
  <c r="G514" i="1"/>
  <c r="H514" i="1"/>
  <c r="G503" i="1"/>
  <c r="H503" i="1"/>
  <c r="G526" i="1"/>
  <c r="H526" i="1"/>
  <c r="G498" i="1"/>
  <c r="H498" i="1" s="1"/>
  <c r="G520" i="1"/>
  <c r="H520" i="1"/>
  <c r="G515" i="1"/>
  <c r="H515" i="1"/>
  <c r="G508" i="1"/>
  <c r="H508" i="1"/>
  <c r="G544" i="1"/>
  <c r="H544" i="1"/>
  <c r="G511" i="1"/>
  <c r="H511" i="1"/>
  <c r="G509" i="1"/>
  <c r="H509" i="1"/>
  <c r="G513" i="1"/>
  <c r="H513" i="1"/>
  <c r="G546" i="1"/>
  <c r="H546" i="1"/>
  <c r="G499" i="1"/>
  <c r="H499" i="1"/>
  <c r="G518" i="1"/>
  <c r="H518" i="1"/>
  <c r="G516" i="1"/>
  <c r="H516" i="1"/>
  <c r="I369" i="9"/>
  <c r="C433" i="1"/>
  <c r="C441" i="1" s="1"/>
  <c r="CE71" i="1"/>
  <c r="C648" i="1"/>
  <c r="M716" i="1" s="1"/>
  <c r="D615" i="1"/>
  <c r="C668" i="1"/>
  <c r="C715" i="1" s="1"/>
  <c r="C21" i="9"/>
  <c r="C496" i="1"/>
  <c r="G496" i="1" l="1"/>
  <c r="H496" i="1"/>
  <c r="I351" i="9"/>
  <c r="CE79" i="1"/>
  <c r="D625" i="1"/>
  <c r="D620" i="1"/>
  <c r="D639" i="1"/>
  <c r="D638" i="1"/>
  <c r="D622" i="1"/>
  <c r="D645" i="1"/>
  <c r="D617" i="1"/>
  <c r="D635" i="1"/>
  <c r="D642" i="1"/>
  <c r="D641" i="1"/>
  <c r="D630" i="1"/>
  <c r="D644" i="1"/>
  <c r="D621" i="1"/>
  <c r="D623" i="1"/>
  <c r="D619" i="1"/>
  <c r="D624" i="1"/>
  <c r="D631" i="1"/>
  <c r="D629" i="1"/>
  <c r="D643" i="1"/>
  <c r="D636" i="1"/>
  <c r="D626" i="1"/>
  <c r="D627" i="1"/>
  <c r="D634" i="1"/>
  <c r="D647" i="1"/>
  <c r="D637" i="1"/>
  <c r="D618" i="1"/>
  <c r="D633" i="1"/>
  <c r="D640" i="1"/>
  <c r="D632" i="1"/>
  <c r="D716" i="1"/>
  <c r="D646" i="1"/>
  <c r="D628" i="1"/>
  <c r="D690" i="1"/>
  <c r="D669" i="1"/>
  <c r="D684" i="1"/>
  <c r="D704" i="1"/>
  <c r="D674" i="1"/>
  <c r="D682" i="1"/>
  <c r="D697" i="1"/>
  <c r="D702" i="1"/>
  <c r="D685" i="1"/>
  <c r="D694" i="1"/>
  <c r="D689" i="1"/>
  <c r="D692" i="1"/>
  <c r="D703" i="1"/>
  <c r="D679" i="1"/>
  <c r="D687" i="1"/>
  <c r="D670" i="1"/>
  <c r="D706" i="1"/>
  <c r="D678" i="1"/>
  <c r="D712" i="1"/>
  <c r="D668" i="1"/>
  <c r="D708" i="1"/>
  <c r="D710" i="1"/>
  <c r="D681" i="1"/>
  <c r="D675" i="1"/>
  <c r="D711" i="1"/>
  <c r="D616" i="1"/>
  <c r="D691" i="1"/>
  <c r="D677" i="1"/>
  <c r="D696" i="1"/>
  <c r="D705" i="1"/>
  <c r="D693" i="1"/>
  <c r="D700" i="1"/>
  <c r="D672" i="1"/>
  <c r="D713" i="1"/>
  <c r="D676" i="1"/>
  <c r="D673" i="1"/>
  <c r="D683" i="1"/>
  <c r="D680" i="1"/>
  <c r="D695" i="1"/>
  <c r="D671" i="1"/>
  <c r="D707" i="1"/>
  <c r="D686" i="1"/>
  <c r="D688" i="1"/>
  <c r="D699" i="1"/>
  <c r="D709" i="1"/>
  <c r="D698" i="1"/>
  <c r="D701" i="1"/>
  <c r="I373" i="9"/>
  <c r="C716" i="1"/>
  <c r="J612" i="1" l="1"/>
  <c r="I383" i="9"/>
  <c r="E612" i="1"/>
  <c r="D715" i="1"/>
  <c r="E623" i="1"/>
  <c r="E632" i="1" l="1"/>
  <c r="E644" i="1"/>
  <c r="E693" i="1"/>
  <c r="E631" i="1"/>
  <c r="E691" i="1"/>
  <c r="E675" i="1"/>
  <c r="E643" i="1"/>
  <c r="E702" i="1"/>
  <c r="E677" i="1"/>
  <c r="E669" i="1"/>
  <c r="E684" i="1"/>
  <c r="E626" i="1"/>
  <c r="E682" i="1"/>
  <c r="E688" i="1"/>
  <c r="E639" i="1"/>
  <c r="E710" i="1"/>
  <c r="E685" i="1"/>
  <c r="E647" i="1"/>
  <c r="E706" i="1"/>
  <c r="E671" i="1"/>
  <c r="E676" i="1"/>
  <c r="E686" i="1"/>
  <c r="E629" i="1"/>
  <c r="E698" i="1"/>
  <c r="E638" i="1"/>
  <c r="E709" i="1"/>
  <c r="E642" i="1"/>
  <c r="E703" i="1"/>
  <c r="E645" i="1"/>
  <c r="E696" i="1"/>
  <c r="E712" i="1"/>
  <c r="E633" i="1"/>
  <c r="E680" i="1"/>
  <c r="E694" i="1"/>
  <c r="E635" i="1"/>
  <c r="E636" i="1"/>
  <c r="E705" i="1"/>
  <c r="E699" i="1"/>
  <c r="E678" i="1"/>
  <c r="E637" i="1"/>
  <c r="E674" i="1"/>
  <c r="E673" i="1"/>
  <c r="E695" i="1"/>
  <c r="E681" i="1"/>
  <c r="E692" i="1"/>
  <c r="E668" i="1"/>
  <c r="E697" i="1"/>
  <c r="E708" i="1"/>
  <c r="E641" i="1"/>
  <c r="E670" i="1"/>
  <c r="E683" i="1"/>
  <c r="E707" i="1"/>
  <c r="E711" i="1"/>
  <c r="E704" i="1"/>
  <c r="E700" i="1"/>
  <c r="E689" i="1"/>
  <c r="E679" i="1"/>
  <c r="E634" i="1"/>
  <c r="E627" i="1"/>
  <c r="E713" i="1"/>
  <c r="E672" i="1"/>
  <c r="E625" i="1"/>
  <c r="E646" i="1"/>
  <c r="E640" i="1"/>
  <c r="E716" i="1"/>
  <c r="E701" i="1"/>
  <c r="E630" i="1"/>
  <c r="E687" i="1"/>
  <c r="E690" i="1"/>
  <c r="E628" i="1"/>
  <c r="E624" i="1"/>
  <c r="E715" i="1" l="1"/>
  <c r="F624" i="1"/>
  <c r="F686" i="1" l="1"/>
  <c r="F671" i="1"/>
  <c r="F697" i="1"/>
  <c r="F672" i="1"/>
  <c r="F703" i="1"/>
  <c r="F639" i="1"/>
  <c r="F629" i="1"/>
  <c r="F683" i="1"/>
  <c r="F689" i="1"/>
  <c r="F690" i="1"/>
  <c r="F677" i="1"/>
  <c r="F691" i="1"/>
  <c r="F694" i="1"/>
  <c r="F669" i="1"/>
  <c r="F706" i="1"/>
  <c r="F710" i="1"/>
  <c r="F681" i="1"/>
  <c r="F626" i="1"/>
  <c r="F716" i="1"/>
  <c r="F684" i="1"/>
  <c r="F678" i="1"/>
  <c r="F680" i="1"/>
  <c r="F644" i="1"/>
  <c r="F670" i="1"/>
  <c r="F696" i="1"/>
  <c r="F642" i="1"/>
  <c r="F693" i="1"/>
  <c r="F708" i="1"/>
  <c r="F705" i="1"/>
  <c r="F675" i="1"/>
  <c r="F695" i="1"/>
  <c r="F687" i="1"/>
  <c r="F698" i="1"/>
  <c r="F707" i="1"/>
  <c r="F630" i="1"/>
  <c r="F628" i="1"/>
  <c r="F701" i="1"/>
  <c r="F643" i="1"/>
  <c r="F685" i="1"/>
  <c r="F638" i="1"/>
  <c r="F668" i="1"/>
  <c r="F627" i="1"/>
  <c r="F636" i="1"/>
  <c r="F700" i="1"/>
  <c r="F711" i="1"/>
  <c r="F713" i="1"/>
  <c r="F679" i="1"/>
  <c r="F637" i="1"/>
  <c r="F702" i="1"/>
  <c r="F645" i="1"/>
  <c r="F633" i="1"/>
  <c r="F631" i="1"/>
  <c r="F709" i="1"/>
  <c r="F712" i="1"/>
  <c r="F688" i="1"/>
  <c r="F692" i="1"/>
  <c r="F704" i="1"/>
  <c r="F635" i="1"/>
  <c r="F634" i="1"/>
  <c r="F682" i="1"/>
  <c r="F640" i="1"/>
  <c r="F676" i="1"/>
  <c r="F632" i="1"/>
  <c r="F647" i="1"/>
  <c r="F625" i="1"/>
  <c r="F641" i="1"/>
  <c r="F699" i="1"/>
  <c r="F673" i="1"/>
  <c r="F674" i="1"/>
  <c r="F646" i="1"/>
  <c r="F715" i="1" l="1"/>
  <c r="G625" i="1"/>
  <c r="G680" i="1" l="1"/>
  <c r="G700" i="1"/>
  <c r="G672" i="1"/>
  <c r="G631" i="1"/>
  <c r="G633" i="1"/>
  <c r="G711" i="1"/>
  <c r="G688" i="1"/>
  <c r="G629" i="1"/>
  <c r="G690" i="1"/>
  <c r="G706" i="1"/>
  <c r="G671" i="1"/>
  <c r="G640" i="1"/>
  <c r="G669" i="1"/>
  <c r="G679" i="1"/>
  <c r="G691" i="1"/>
  <c r="G699" i="1"/>
  <c r="G645" i="1"/>
  <c r="G643" i="1"/>
  <c r="G674" i="1"/>
  <c r="G697" i="1"/>
  <c r="G646" i="1"/>
  <c r="G698" i="1"/>
  <c r="G709" i="1"/>
  <c r="G703" i="1"/>
  <c r="G632" i="1"/>
  <c r="G696" i="1"/>
  <c r="G668" i="1"/>
  <c r="G695" i="1"/>
  <c r="G670" i="1"/>
  <c r="G635" i="1"/>
  <c r="G673" i="1"/>
  <c r="G693" i="1"/>
  <c r="G708" i="1"/>
  <c r="G676" i="1"/>
  <c r="G685" i="1"/>
  <c r="G702" i="1"/>
  <c r="G681" i="1"/>
  <c r="G701" i="1"/>
  <c r="G687" i="1"/>
  <c r="G694" i="1"/>
  <c r="G644" i="1"/>
  <c r="G634" i="1"/>
  <c r="G682" i="1"/>
  <c r="G704" i="1"/>
  <c r="G628" i="1"/>
  <c r="G692" i="1"/>
  <c r="G705" i="1"/>
  <c r="G642" i="1"/>
  <c r="G630" i="1"/>
  <c r="G686" i="1"/>
  <c r="G638" i="1"/>
  <c r="G713" i="1"/>
  <c r="G707" i="1"/>
  <c r="G710" i="1"/>
  <c r="G678" i="1"/>
  <c r="G689" i="1"/>
  <c r="G712" i="1"/>
  <c r="G637" i="1"/>
  <c r="G636" i="1"/>
  <c r="G677" i="1"/>
  <c r="G627" i="1"/>
  <c r="G641" i="1"/>
  <c r="G639" i="1"/>
  <c r="G684" i="1"/>
  <c r="G716" i="1"/>
  <c r="G647" i="1"/>
  <c r="G675" i="1"/>
  <c r="G683" i="1"/>
  <c r="G626" i="1"/>
  <c r="G715" i="1" l="1"/>
  <c r="H628" i="1"/>
  <c r="H684" i="1" l="1"/>
  <c r="H706" i="1"/>
  <c r="H675" i="1"/>
  <c r="H686" i="1"/>
  <c r="H685" i="1"/>
  <c r="H716" i="1"/>
  <c r="H699" i="1"/>
  <c r="H712" i="1"/>
  <c r="H640" i="1"/>
  <c r="H708" i="1"/>
  <c r="H701" i="1"/>
  <c r="H644" i="1"/>
  <c r="H695" i="1"/>
  <c r="H683" i="1"/>
  <c r="H711" i="1"/>
  <c r="H688" i="1"/>
  <c r="H677" i="1"/>
  <c r="H645" i="1"/>
  <c r="H671" i="1"/>
  <c r="H680" i="1"/>
  <c r="H638" i="1"/>
  <c r="H687" i="1"/>
  <c r="H635" i="1"/>
  <c r="H682" i="1"/>
  <c r="H674" i="1"/>
  <c r="H707" i="1"/>
  <c r="H670" i="1"/>
  <c r="H697" i="1"/>
  <c r="H678" i="1"/>
  <c r="H643" i="1"/>
  <c r="H630" i="1"/>
  <c r="H691" i="1"/>
  <c r="H698" i="1"/>
  <c r="H694" i="1"/>
  <c r="H702" i="1"/>
  <c r="H692" i="1"/>
  <c r="H693" i="1"/>
  <c r="H689" i="1"/>
  <c r="H639" i="1"/>
  <c r="H703" i="1"/>
  <c r="H642" i="1"/>
  <c r="H679" i="1"/>
  <c r="H672" i="1"/>
  <c r="H673" i="1"/>
  <c r="H646" i="1"/>
  <c r="H668" i="1"/>
  <c r="H636" i="1"/>
  <c r="H647" i="1"/>
  <c r="H681" i="1"/>
  <c r="H676" i="1"/>
  <c r="H633" i="1"/>
  <c r="H632" i="1"/>
  <c r="H641" i="1"/>
  <c r="H709" i="1"/>
  <c r="H690" i="1"/>
  <c r="H637" i="1"/>
  <c r="H713" i="1"/>
  <c r="H700" i="1"/>
  <c r="H710" i="1"/>
  <c r="H696" i="1"/>
  <c r="H634" i="1"/>
  <c r="H669" i="1"/>
  <c r="H704" i="1"/>
  <c r="H631" i="1"/>
  <c r="H705" i="1"/>
  <c r="H629" i="1"/>
  <c r="H715" i="1" l="1"/>
  <c r="I629" i="1"/>
  <c r="I676" i="1" l="1"/>
  <c r="I683" i="1"/>
  <c r="I687" i="1"/>
  <c r="I647" i="1"/>
  <c r="I697" i="1"/>
  <c r="I709" i="1"/>
  <c r="I704" i="1"/>
  <c r="I645" i="1"/>
  <c r="I671" i="1"/>
  <c r="I679" i="1"/>
  <c r="I699" i="1"/>
  <c r="I643" i="1"/>
  <c r="I674" i="1"/>
  <c r="I708" i="1"/>
  <c r="I677" i="1"/>
  <c r="I634" i="1"/>
  <c r="I682" i="1"/>
  <c r="I668" i="1"/>
  <c r="I640" i="1"/>
  <c r="I700" i="1"/>
  <c r="I644" i="1"/>
  <c r="I698" i="1"/>
  <c r="I688" i="1"/>
  <c r="I689" i="1"/>
  <c r="I635" i="1"/>
  <c r="I685" i="1"/>
  <c r="I642" i="1"/>
  <c r="I678" i="1"/>
  <c r="I696" i="1"/>
  <c r="I684" i="1"/>
  <c r="I632" i="1"/>
  <c r="I675" i="1"/>
  <c r="I639" i="1"/>
  <c r="I703" i="1"/>
  <c r="I711" i="1"/>
  <c r="I692" i="1"/>
  <c r="I672" i="1"/>
  <c r="I712" i="1"/>
  <c r="I691" i="1"/>
  <c r="I713" i="1"/>
  <c r="I716" i="1"/>
  <c r="I673" i="1"/>
  <c r="I694" i="1"/>
  <c r="I706" i="1"/>
  <c r="I633" i="1"/>
  <c r="I669" i="1"/>
  <c r="I686" i="1"/>
  <c r="I680" i="1"/>
  <c r="I670" i="1"/>
  <c r="I695" i="1"/>
  <c r="I702" i="1"/>
  <c r="I705" i="1"/>
  <c r="I701" i="1"/>
  <c r="I637" i="1"/>
  <c r="I631" i="1"/>
  <c r="I646" i="1"/>
  <c r="I641" i="1"/>
  <c r="I636" i="1"/>
  <c r="I681" i="1"/>
  <c r="I630" i="1"/>
  <c r="I638" i="1"/>
  <c r="I690" i="1"/>
  <c r="I710" i="1"/>
  <c r="I707" i="1"/>
  <c r="I693" i="1"/>
  <c r="I715" i="1" l="1"/>
  <c r="J630" i="1"/>
  <c r="J702" i="1" l="1"/>
  <c r="J711" i="1"/>
  <c r="J712" i="1"/>
  <c r="J633" i="1"/>
  <c r="J646" i="1"/>
  <c r="J641" i="1"/>
  <c r="J642" i="1"/>
  <c r="J692" i="1"/>
  <c r="J709" i="1"/>
  <c r="J713" i="1"/>
  <c r="J686" i="1"/>
  <c r="J669" i="1"/>
  <c r="J675" i="1"/>
  <c r="J688" i="1"/>
  <c r="J701" i="1"/>
  <c r="J695" i="1"/>
  <c r="J638" i="1"/>
  <c r="J681" i="1"/>
  <c r="J716" i="1"/>
  <c r="J634" i="1"/>
  <c r="J673" i="1"/>
  <c r="J674" i="1"/>
  <c r="J700" i="1"/>
  <c r="J647" i="1"/>
  <c r="J687" i="1"/>
  <c r="J672" i="1"/>
  <c r="J698" i="1"/>
  <c r="J644" i="1"/>
  <c r="J670" i="1"/>
  <c r="J693" i="1"/>
  <c r="J668" i="1"/>
  <c r="J678" i="1"/>
  <c r="J706" i="1"/>
  <c r="J691" i="1"/>
  <c r="J685" i="1"/>
  <c r="J683" i="1"/>
  <c r="J676" i="1"/>
  <c r="J632" i="1"/>
  <c r="J708" i="1"/>
  <c r="J684" i="1"/>
  <c r="J682" i="1"/>
  <c r="J640" i="1"/>
  <c r="J704" i="1"/>
  <c r="J697" i="1"/>
  <c r="J639" i="1"/>
  <c r="J637" i="1"/>
  <c r="J699" i="1"/>
  <c r="J705" i="1"/>
  <c r="J631" i="1"/>
  <c r="J680" i="1"/>
  <c r="J710" i="1"/>
  <c r="J679" i="1"/>
  <c r="J645" i="1"/>
  <c r="J703" i="1"/>
  <c r="J707" i="1"/>
  <c r="J694" i="1"/>
  <c r="J636" i="1"/>
  <c r="J635" i="1"/>
  <c r="J643" i="1"/>
  <c r="J696" i="1"/>
  <c r="J689" i="1"/>
  <c r="J671" i="1"/>
  <c r="J677" i="1"/>
  <c r="J690" i="1"/>
  <c r="K644" i="1" l="1"/>
  <c r="L647" i="1"/>
  <c r="J715" i="1"/>
  <c r="L685" i="1" l="1"/>
  <c r="L682" i="1"/>
  <c r="L688" i="1"/>
  <c r="L709" i="1"/>
  <c r="L675" i="1"/>
  <c r="L694" i="1"/>
  <c r="L689" i="1"/>
  <c r="L706" i="1"/>
  <c r="L691" i="1"/>
  <c r="L672" i="1"/>
  <c r="L679" i="1"/>
  <c r="L695" i="1"/>
  <c r="L678" i="1"/>
  <c r="L698" i="1"/>
  <c r="L696" i="1"/>
  <c r="L683" i="1"/>
  <c r="L680" i="1"/>
  <c r="L670" i="1"/>
  <c r="L676" i="1"/>
  <c r="L692" i="1"/>
  <c r="L716" i="1"/>
  <c r="L707" i="1"/>
  <c r="M707" i="1" s="1"/>
  <c r="L701" i="1"/>
  <c r="L697" i="1"/>
  <c r="L669" i="1"/>
  <c r="L690" i="1"/>
  <c r="L711" i="1"/>
  <c r="L708" i="1"/>
  <c r="L713" i="1"/>
  <c r="L671" i="1"/>
  <c r="L686" i="1"/>
  <c r="L699" i="1"/>
  <c r="L705" i="1"/>
  <c r="L700" i="1"/>
  <c r="L703" i="1"/>
  <c r="L677" i="1"/>
  <c r="L702" i="1"/>
  <c r="L710" i="1"/>
  <c r="L681" i="1"/>
  <c r="L693" i="1"/>
  <c r="L684" i="1"/>
  <c r="L673" i="1"/>
  <c r="L687" i="1"/>
  <c r="L712" i="1"/>
  <c r="L674" i="1"/>
  <c r="L668" i="1"/>
  <c r="L704" i="1"/>
  <c r="K694" i="1"/>
  <c r="K687" i="1"/>
  <c r="K686" i="1"/>
  <c r="K711" i="1"/>
  <c r="K707" i="1"/>
  <c r="K703" i="1"/>
  <c r="K672" i="1"/>
  <c r="K690" i="1"/>
  <c r="K685" i="1"/>
  <c r="K682" i="1"/>
  <c r="K716" i="1"/>
  <c r="K693" i="1"/>
  <c r="K689" i="1"/>
  <c r="K671" i="1"/>
  <c r="K706" i="1"/>
  <c r="K697" i="1"/>
  <c r="K712" i="1"/>
  <c r="K669" i="1"/>
  <c r="K705" i="1"/>
  <c r="K684" i="1"/>
  <c r="K696" i="1"/>
  <c r="K677" i="1"/>
  <c r="K670" i="1"/>
  <c r="K691" i="1"/>
  <c r="K688" i="1"/>
  <c r="K710" i="1"/>
  <c r="K701" i="1"/>
  <c r="K713" i="1"/>
  <c r="K708" i="1"/>
  <c r="K709" i="1"/>
  <c r="K674" i="1"/>
  <c r="K681" i="1"/>
  <c r="K704" i="1"/>
  <c r="K698" i="1"/>
  <c r="K695" i="1"/>
  <c r="K673" i="1"/>
  <c r="K676" i="1"/>
  <c r="K678" i="1"/>
  <c r="K668" i="1"/>
  <c r="K692" i="1"/>
  <c r="K699" i="1"/>
  <c r="K700" i="1"/>
  <c r="K680" i="1"/>
  <c r="K683" i="1"/>
  <c r="K675" i="1"/>
  <c r="K702" i="1"/>
  <c r="K679" i="1"/>
  <c r="M687" i="1" l="1"/>
  <c r="M712" i="1"/>
  <c r="M693" i="1"/>
  <c r="M677" i="1"/>
  <c r="M699" i="1"/>
  <c r="M708" i="1"/>
  <c r="M697" i="1"/>
  <c r="M692" i="1"/>
  <c r="M683" i="1"/>
  <c r="M695" i="1"/>
  <c r="M706" i="1"/>
  <c r="M709" i="1"/>
  <c r="M704" i="1"/>
  <c r="M681" i="1"/>
  <c r="M703" i="1"/>
  <c r="M686" i="1"/>
  <c r="M711" i="1"/>
  <c r="M701" i="1"/>
  <c r="M676" i="1"/>
  <c r="M696" i="1"/>
  <c r="M679" i="1"/>
  <c r="M689" i="1"/>
  <c r="M688" i="1"/>
  <c r="L715" i="1"/>
  <c r="M668" i="1"/>
  <c r="M673" i="1"/>
  <c r="M710" i="1"/>
  <c r="M700" i="1"/>
  <c r="M671" i="1"/>
  <c r="M690" i="1"/>
  <c r="G183" i="9"/>
  <c r="M670" i="1"/>
  <c r="M698" i="1"/>
  <c r="M672" i="1"/>
  <c r="M694" i="1"/>
  <c r="M682" i="1"/>
  <c r="K715" i="1"/>
  <c r="M674" i="1"/>
  <c r="M684" i="1"/>
  <c r="M702" i="1"/>
  <c r="M705" i="1"/>
  <c r="M713" i="1"/>
  <c r="M669" i="1"/>
  <c r="M680" i="1"/>
  <c r="M678" i="1"/>
  <c r="M691" i="1"/>
  <c r="M675" i="1"/>
  <c r="M685" i="1"/>
  <c r="H87" i="9" l="1"/>
  <c r="C55" i="9"/>
  <c r="E87" i="9"/>
  <c r="E119" i="9"/>
  <c r="F215" i="9"/>
  <c r="I23" i="9"/>
  <c r="G23" i="9"/>
  <c r="C215" i="9"/>
  <c r="I87" i="9"/>
  <c r="D55" i="9"/>
  <c r="C183" i="9"/>
  <c r="D183" i="9"/>
  <c r="D87" i="9"/>
  <c r="F151" i="9"/>
  <c r="E183" i="9"/>
  <c r="E151" i="9"/>
  <c r="D119" i="9"/>
  <c r="H23" i="9"/>
  <c r="C119" i="9"/>
  <c r="H151" i="9"/>
  <c r="I55" i="9"/>
  <c r="I183" i="9"/>
  <c r="F119" i="9"/>
  <c r="E55" i="9"/>
  <c r="F55" i="9"/>
  <c r="H55" i="9"/>
  <c r="I151" i="9"/>
  <c r="C87" i="9"/>
  <c r="E23" i="9"/>
  <c r="F23" i="9"/>
  <c r="C23" i="9"/>
  <c r="M715" i="1"/>
  <c r="G55" i="9"/>
  <c r="D215" i="9"/>
  <c r="F183" i="9"/>
  <c r="D151" i="9"/>
  <c r="G119" i="9"/>
  <c r="F87" i="9"/>
  <c r="D23" i="9"/>
  <c r="H119" i="9"/>
  <c r="G151" i="9"/>
  <c r="C151" i="9"/>
  <c r="G87" i="9"/>
  <c r="I119" i="9"/>
  <c r="H183" i="9"/>
  <c r="E215" i="9"/>
</calcChain>
</file>

<file path=xl/sharedStrings.xml><?xml version="1.0" encoding="utf-8"?>
<sst xmlns="http://schemas.openxmlformats.org/spreadsheetml/2006/main" count="4680" uniqueCount="1283">
  <si>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</si>
  <si>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</si>
  <si>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</si>
  <si>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</si>
  <si>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</si>
  <si>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</si>
  <si>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</si>
  <si>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</si>
  <si>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</si>
  <si>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</si>
  <si>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</si>
  <si>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</si>
  <si>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</si>
  <si>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</si>
  <si>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</si>
  <si>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</si>
  <si>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</si>
  <si>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</si>
  <si>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</si>
  <si>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</si>
  <si>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</si>
  <si>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</si>
  <si>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</si>
  <si>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</si>
  <si>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</si>
  <si>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</si>
  <si>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</si>
  <si>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</si>
  <si>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</si>
  <si>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</si>
  <si>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</si>
  <si>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</si>
  <si>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</si>
  <si>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</si>
  <si>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</si>
  <si>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</si>
  <si>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</si>
  <si>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</si>
  <si>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</si>
  <si>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</si>
  <si>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</si>
  <si>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</si>
  <si>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</si>
  <si>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</si>
  <si>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</si>
  <si>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</si>
  <si>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</si>
  <si>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</si>
  <si>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</si>
  <si>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</si>
  <si>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</si>
  <si>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</si>
  <si>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</si>
  <si>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</si>
  <si>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</si>
  <si>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</si>
  <si>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</si>
  <si>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</si>
  <si>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</si>
  <si>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</si>
  <si>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</si>
  <si>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</si>
  <si>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</si>
  <si>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</si>
  <si>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</si>
  <si>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</si>
  <si>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</si>
  <si>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</si>
  <si>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</si>
  <si>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</si>
  <si>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</si>
  <si>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</si>
  <si>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</si>
  <si>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</si>
  <si>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</si>
  <si>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</si>
  <si>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</si>
  <si>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</si>
  <si>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</si>
  <si>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</si>
  <si>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</si>
  <si>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</si>
  <si>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</si>
  <si>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</si>
  <si>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</si>
  <si>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</si>
  <si>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</si>
  <si>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</si>
  <si>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</si>
  <si>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</si>
  <si>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</si>
  <si>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</si>
  <si>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</si>
  <si>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</si>
  <si>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</si>
  <si>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</si>
  <si>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</si>
  <si>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</si>
  <si>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</si>
  <si>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</si>
  <si>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</si>
  <si>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</si>
  <si>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</si>
  <si>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</si>
  <si>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</si>
  <si>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</si>
  <si>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</si>
  <si>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</si>
  <si>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</si>
  <si>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</si>
  <si>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</si>
  <si>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</si>
  <si>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</si>
  <si>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</si>
  <si>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</si>
  <si>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</si>
  <si>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</si>
  <si>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</si>
  <si>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</si>
  <si>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</si>
  <si>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</si>
  <si>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</si>
  <si>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</si>
  <si>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</si>
  <si>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</si>
  <si>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</si>
  <si>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</si>
  <si>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</si>
  <si>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</si>
  <si>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</si>
  <si>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</si>
  <si>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</si>
  <si>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</si>
  <si>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</si>
  <si>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</si>
  <si>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</si>
  <si>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</si>
  <si>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</si>
  <si>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</si>
  <si>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</si>
  <si>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</si>
  <si>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</si>
  <si>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</si>
  <si>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</si>
  <si>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</si>
  <si>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</si>
  <si>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</si>
  <si>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</si>
  <si>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</si>
  <si>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</si>
  <si>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</si>
  <si>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</si>
  <si>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</si>
  <si>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</si>
  <si>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</si>
  <si>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</si>
  <si>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</si>
  <si>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</si>
  <si>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</si>
  <si>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</si>
  <si>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</si>
  <si>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</si>
  <si>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</si>
  <si>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</si>
  <si>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</si>
  <si>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</si>
  <si>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</si>
  <si>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</si>
  <si>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</si>
  <si>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</si>
  <si>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</si>
  <si>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</si>
  <si>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</si>
  <si>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</si>
  <si>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</si>
  <si>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</si>
  <si>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</si>
  <si>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</si>
  <si>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</si>
  <si>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</si>
  <si>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</si>
  <si>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</si>
  <si>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</si>
  <si>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</si>
  <si>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</si>
  <si>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</si>
  <si>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</si>
  <si>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</si>
  <si>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</si>
  <si>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</si>
  <si>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</si>
  <si>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</si>
  <si>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</si>
  <si>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</si>
  <si>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</si>
  <si>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</si>
  <si>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</si>
  <si>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</si>
  <si>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</si>
  <si>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</si>
  <si>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</si>
  <si>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</si>
  <si>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</si>
  <si>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</si>
  <si>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</si>
  <si>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</si>
  <si>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</si>
  <si>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</si>
  <si>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</si>
  <si>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</si>
  <si>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</si>
  <si>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</si>
  <si>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</si>
  <si>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</si>
  <si>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</si>
  <si>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</si>
  <si>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</si>
  <si>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</si>
  <si>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</si>
  <si>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</si>
  <si>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</si>
  <si>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</si>
  <si>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</si>
  <si>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</si>
  <si>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</si>
  <si>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</si>
  <si>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</si>
  <si>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</si>
  <si>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</si>
  <si>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</si>
  <si>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</si>
  <si>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</si>
  <si>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</si>
  <si>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</si>
  <si>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</si>
  <si>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</si>
  <si>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</si>
  <si>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</si>
  <si>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</si>
  <si>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</si>
  <si>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</si>
  <si>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</si>
  <si>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</si>
  <si>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</si>
  <si>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</si>
  <si>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</si>
  <si>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</si>
  <si>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</si>
  <si>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</si>
  <si>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</si>
  <si>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</si>
  <si>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</si>
  <si>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</si>
  <si>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</si>
  <si>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</si>
  <si>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</si>
  <si>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</si>
  <si>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</si>
  <si>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</si>
  <si>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</si>
  <si>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</si>
  <si>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</si>
  <si>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</si>
  <si>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</si>
  <si>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</si>
  <si>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</si>
  <si>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</si>
  <si>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</si>
  <si>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</si>
  <si>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</si>
  <si>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</si>
  <si>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</si>
  <si>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</si>
  <si>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</si>
  <si>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</si>
  <si>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</si>
  <si>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</si>
  <si>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</si>
  <si>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</si>
  <si>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</si>
  <si>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</si>
  <si>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</si>
  <si>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</si>
  <si>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</si>
  <si>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</si>
  <si>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</si>
  <si>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</si>
  <si>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</si>
  <si>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</si>
  <si>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</si>
  <si>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</si>
  <si>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</si>
  <si>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</si>
  <si>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</si>
  <si>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</si>
  <si>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</si>
  <si>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</si>
  <si>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</si>
  <si>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</si>
  <si>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</si>
  <si>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</si>
  <si>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</si>
  <si>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</si>
  <si>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</si>
  <si>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</si>
  <si>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</si>
  <si>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</si>
  <si>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</si>
  <si>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</si>
  <si>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</si>
  <si>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</si>
  <si>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</si>
  <si>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</si>
  <si>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</si>
  <si>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</si>
  <si>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</si>
  <si>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</si>
  <si>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</si>
  <si>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</si>
  <si>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</si>
  <si>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</si>
  <si>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</si>
  <si>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</si>
  <si>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</si>
  <si>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</si>
  <si>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</si>
  <si>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</si>
  <si>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</si>
  <si>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</si>
  <si>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</si>
  <si>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</si>
  <si>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</si>
  <si>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</si>
  <si>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</si>
  <si>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</si>
  <si>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</si>
  <si>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</si>
  <si>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</si>
  <si>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</si>
  <si>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</si>
  <si>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</si>
  <si>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</si>
  <si>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</si>
  <si>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</si>
  <si>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</si>
  <si>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</si>
  <si>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</si>
  <si>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</si>
  <si>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</si>
  <si>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</si>
  <si>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</si>
  <si>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</si>
  <si>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</si>
  <si>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</si>
  <si>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</si>
  <si>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</si>
  <si>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</si>
  <si>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</si>
  <si>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</si>
  <si>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</si>
  <si>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</si>
  <si>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</si>
  <si>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</si>
  <si>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</si>
  <si>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</si>
  <si>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</si>
  <si>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</si>
  <si>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</si>
  <si>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</si>
  <si>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</si>
  <si>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</si>
  <si>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</si>
  <si>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</si>
  <si>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</si>
  <si>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</si>
  <si>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</si>
  <si>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</si>
  <si>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</si>
  <si>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</si>
  <si>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</si>
  <si>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</si>
  <si>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</si>
  <si>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</si>
  <si>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</si>
  <si>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</si>
  <si>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</si>
  <si>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</si>
  <si>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</si>
  <si>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</si>
  <si>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</si>
  <si>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</si>
  <si>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</si>
  <si>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</si>
  <si>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</si>
  <si>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</si>
  <si>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</si>
  <si>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</si>
  <si>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</si>
  <si>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</si>
  <si>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</si>
  <si>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</si>
  <si>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</si>
  <si>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</si>
  <si>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</si>
  <si>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</si>
  <si>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</si>
  <si>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</si>
  <si>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</si>
  <si>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</si>
  <si>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</si>
  <si>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</si>
  <si>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</si>
  <si>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</si>
  <si>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</si>
  <si>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</si>
  <si>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</si>
  <si>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</si>
  <si>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</si>
  <si>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</si>
  <si>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</si>
  <si>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</si>
  <si>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</si>
  <si>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</si>
  <si>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</si>
  <si>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</si>
  <si>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</si>
  <si>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</si>
  <si>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</si>
  <si>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</si>
  <si>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</si>
  <si>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</si>
  <si>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</si>
  <si>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</si>
  <si>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</si>
  <si>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</si>
  <si>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</si>
  <si>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</si>
  <si>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</si>
  <si>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</si>
  <si>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</si>
  <si>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</si>
  <si>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</si>
  <si>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</si>
  <si>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</si>
  <si>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</si>
  <si>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</si>
  <si>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</si>
  <si>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</si>
  <si>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</si>
  <si>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</si>
  <si>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</si>
  <si>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</si>
  <si>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</si>
  <si>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</si>
  <si>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</si>
  <si>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</si>
  <si>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</si>
  <si>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</si>
  <si>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</si>
  <si>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</si>
  <si>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</si>
  <si>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</si>
  <si>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</si>
  <si>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</si>
  <si>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</si>
  <si>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</si>
  <si>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</si>
  <si>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</si>
  <si>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</si>
  <si>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</si>
  <si>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</si>
  <si>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</si>
  <si>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</si>
  <si>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</si>
  <si>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</si>
  <si>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</si>
  <si>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</si>
  <si>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</si>
  <si>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</si>
  <si>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</si>
  <si>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</si>
  <si>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</si>
  <si>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</si>
  <si>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</si>
  <si>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</si>
  <si>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</si>
  <si>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</si>
  <si>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</si>
  <si>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</si>
  <si>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</si>
  <si>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</si>
  <si>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</si>
  <si>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</si>
  <si>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</si>
  <si>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</si>
  <si>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</si>
  <si>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</si>
  <si>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</si>
  <si>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</si>
  <si>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</si>
  <si>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</si>
  <si>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</si>
  <si>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</si>
  <si>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</si>
  <si>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</si>
  <si>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</si>
  <si>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</si>
  <si>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</si>
  <si>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</si>
  <si>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</si>
  <si>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</si>
  <si>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</si>
  <si>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</si>
  <si>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</si>
  <si>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</si>
  <si>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</si>
  <si>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</si>
  <si>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</si>
  <si>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</si>
  <si>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</si>
  <si>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</si>
  <si>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</si>
  <si>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</si>
  <si>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</si>
  <si>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</si>
  <si>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</si>
  <si>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</si>
  <si>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</si>
  <si>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</si>
  <si>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</si>
  <si>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</si>
  <si>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</si>
  <si>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</si>
  <si>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</si>
  <si>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</si>
  <si>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</si>
  <si>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</si>
  <si>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</si>
  <si>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</si>
  <si>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</si>
  <si>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</si>
  <si>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</si>
  <si>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</si>
  <si>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</si>
  <si>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</si>
  <si>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</si>
  <si>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</si>
  <si>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</si>
  <si>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</si>
  <si>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</si>
  <si>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</si>
  <si>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</si>
  <si>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</si>
  <si>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</si>
  <si>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</si>
  <si>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</si>
  <si>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</si>
  <si>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</si>
  <si>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</si>
  <si>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</si>
  <si>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</si>
  <si>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</si>
  <si>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</si>
  <si>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</si>
  <si>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</si>
  <si>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</si>
  <si>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</si>
  <si>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</si>
  <si>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</si>
  <si>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</si>
  <si>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</si>
  <si>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</si>
  <si>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</si>
  <si>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</si>
  <si>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</si>
  <si>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</si>
  <si>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</si>
  <si>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</si>
  <si>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</si>
  <si>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</si>
  <si>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</si>
  <si>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</si>
  <si>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</si>
  <si>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</si>
  <si>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</si>
  <si>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</si>
  <si>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</si>
  <si>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</si>
  <si>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</si>
  <si>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</si>
  <si>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</si>
  <si>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</si>
  <si>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</si>
  <si>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</si>
  <si>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</si>
  <si>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</si>
  <si>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</si>
  <si>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</si>
  <si>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</si>
  <si>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</si>
  <si>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</si>
  <si>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</si>
  <si>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</si>
  <si>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</si>
  <si>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</si>
  <si>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</si>
  <si>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</si>
  <si>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</si>
  <si>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</si>
  <si>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</si>
  <si>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</si>
  <si>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</si>
  <si>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</si>
  <si>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</si>
  <si>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</si>
  <si>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</si>
  <si>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</si>
  <si>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</si>
  <si>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</si>
  <si>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</si>
  <si>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</si>
  <si>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</si>
  <si>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</si>
  <si>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</si>
  <si>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</si>
  <si>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</si>
  <si>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</si>
  <si>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</si>
  <si>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</si>
  <si>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</si>
  <si>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</si>
  <si>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</si>
  <si>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</si>
  <si>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</si>
  <si>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</si>
  <si>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</si>
  <si>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</si>
  <si>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</si>
  <si>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</si>
  <si>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</si>
  <si>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</si>
  <si>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</si>
  <si>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</si>
  <si>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</si>
  <si>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</si>
  <si>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</si>
  <si>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</si>
  <si>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</si>
  <si>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</si>
  <si>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</si>
  <si>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</si>
  <si>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</si>
  <si>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</si>
  <si>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</si>
  <si>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</si>
  <si>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</si>
  <si>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</si>
  <si>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</si>
  <si>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</si>
  <si>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</si>
  <si>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</si>
  <si>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</si>
  <si>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</si>
  <si>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</si>
  <si>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</si>
  <si>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</si>
  <si>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</si>
  <si>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</si>
  <si>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</si>
  <si>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</si>
  <si>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</si>
  <si>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</si>
  <si>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</si>
  <si>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</si>
  <si>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</si>
  <si>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</si>
  <si>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</si>
  <si>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</si>
  <si>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</si>
  <si>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</si>
  <si>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</si>
  <si>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</si>
  <si>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</si>
  <si>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</si>
  <si>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</si>
  <si>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</si>
  <si>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</si>
  <si>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</si>
  <si>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</si>
  <si>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</si>
  <si>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</si>
  <si>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</si>
  <si>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</si>
  <si>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</si>
  <si>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</si>
  <si>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</si>
  <si>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</si>
  <si>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</si>
  <si>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</si>
  <si>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</si>
  <si>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</si>
  <si>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</si>
  <si>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</si>
  <si>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</si>
  <si>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</si>
  <si>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</si>
  <si>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</si>
  <si>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</si>
  <si>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</si>
  <si>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</si>
  <si>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</si>
  <si>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</si>
  <si>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</si>
  <si>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</si>
  <si>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</si>
  <si>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</si>
  <si>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</si>
  <si>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</si>
  <si>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</si>
  <si>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</si>
  <si>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</si>
  <si>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</si>
  <si>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</si>
  <si>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</si>
  <si>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</si>
  <si>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</si>
  <si>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</si>
  <si>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</si>
  <si>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</si>
  <si>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</si>
  <si>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</si>
  <si>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</si>
  <si>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</si>
  <si>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</si>
  <si>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</si>
  <si>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</si>
  <si>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</si>
  <si>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</si>
  <si>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</si>
  <si>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</si>
  <si>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</si>
  <si>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</si>
  <si>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</si>
  <si>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</si>
  <si>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</si>
  <si>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</si>
  <si>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</si>
  <si>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</si>
  <si>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</si>
  <si>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</si>
  <si>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</si>
  <si>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</si>
  <si>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</si>
  <si>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</si>
  <si>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</si>
  <si>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</si>
  <si>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</si>
  <si>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</si>
  <si>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</si>
  <si>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</si>
  <si>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</si>
  <si>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</si>
  <si>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</si>
  <si>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</si>
  <si>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</si>
  <si>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</si>
  <si>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</si>
  <si>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</si>
  <si>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</si>
  <si>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</si>
  <si>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</si>
  <si>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</si>
  <si>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</si>
  <si>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</si>
  <si>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</si>
  <si>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</si>
  <si>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</si>
  <si>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</si>
  <si>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</si>
  <si>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</si>
  <si>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</si>
  <si>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</si>
  <si>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</si>
  <si>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</si>
  <si>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</si>
  <si>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</si>
  <si>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</si>
  <si>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</si>
  <si>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</si>
  <si>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</si>
  <si>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</si>
  <si>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</si>
  <si>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</si>
  <si>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</si>
  <si>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</si>
  <si>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</si>
  <si>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</si>
  <si>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</si>
  <si>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</si>
  <si>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</si>
  <si>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</si>
  <si>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</si>
  <si>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</si>
  <si>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</si>
  <si>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</si>
  <si>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</si>
  <si>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</si>
  <si>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</si>
  <si>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</si>
  <si>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</si>
  <si>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</si>
  <si>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</si>
  <si>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</si>
  <si>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</si>
  <si>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</si>
  <si>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</si>
  <si>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</si>
  <si>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</si>
  <si>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</si>
  <si>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</si>
  <si>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</si>
  <si>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</si>
  <si>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</si>
  <si>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</si>
  <si>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</si>
  <si>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</si>
  <si>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</si>
  <si>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</si>
  <si>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</si>
  <si>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</si>
  <si>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</si>
  <si>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</si>
  <si>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</si>
  <si>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</si>
  <si>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</si>
  <si>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</si>
  <si>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</si>
  <si>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</si>
  <si>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</si>
  <si>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</si>
  <si>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</si>
  <si>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</si>
  <si>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</si>
  <si>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</si>
  <si>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</si>
  <si>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</si>
  <si>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</si>
  <si>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</si>
  <si>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</si>
  <si>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</si>
  <si>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</si>
  <si>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</si>
  <si>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</si>
  <si>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</si>
  <si>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</si>
  <si>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</si>
  <si>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</si>
  <si>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</si>
  <si>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</si>
  <si>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</si>
  <si>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</si>
  <si>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</si>
  <si>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</si>
  <si>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</si>
  <si>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</si>
  <si>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</si>
  <si>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</si>
  <si>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</si>
  <si>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</si>
  <si>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</si>
  <si>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</si>
  <si>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</si>
  <si>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</si>
  <si>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</si>
  <si>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</si>
  <si>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</si>
  <si>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</si>
  <si>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</si>
  <si>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</si>
  <si>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</si>
  <si>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</si>
  <si>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</si>
  <si>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</si>
  <si>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</si>
  <si>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</si>
  <si>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</si>
  <si>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</si>
  <si>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</si>
  <si>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</si>
  <si>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</si>
  <si>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</si>
  <si>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</si>
  <si>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</si>
  <si>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</si>
  <si>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</si>
  <si>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</si>
  <si>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</si>
  <si>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</si>
  <si>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</si>
  <si>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</si>
  <si>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</si>
  <si>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</si>
  <si>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</si>
  <si>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</si>
  <si>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</si>
  <si>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</si>
  <si>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</si>
  <si>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</si>
  <si>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</si>
  <si>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</si>
  <si>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</si>
  <si>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</si>
  <si>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</si>
  <si>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</si>
  <si>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</si>
  <si>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</si>
  <si>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</si>
  <si>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</si>
  <si>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</si>
  <si>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</si>
  <si>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</si>
  <si>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</si>
  <si>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</si>
  <si>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</si>
  <si>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</si>
  <si>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</si>
  <si>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</si>
  <si>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</si>
  <si>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</si>
  <si>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</si>
  <si>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</si>
  <si>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</si>
  <si>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</si>
  <si>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</si>
  <si>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</si>
  <si>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</si>
  <si>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</si>
  <si>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</si>
  <si>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</si>
  <si>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</si>
  <si>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</si>
  <si>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</si>
  <si>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</si>
  <si>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</si>
  <si>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</si>
  <si>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</si>
  <si>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</si>
  <si>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</si>
  <si>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</si>
  <si>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</si>
  <si>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</si>
  <si>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</si>
  <si>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</si>
  <si>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</si>
  <si>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</si>
  <si>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</si>
  <si>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</si>
  <si>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</si>
  <si>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</si>
  <si>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</si>
  <si>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</si>
  <si>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</si>
  <si>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</si>
  <si>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</si>
  <si>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</si>
  <si>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</si>
  <si>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</si>
  <si>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</si>
  <si>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</si>
  <si>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</si>
  <si>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</si>
  <si>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</si>
  <si>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</si>
  <si>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</si>
  <si>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</si>
  <si>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</si>
  <si>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</si>
  <si>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</si>
  <si>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</si>
  <si>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</si>
  <si>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</si>
  <si>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</si>
  <si>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</si>
  <si>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</si>
  <si>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</si>
  <si>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</si>
  <si>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</si>
  <si>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</si>
  <si>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</si>
  <si>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</si>
  <si>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</si>
  <si>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</si>
  <si>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</si>
  <si>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</si>
  <si>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</si>
  <si>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</si>
  <si>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</si>
  <si>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</si>
  <si>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</si>
  <si>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</si>
  <si>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</si>
  <si>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</si>
  <si>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</si>
  <si>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</si>
  <si>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</si>
  <si>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</si>
  <si>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</si>
  <si>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</si>
  <si>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</si>
  <si>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</si>
  <si>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</si>
  <si>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</si>
  <si>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</si>
  <si>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</si>
  <si>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</si>
  <si>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</si>
  <si>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</si>
  <si>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</si>
  <si>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</si>
  <si>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</si>
  <si>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</si>
  <si>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</si>
  <si>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</si>
  <si>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</si>
  <si>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</si>
  <si>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</si>
  <si>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</si>
  <si>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</si>
  <si>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</si>
  <si>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</si>
  <si>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</si>
  <si>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</si>
  <si>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</si>
  <si>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</si>
  <si>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</si>
  <si>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</si>
  <si>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</si>
  <si>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</si>
  <si>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</si>
  <si>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</si>
  <si>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</si>
  <si>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</si>
  <si>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</si>
  <si>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</si>
  <si>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</si>
  <si>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</si>
  <si>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</si>
  <si>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</si>
  <si>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</si>
  <si>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</si>
  <si>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</si>
  <si>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</si>
  <si>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</si>
  <si>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</si>
  <si>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</si>
  <si>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</si>
  <si>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</si>
  <si>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</si>
  <si>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</si>
  <si>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</si>
  <si>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</si>
  <si>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</si>
  <si>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</si>
  <si>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</si>
  <si>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</si>
  <si>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</si>
  <si>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</si>
  <si>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</si>
  <si>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</si>
  <si>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</si>
  <si>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</si>
  <si>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</si>
  <si>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</si>
  <si>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</si>
  <si>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</si>
  <si>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</si>
  <si>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</si>
  <si>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</si>
  <si>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</si>
  <si>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</si>
  <si>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</si>
  <si>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</si>
  <si>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</si>
  <si>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</si>
  <si>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</si>
  <si>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</si>
  <si>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</si>
  <si>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</si>
  <si>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</si>
  <si>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</si>
  <si>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</si>
  <si>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</si>
  <si>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</si>
  <si>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</si>
  <si>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</si>
  <si>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</si>
  <si>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</si>
  <si>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</si>
  <si>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</si>
  <si>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</si>
  <si>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</si>
  <si>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</si>
  <si>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</si>
  <si>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</si>
  <si>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</si>
  <si>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</si>
  <si>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</si>
  <si>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</si>
  <si>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</si>
  <si>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</si>
  <si>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</si>
  <si>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</si>
  <si>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</si>
  <si>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</si>
  <si>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</si>
  <si>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</si>
  <si>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</si>
  <si>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</si>
  <si>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</si>
  <si>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</si>
  <si>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</si>
  <si>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</si>
  <si>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</si>
  <si>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</si>
  <si>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</si>
  <si>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</si>
  <si>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</si>
  <si>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</si>
  <si>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</si>
  <si>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</si>
  <si>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</si>
  <si>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</si>
  <si>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</si>
  <si>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</si>
  <si>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</si>
  <si>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</si>
  <si>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</si>
  <si>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</si>
  <si>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</si>
  <si>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</si>
  <si>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</si>
  <si>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</si>
  <si>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</si>
  <si>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</si>
  <si>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</si>
  <si>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</si>
  <si>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</si>
  <si>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</si>
  <si>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</si>
  <si>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</si>
  <si>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</si>
  <si>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</si>
  <si>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</si>
  <si>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</si>
  <si>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</si>
  <si>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</si>
  <si>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</si>
  <si>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</si>
  <si>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</si>
  <si>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</si>
  <si>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</si>
  <si>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</si>
  <si>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</si>
  <si>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</si>
  <si>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</si>
  <si>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</si>
  <si>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</si>
  <si>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</si>
  <si>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</si>
  <si>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</si>
  <si>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</si>
  <si>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</si>
  <si>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</si>
  <si>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</si>
  <si>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</si>
  <si>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</si>
  <si>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</si>
  <si>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</si>
  <si>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</si>
  <si>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</si>
  <si>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</si>
  <si>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</si>
  <si>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</si>
  <si>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</si>
  <si>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</si>
  <si>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</si>
  <si>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</si>
  <si>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</si>
  <si>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</si>
  <si>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</si>
  <si>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</si>
  <si>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</si>
  <si>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</si>
  <si>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</si>
  <si>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</si>
  <si>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</si>
  <si>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</si>
  <si>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</si>
  <si>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</si>
  <si>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</si>
  <si>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</si>
  <si>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</si>
  <si>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</si>
  <si>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</si>
  <si>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</si>
  <si>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</si>
  <si>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</si>
  <si>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</si>
  <si>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</si>
  <si>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</si>
  <si>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</si>
  <si>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</si>
  <si>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</si>
  <si>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</si>
  <si>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</si>
  <si>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</si>
  <si>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</si>
  <si>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</si>
  <si>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</si>
  <si>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</si>
  <si>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</si>
  <si>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</si>
  <si>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</si>
  <si>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</si>
  <si>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</si>
  <si>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</si>
  <si>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</si>
  <si>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</si>
  <si>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</si>
  <si>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</si>
  <si>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</si>
  <si>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</si>
  <si>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</si>
  <si>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</si>
  <si>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</si>
  <si>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</si>
  <si>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</si>
  <si>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</si>
  <si>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</si>
  <si>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</si>
  <si>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</si>
  <si>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</si>
  <si>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</si>
  <si>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</si>
  <si>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</si>
  <si>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</si>
  <si>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</si>
  <si>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</si>
  <si>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</si>
  <si>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</si>
  <si>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</si>
  <si>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</si>
  <si>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</si>
  <si>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</si>
  <si>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</si>
  <si>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</si>
  <si>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</si>
  <si>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</si>
  <si>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</si>
  <si>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</si>
  <si>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</si>
  <si>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</si>
  <si>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</si>
  <si>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</si>
  <si>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</si>
  <si>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12/31/2018</t>
  </si>
  <si>
    <t>106</t>
  </si>
  <si>
    <t>CASCADE VALLEY HOSPITAL</t>
  </si>
  <si>
    <t>330 S. STILLAGUAMISH AVE.</t>
  </si>
  <si>
    <t>ARLINGTON, WA  98223</t>
  </si>
  <si>
    <t xml:space="preserve">SNOHOMISH </t>
  </si>
  <si>
    <t>Brian Ivie</t>
  </si>
  <si>
    <t>Paul Ishizuka</t>
  </si>
  <si>
    <t>Bruce Lisser</t>
  </si>
  <si>
    <t>(360)445-8514</t>
  </si>
  <si>
    <t>(360)445-8522</t>
  </si>
  <si>
    <t>12/31/2017</t>
  </si>
  <si>
    <t>SRH began operating June 2016, 2017 is the first full year of operation.</t>
  </si>
  <si>
    <t>SRH began operating June 2016, 2017 is the first full year of operation. Purchsed MRI equipment May 2017, eliminating approximately $36k/mo in Purchased Outside Services.</t>
  </si>
  <si>
    <t>SRH began operating June 2016, 2017 is the first full year of operation.  Change in EHR in 2017 caused volumes to change.</t>
  </si>
  <si>
    <t>SRH began operating June 2016, 2017 is the first full year of operation. Visits increased in 2017.</t>
  </si>
  <si>
    <t>2016 had a partial year and 2017 had a full year of Plant expenses.</t>
  </si>
  <si>
    <t>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</si>
</sst>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4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288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49" fontId="9" fillId="4" borderId="1" xfId="0" applyNumberFormat="1" applyFont="1" applyFill="1" applyBorder="1" applyAlignment="1" applyProtection="1">
      <alignment horizontal="left"/>
      <protection locked="0"/>
    </xf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49" fontId="9" fillId="4" borderId="1" xfId="0" quotePrefix="1" applyNumberFormat="1" applyFont="1" applyFill="1" applyBorder="1" applyAlignment="1" applyProtection="1">
      <protection locked="0"/>
    </xf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37" fontId="3" fillId="0" borderId="0" xfId="0" quotePrefix="1" applyFont="1" applyProtection="1">
      <protection locked="0"/>
    </xf>
    <xf numFmtId="37" fontId="9" fillId="3" borderId="0" xfId="0" applyFont="1" applyFill="1" applyAlignment="1" applyProtection="1">
      <alignment horizontal="center" vertical="center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55" transitionEvaluation="1" transitionEntry="1" codeName="Sheet1">
    <pageSetUpPr autoPageBreaks="0" fitToPage="1"/>
  </sheetPr>
  <dimension ref="A1:CF719"/>
  <sheetViews>
    <sheetView showGridLines="0" tabSelected="1" topLeftCell="A55" zoomScale="80" zoomScaleNormal="80" workbookViewId="0">
      <selection activeCell="F727" sqref="F727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3" t="s">
        <v>1259</v>
      </c>
    </row>
    <row r="17" spans="1:6" ht="12.75" customHeight="1" x14ac:dyDescent="0.25">
      <c r="A17" s="180" t="s">
        <v>1230</v>
      </c>
      <c r="C17" s="283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>
        <v>4589658</v>
      </c>
      <c r="C48" s="245">
        <f>ROUND(((B48/CE61)*C61),0)</f>
        <v>211062</v>
      </c>
      <c r="D48" s="245">
        <f>ROUND(((B48/CE61)*D61),0)</f>
        <v>0</v>
      </c>
      <c r="E48" s="195">
        <f>ROUND(((B48/CE61)*E61),0)</f>
        <v>576556</v>
      </c>
      <c r="F48" s="195">
        <f>ROUND(((B48/CE61)*F61),0)</f>
        <v>293815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252330</v>
      </c>
      <c r="Q48" s="195">
        <f>ROUND(((B48/CE61)*Q61),0)</f>
        <v>136152</v>
      </c>
      <c r="R48" s="195">
        <f>ROUND(((B48/CE61)*R61),0)</f>
        <v>12917</v>
      </c>
      <c r="S48" s="195">
        <f>ROUND(((B48/CE61)*S61),0)</f>
        <v>21394</v>
      </c>
      <c r="T48" s="195">
        <f>ROUND(((B48/CE61)*T61),0)</f>
        <v>3832</v>
      </c>
      <c r="U48" s="195">
        <f>ROUND(((B48/CE61)*U61),0)</f>
        <v>173904</v>
      </c>
      <c r="V48" s="195">
        <f>ROUND(((B48/CE61)*V61),0)</f>
        <v>0</v>
      </c>
      <c r="W48" s="195">
        <f>ROUND(((B48/CE61)*W61),0)</f>
        <v>66</v>
      </c>
      <c r="X48" s="195">
        <f>ROUND(((B48/CE61)*X61),0)</f>
        <v>22584</v>
      </c>
      <c r="Y48" s="195">
        <f>ROUND(((B48/CE61)*Y61),0)</f>
        <v>288755</v>
      </c>
      <c r="Z48" s="195">
        <f>ROUND(((B48/CE61)*Z61),0)</f>
        <v>0</v>
      </c>
      <c r="AA48" s="195">
        <f>ROUND(((B48/CE61)*AA61),0)</f>
        <v>22330</v>
      </c>
      <c r="AB48" s="195">
        <f>ROUND(((B48/CE61)*AB61),0)</f>
        <v>144651</v>
      </c>
      <c r="AC48" s="195">
        <f>ROUND(((B48/CE61)*AC61),0)</f>
        <v>104930</v>
      </c>
      <c r="AD48" s="195">
        <f>ROUND(((B48/CE61)*AD61),0)</f>
        <v>0</v>
      </c>
      <c r="AE48" s="195">
        <f>ROUND(((B48/CE61)*AE61),0)</f>
        <v>17812</v>
      </c>
      <c r="AF48" s="195">
        <f>ROUND(((B48/CE61)*AF61),0)</f>
        <v>0</v>
      </c>
      <c r="AG48" s="195">
        <f>ROUND(((B48/CE61)*AG61),0)</f>
        <v>558724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3410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58638</v>
      </c>
      <c r="AP48" s="195">
        <f>ROUND(((B48/CE61)*AP61),0)</f>
        <v>800168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116427</v>
      </c>
      <c r="AZ48" s="195">
        <f>ROUND(((B48/CE61)*AZ61),0)</f>
        <v>0</v>
      </c>
      <c r="BA48" s="195">
        <f>ROUND(((B48/CE61)*BA61),0)</f>
        <v>7386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36703</v>
      </c>
      <c r="BE48" s="195">
        <f>ROUND(((B48/CE61)*BE61),0)</f>
        <v>59639</v>
      </c>
      <c r="BF48" s="195">
        <f>ROUND(((B48/CE61)*BF61),0)</f>
        <v>85388</v>
      </c>
      <c r="BG48" s="195">
        <f>ROUND(((B48/CE61)*BG61),0)</f>
        <v>15030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87469</v>
      </c>
      <c r="BM48" s="195">
        <f>ROUND(((B48/CE61)*BM61),0)</f>
        <v>0</v>
      </c>
      <c r="BN48" s="195">
        <f>ROUND(((B48/CE61)*BN61),0)</f>
        <v>60664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90237</v>
      </c>
      <c r="BW48" s="195">
        <f>ROUND(((B48/CE61)*BW61),0)</f>
        <v>23243</v>
      </c>
      <c r="BX48" s="195">
        <f>ROUND(((B48/CE61)*BX61),0)</f>
        <v>33533</v>
      </c>
      <c r="BY48" s="195">
        <f>ROUND(((B48/CE61)*BY61),0)</f>
        <v>200990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68921</v>
      </c>
      <c r="CD48" s="195"/>
      <c r="CE48" s="195">
        <f>SUM(C48:CD48)</f>
        <v>4589660</v>
      </c>
    </row>
    <row r="49" spans="1:84" ht="12.6" customHeight="1" x14ac:dyDescent="0.25">
      <c r="A49" s="175" t="s">
        <v>206</v>
      </c>
      <c r="B49" s="195">
        <f>B47+B48</f>
        <v>4589658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184">
        <v>542805</v>
      </c>
      <c r="C52" s="195">
        <f>ROUND((B52/(CE76+CF76)*C76),0)</f>
        <v>22497</v>
      </c>
      <c r="D52" s="195">
        <f>ROUND((B52/(CE76+CF76)*D76),0)</f>
        <v>0</v>
      </c>
      <c r="E52" s="195">
        <f>ROUND((B52/(CE76+CF76)*E76),0)</f>
        <v>35842</v>
      </c>
      <c r="F52" s="195">
        <f>ROUND((B52/(CE76+CF76)*F76),0)</f>
        <v>21902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990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5971</v>
      </c>
      <c r="P52" s="195">
        <f>ROUND((B52/(CE76+CF76)*P76),0)</f>
        <v>29634</v>
      </c>
      <c r="Q52" s="195">
        <f>ROUND((B52/(CE76+CF76)*Q76),0)</f>
        <v>4774</v>
      </c>
      <c r="R52" s="195">
        <f>ROUND((B52/(CE76+CF76)*R76),0)</f>
        <v>984</v>
      </c>
      <c r="S52" s="195">
        <f>ROUND((B52/(CE76+CF76)*S76),0)</f>
        <v>9032</v>
      </c>
      <c r="T52" s="195">
        <f>ROUND((B52/(CE76+CF76)*T76),0)</f>
        <v>1500</v>
      </c>
      <c r="U52" s="195">
        <f>ROUND((B52/(CE76+CF76)*U76),0)</f>
        <v>11540</v>
      </c>
      <c r="V52" s="195">
        <f>ROUND((B52/(CE76+CF76)*V76),0)</f>
        <v>522</v>
      </c>
      <c r="W52" s="195">
        <f>ROUND((B52/(CE76+CF76)*W76),0)</f>
        <v>0</v>
      </c>
      <c r="X52" s="195">
        <f>ROUND((B52/(CE76+CF76)*X76),0)</f>
        <v>2928</v>
      </c>
      <c r="Y52" s="195">
        <f>ROUND((B52/(CE76+CF76)*Y76),0)</f>
        <v>24083</v>
      </c>
      <c r="Z52" s="195">
        <f>ROUND((B52/(CE76+CF76)*Z76),0)</f>
        <v>0</v>
      </c>
      <c r="AA52" s="195">
        <f>ROUND((B52/(CE76+CF76)*AA76),0)</f>
        <v>3395</v>
      </c>
      <c r="AB52" s="195">
        <f>ROUND((B52/(CE76+CF76)*AB76),0)</f>
        <v>5837</v>
      </c>
      <c r="AC52" s="195">
        <f>ROUND((B52/(CE76+CF76)*AC76),0)</f>
        <v>5570</v>
      </c>
      <c r="AD52" s="195">
        <f>ROUND((B52/(CE76+CF76)*AD76),0)</f>
        <v>0</v>
      </c>
      <c r="AE52" s="195">
        <f>ROUND((B52/(CE76+CF76)*AE76),0)</f>
        <v>11091</v>
      </c>
      <c r="AF52" s="195">
        <f>ROUND((B52/(CE76+CF76)*AF76),0)</f>
        <v>0</v>
      </c>
      <c r="AG52" s="195">
        <f>ROUND((B52/(CE76+CF76)*AG76),0)</f>
        <v>54786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1312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11984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577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29391</v>
      </c>
      <c r="AZ52" s="195">
        <f>ROUND((B52/(CE76+CF76)*AZ76),0)</f>
        <v>0</v>
      </c>
      <c r="BA52" s="195">
        <f>ROUND((B52/(CE76+CF76)*BA76),0)</f>
        <v>2253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9748</v>
      </c>
      <c r="BE52" s="195">
        <f>ROUND((B52/(CE76+CF76)*BE76),0)</f>
        <v>178607</v>
      </c>
      <c r="BF52" s="195">
        <f>ROUND((B52/(CE76+CF76)*BF76),0)</f>
        <v>2423</v>
      </c>
      <c r="BG52" s="195">
        <f>ROUND((B52/(CE76+CF76)*BG76),0)</f>
        <v>1014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5023</v>
      </c>
      <c r="BM52" s="195">
        <f>ROUND((B52/(CE76+CF76)*BM76),0)</f>
        <v>0</v>
      </c>
      <c r="BN52" s="195">
        <f>ROUND((B52/(CE76+CF76)*BN76),0)</f>
        <v>21337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11243</v>
      </c>
      <c r="BW52" s="195">
        <f>ROUND((B52/(CE76+CF76)*BW76),0)</f>
        <v>3328</v>
      </c>
      <c r="BX52" s="195">
        <f>ROUND((B52/(CE76+CF76)*BX76),0)</f>
        <v>5594</v>
      </c>
      <c r="BY52" s="195">
        <f>ROUND((B52/(CE76+CF76)*BY76),0)</f>
        <v>1816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4276</v>
      </c>
      <c r="CD52" s="195"/>
      <c r="CE52" s="195">
        <f>SUM(C52:CD52)</f>
        <v>542804</v>
      </c>
    </row>
    <row r="53" spans="1:84" ht="12.6" customHeight="1" x14ac:dyDescent="0.25">
      <c r="A53" s="175" t="s">
        <v>206</v>
      </c>
      <c r="B53" s="195">
        <f>B51+B52</f>
        <v>542805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184">
        <v>1656</v>
      </c>
      <c r="D59" s="184"/>
      <c r="E59" s="184">
        <v>3711</v>
      </c>
      <c r="F59" s="184">
        <v>290</v>
      </c>
      <c r="G59" s="184"/>
      <c r="H59" s="184"/>
      <c r="I59" s="184"/>
      <c r="J59" s="184">
        <v>258</v>
      </c>
      <c r="K59" s="184"/>
      <c r="L59" s="184"/>
      <c r="M59" s="184"/>
      <c r="N59" s="184"/>
      <c r="O59" s="184">
        <v>135</v>
      </c>
      <c r="P59" s="185">
        <v>125991</v>
      </c>
      <c r="Q59" s="185">
        <v>69922</v>
      </c>
      <c r="R59" s="185">
        <v>126995</v>
      </c>
      <c r="S59" s="248"/>
      <c r="T59" s="248"/>
      <c r="U59" s="224">
        <v>111782</v>
      </c>
      <c r="V59" s="185"/>
      <c r="W59" s="185">
        <v>8593</v>
      </c>
      <c r="X59" s="185">
        <v>37259</v>
      </c>
      <c r="Y59" s="185">
        <f>11933+20967+4173</f>
        <v>37073</v>
      </c>
      <c r="Z59" s="185"/>
      <c r="AA59" s="185">
        <v>3048</v>
      </c>
      <c r="AB59" s="248"/>
      <c r="AC59" s="185">
        <v>9976</v>
      </c>
      <c r="AD59" s="185"/>
      <c r="AE59" s="185">
        <v>1055</v>
      </c>
      <c r="AF59" s="185"/>
      <c r="AG59" s="185">
        <v>17270</v>
      </c>
      <c r="AH59" s="185"/>
      <c r="AI59" s="185"/>
      <c r="AJ59" s="185"/>
      <c r="AK59" s="185"/>
      <c r="AL59" s="185"/>
      <c r="AM59" s="185"/>
      <c r="AN59" s="185"/>
      <c r="AO59" s="185">
        <v>1328.5</v>
      </c>
      <c r="AP59" s="185">
        <v>20568</v>
      </c>
      <c r="AQ59" s="185"/>
      <c r="AR59" s="185"/>
      <c r="AS59" s="185"/>
      <c r="AT59" s="185"/>
      <c r="AU59" s="185"/>
      <c r="AV59" s="248"/>
      <c r="AW59" s="248"/>
      <c r="AX59" s="248"/>
      <c r="AY59" s="185">
        <v>112604</v>
      </c>
      <c r="AZ59" s="185"/>
      <c r="BA59" s="248"/>
      <c r="BB59" s="248"/>
      <c r="BC59" s="248"/>
      <c r="BD59" s="248"/>
      <c r="BE59" s="185">
        <v>89368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186">
        <v>12.86</v>
      </c>
      <c r="D60" s="187"/>
      <c r="E60" s="187">
        <v>46.51</v>
      </c>
      <c r="F60" s="223">
        <v>13.02</v>
      </c>
      <c r="G60" s="187"/>
      <c r="H60" s="187"/>
      <c r="I60" s="187"/>
      <c r="J60" s="223"/>
      <c r="K60" s="187"/>
      <c r="L60" s="187"/>
      <c r="M60" s="187"/>
      <c r="N60" s="187"/>
      <c r="O60" s="187"/>
      <c r="P60" s="221">
        <v>12.85</v>
      </c>
      <c r="Q60" s="221">
        <v>4.5999999999999996</v>
      </c>
      <c r="R60" s="221">
        <v>1.02</v>
      </c>
      <c r="S60" s="221">
        <v>3.87</v>
      </c>
      <c r="T60" s="221">
        <v>0.04</v>
      </c>
      <c r="U60" s="221">
        <v>13.11</v>
      </c>
      <c r="V60" s="221"/>
      <c r="W60" s="221"/>
      <c r="X60" s="221">
        <v>1</v>
      </c>
      <c r="Y60" s="221">
        <v>15.49</v>
      </c>
      <c r="Z60" s="221"/>
      <c r="AA60" s="221">
        <v>1.01</v>
      </c>
      <c r="AB60" s="221">
        <v>5.68</v>
      </c>
      <c r="AC60" s="221">
        <v>5.81</v>
      </c>
      <c r="AD60" s="221"/>
      <c r="AE60" s="221">
        <v>0.91</v>
      </c>
      <c r="AF60" s="221"/>
      <c r="AG60" s="221">
        <v>30.74</v>
      </c>
      <c r="AH60" s="221"/>
      <c r="AI60" s="221"/>
      <c r="AJ60" s="221">
        <v>0.19</v>
      </c>
      <c r="AK60" s="221"/>
      <c r="AL60" s="221"/>
      <c r="AM60" s="221"/>
      <c r="AN60" s="221"/>
      <c r="AO60" s="221">
        <v>3.16</v>
      </c>
      <c r="AP60" s="221">
        <v>24.740000000000002</v>
      </c>
      <c r="AQ60" s="221"/>
      <c r="AR60" s="221"/>
      <c r="AS60" s="221"/>
      <c r="AT60" s="221"/>
      <c r="AU60" s="221"/>
      <c r="AV60" s="267"/>
      <c r="AW60" s="221"/>
      <c r="AX60" s="221"/>
      <c r="AY60" s="221">
        <v>12.95</v>
      </c>
      <c r="AZ60" s="221"/>
      <c r="BA60" s="221">
        <v>1.05</v>
      </c>
      <c r="BB60" s="221"/>
      <c r="BC60" s="221"/>
      <c r="BD60" s="221">
        <v>4.04</v>
      </c>
      <c r="BE60" s="221">
        <v>4.01</v>
      </c>
      <c r="BF60" s="221">
        <v>9.48</v>
      </c>
      <c r="BG60" s="221"/>
      <c r="BH60" s="221"/>
      <c r="BI60" s="221"/>
      <c r="BJ60" s="221"/>
      <c r="BK60" s="221"/>
      <c r="BL60" s="221">
        <v>9.81</v>
      </c>
      <c r="BM60" s="221"/>
      <c r="BN60" s="221">
        <v>3.01</v>
      </c>
      <c r="BO60" s="221"/>
      <c r="BP60" s="221"/>
      <c r="BQ60" s="221"/>
      <c r="BR60" s="221"/>
      <c r="BS60" s="221"/>
      <c r="BT60" s="221"/>
      <c r="BU60" s="221"/>
      <c r="BV60" s="221">
        <v>7.84</v>
      </c>
      <c r="BW60" s="221">
        <v>1</v>
      </c>
      <c r="BX60" s="221">
        <v>2</v>
      </c>
      <c r="BY60" s="221">
        <v>8.14</v>
      </c>
      <c r="BZ60" s="221"/>
      <c r="CA60" s="221"/>
      <c r="CB60" s="221"/>
      <c r="CC60" s="221">
        <v>2.85</v>
      </c>
      <c r="CD60" s="249" t="s">
        <v>221</v>
      </c>
      <c r="CE60" s="251">
        <f t="shared" ref="CE60:CE70" si="0">SUM(C60:CD60)</f>
        <v>262.79000000000002</v>
      </c>
    </row>
    <row r="61" spans="1:84" ht="12.6" customHeight="1" x14ac:dyDescent="0.25">
      <c r="A61" s="171" t="s">
        <v>235</v>
      </c>
      <c r="B61" s="175"/>
      <c r="C61" s="184">
        <v>975253</v>
      </c>
      <c r="D61" s="184"/>
      <c r="E61" s="184">
        <v>2664089</v>
      </c>
      <c r="F61" s="185">
        <v>1357629</v>
      </c>
      <c r="G61" s="184"/>
      <c r="H61" s="184"/>
      <c r="I61" s="185"/>
      <c r="J61" s="185"/>
      <c r="K61" s="185"/>
      <c r="L61" s="185"/>
      <c r="M61" s="184"/>
      <c r="N61" s="184"/>
      <c r="O61" s="184"/>
      <c r="P61" s="185">
        <v>1165938</v>
      </c>
      <c r="Q61" s="185">
        <v>629115</v>
      </c>
      <c r="R61" s="185">
        <v>59684</v>
      </c>
      <c r="S61" s="185">
        <v>98853</v>
      </c>
      <c r="T61" s="185">
        <v>17706</v>
      </c>
      <c r="U61" s="185">
        <v>803556</v>
      </c>
      <c r="V61" s="185"/>
      <c r="W61" s="185">
        <v>304</v>
      </c>
      <c r="X61" s="185">
        <v>104353</v>
      </c>
      <c r="Y61" s="185">
        <f>920264+413982</f>
        <v>1334246</v>
      </c>
      <c r="Z61" s="185"/>
      <c r="AA61" s="185">
        <v>103179</v>
      </c>
      <c r="AB61" s="185">
        <v>668388</v>
      </c>
      <c r="AC61" s="185">
        <v>484848</v>
      </c>
      <c r="AD61" s="185"/>
      <c r="AE61" s="185">
        <v>82306</v>
      </c>
      <c r="AF61" s="185"/>
      <c r="AG61" s="185">
        <v>2581693</v>
      </c>
      <c r="AH61" s="185"/>
      <c r="AI61" s="185"/>
      <c r="AJ61" s="185">
        <v>15756</v>
      </c>
      <c r="AK61" s="185"/>
      <c r="AL61" s="185"/>
      <c r="AM61" s="185"/>
      <c r="AN61" s="185"/>
      <c r="AO61" s="185">
        <v>270949</v>
      </c>
      <c r="AP61" s="185">
        <f>910945+977010+689486+183117+832656+104116</f>
        <v>3697330</v>
      </c>
      <c r="AQ61" s="185"/>
      <c r="AR61" s="185"/>
      <c r="AS61" s="185"/>
      <c r="AT61" s="185"/>
      <c r="AU61" s="185"/>
      <c r="AV61" s="185"/>
      <c r="AW61" s="185"/>
      <c r="AX61" s="185"/>
      <c r="AY61" s="185">
        <v>537973</v>
      </c>
      <c r="AZ61" s="185"/>
      <c r="BA61" s="185">
        <v>34130</v>
      </c>
      <c r="BB61" s="185"/>
      <c r="BC61" s="185"/>
      <c r="BD61" s="185">
        <v>169594</v>
      </c>
      <c r="BE61" s="185">
        <v>275575</v>
      </c>
      <c r="BF61" s="185">
        <v>394551</v>
      </c>
      <c r="BG61" s="185">
        <v>69448</v>
      </c>
      <c r="BH61" s="185"/>
      <c r="BI61" s="185"/>
      <c r="BJ61" s="185"/>
      <c r="BK61" s="185"/>
      <c r="BL61" s="185">
        <v>404167</v>
      </c>
      <c r="BM61" s="185"/>
      <c r="BN61" s="185">
        <v>280308</v>
      </c>
      <c r="BO61" s="185"/>
      <c r="BP61" s="185"/>
      <c r="BQ61" s="185"/>
      <c r="BR61" s="185"/>
      <c r="BS61" s="185"/>
      <c r="BT61" s="185"/>
      <c r="BU61" s="185"/>
      <c r="BV61" s="185">
        <v>416956</v>
      </c>
      <c r="BW61" s="185">
        <v>107399</v>
      </c>
      <c r="BX61" s="185">
        <v>154946</v>
      </c>
      <c r="BY61" s="185">
        <v>928715</v>
      </c>
      <c r="BZ61" s="185"/>
      <c r="CA61" s="185"/>
      <c r="CB61" s="185"/>
      <c r="CC61" s="185">
        <v>318462</v>
      </c>
      <c r="CD61" s="249" t="s">
        <v>221</v>
      </c>
      <c r="CE61" s="195">
        <f t="shared" si="0"/>
        <v>21207399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211062</v>
      </c>
      <c r="D62" s="195">
        <f t="shared" si="1"/>
        <v>0</v>
      </c>
      <c r="E62" s="195">
        <f t="shared" si="1"/>
        <v>576556</v>
      </c>
      <c r="F62" s="195">
        <f t="shared" si="1"/>
        <v>293815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252330</v>
      </c>
      <c r="Q62" s="195">
        <f t="shared" si="1"/>
        <v>136152</v>
      </c>
      <c r="R62" s="195">
        <f t="shared" si="1"/>
        <v>12917</v>
      </c>
      <c r="S62" s="195">
        <f t="shared" si="1"/>
        <v>21394</v>
      </c>
      <c r="T62" s="195">
        <f t="shared" si="1"/>
        <v>3832</v>
      </c>
      <c r="U62" s="195">
        <f t="shared" si="1"/>
        <v>173904</v>
      </c>
      <c r="V62" s="195">
        <f t="shared" si="1"/>
        <v>0</v>
      </c>
      <c r="W62" s="195">
        <f t="shared" si="1"/>
        <v>66</v>
      </c>
      <c r="X62" s="195">
        <f t="shared" si="1"/>
        <v>22584</v>
      </c>
      <c r="Y62" s="195">
        <f t="shared" si="1"/>
        <v>288755</v>
      </c>
      <c r="Z62" s="195">
        <f t="shared" si="1"/>
        <v>0</v>
      </c>
      <c r="AA62" s="195">
        <f t="shared" si="1"/>
        <v>22330</v>
      </c>
      <c r="AB62" s="195">
        <f t="shared" si="1"/>
        <v>144651</v>
      </c>
      <c r="AC62" s="195">
        <f t="shared" si="1"/>
        <v>104930</v>
      </c>
      <c r="AD62" s="195">
        <f t="shared" si="1"/>
        <v>0</v>
      </c>
      <c r="AE62" s="195">
        <f t="shared" si="1"/>
        <v>17812</v>
      </c>
      <c r="AF62" s="195">
        <f t="shared" si="1"/>
        <v>0</v>
      </c>
      <c r="AG62" s="195">
        <f t="shared" si="1"/>
        <v>558724</v>
      </c>
      <c r="AH62" s="195">
        <f t="shared" si="1"/>
        <v>0</v>
      </c>
      <c r="AI62" s="195">
        <f t="shared" si="1"/>
        <v>0</v>
      </c>
      <c r="AJ62" s="195">
        <f t="shared" si="1"/>
        <v>3410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58638</v>
      </c>
      <c r="AP62" s="195">
        <f t="shared" si="1"/>
        <v>800168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116427</v>
      </c>
      <c r="AZ62" s="195">
        <f>ROUND(AZ47+AZ48,0)</f>
        <v>0</v>
      </c>
      <c r="BA62" s="195">
        <f>ROUND(BA47+BA48,0)</f>
        <v>7386</v>
      </c>
      <c r="BB62" s="195">
        <f t="shared" si="1"/>
        <v>0</v>
      </c>
      <c r="BC62" s="195">
        <f t="shared" si="1"/>
        <v>0</v>
      </c>
      <c r="BD62" s="195">
        <f t="shared" si="1"/>
        <v>36703</v>
      </c>
      <c r="BE62" s="195">
        <f t="shared" si="1"/>
        <v>59639</v>
      </c>
      <c r="BF62" s="195">
        <f t="shared" si="1"/>
        <v>85388</v>
      </c>
      <c r="BG62" s="195">
        <f t="shared" si="1"/>
        <v>15030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87469</v>
      </c>
      <c r="BM62" s="195">
        <f t="shared" si="1"/>
        <v>0</v>
      </c>
      <c r="BN62" s="195">
        <f t="shared" si="1"/>
        <v>60664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90237</v>
      </c>
      <c r="BW62" s="195">
        <f t="shared" si="2"/>
        <v>23243</v>
      </c>
      <c r="BX62" s="195">
        <f t="shared" si="2"/>
        <v>33533</v>
      </c>
      <c r="BY62" s="195">
        <f t="shared" si="2"/>
        <v>200990</v>
      </c>
      <c r="BZ62" s="195">
        <f t="shared" si="2"/>
        <v>0</v>
      </c>
      <c r="CA62" s="195">
        <f t="shared" si="2"/>
        <v>0</v>
      </c>
      <c r="CB62" s="195">
        <f t="shared" si="2"/>
        <v>0</v>
      </c>
      <c r="CC62" s="195">
        <f t="shared" si="2"/>
        <v>68921</v>
      </c>
      <c r="CD62" s="249" t="s">
        <v>221</v>
      </c>
      <c r="CE62" s="195">
        <f t="shared" si="0"/>
        <v>4589660</v>
      </c>
      <c r="CF62" s="252"/>
    </row>
    <row r="63" spans="1:84" ht="12.6" customHeight="1" x14ac:dyDescent="0.25">
      <c r="A63" s="171" t="s">
        <v>236</v>
      </c>
      <c r="B63" s="175"/>
      <c r="C63" s="184">
        <v>76569</v>
      </c>
      <c r="D63" s="184"/>
      <c r="E63" s="184">
        <v>175775</v>
      </c>
      <c r="F63" s="185">
        <v>136987</v>
      </c>
      <c r="G63" s="184"/>
      <c r="H63" s="184"/>
      <c r="I63" s="185"/>
      <c r="J63" s="185"/>
      <c r="K63" s="185"/>
      <c r="L63" s="185"/>
      <c r="M63" s="184"/>
      <c r="N63" s="184"/>
      <c r="O63" s="184"/>
      <c r="P63" s="185">
        <v>309057</v>
      </c>
      <c r="Q63" s="185">
        <v>39099</v>
      </c>
      <c r="R63" s="185">
        <v>858104</v>
      </c>
      <c r="S63" s="185">
        <v>93450</v>
      </c>
      <c r="T63" s="185"/>
      <c r="U63" s="185">
        <v>2457</v>
      </c>
      <c r="V63" s="185"/>
      <c r="W63" s="185"/>
      <c r="X63" s="185"/>
      <c r="Y63" s="185">
        <v>13947</v>
      </c>
      <c r="Z63" s="185"/>
      <c r="AA63" s="185"/>
      <c r="AB63" s="185"/>
      <c r="AC63" s="185"/>
      <c r="AD63" s="185"/>
      <c r="AE63" s="185"/>
      <c r="AF63" s="185"/>
      <c r="AG63" s="185">
        <v>941204</v>
      </c>
      <c r="AH63" s="185"/>
      <c r="AI63" s="185"/>
      <c r="AJ63" s="185"/>
      <c r="AK63" s="185"/>
      <c r="AL63" s="185"/>
      <c r="AM63" s="185"/>
      <c r="AN63" s="185"/>
      <c r="AO63" s="185"/>
      <c r="AP63" s="185">
        <f>28356+903637+136295+9165+595556</f>
        <v>1673009</v>
      </c>
      <c r="AQ63" s="185"/>
      <c r="AR63" s="185"/>
      <c r="AS63" s="185"/>
      <c r="AT63" s="185"/>
      <c r="AU63" s="185"/>
      <c r="AV63" s="185">
        <v>18300</v>
      </c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/>
      <c r="BK63" s="185"/>
      <c r="BL63" s="185"/>
      <c r="BM63" s="185"/>
      <c r="BN63" s="185"/>
      <c r="BO63" s="185"/>
      <c r="BP63" s="185"/>
      <c r="BQ63" s="185"/>
      <c r="BR63" s="185"/>
      <c r="BS63" s="185"/>
      <c r="BT63" s="185"/>
      <c r="BU63" s="185"/>
      <c r="BV63" s="185"/>
      <c r="BW63" s="185">
        <v>8730</v>
      </c>
      <c r="BX63" s="185"/>
      <c r="BY63" s="185"/>
      <c r="BZ63" s="185"/>
      <c r="CA63" s="185"/>
      <c r="CB63" s="185"/>
      <c r="CC63" s="185">
        <f>200209-104116</f>
        <v>96093</v>
      </c>
      <c r="CD63" s="249" t="s">
        <v>221</v>
      </c>
      <c r="CE63" s="195">
        <f t="shared" si="0"/>
        <v>4442781</v>
      </c>
      <c r="CF63" s="252"/>
    </row>
    <row r="64" spans="1:84" ht="12.6" customHeight="1" x14ac:dyDescent="0.25">
      <c r="A64" s="171" t="s">
        <v>237</v>
      </c>
      <c r="B64" s="175"/>
      <c r="C64" s="184">
        <v>124592</v>
      </c>
      <c r="D64" s="184"/>
      <c r="E64" s="185">
        <v>263288</v>
      </c>
      <c r="F64" s="185">
        <v>5735</v>
      </c>
      <c r="G64" s="184"/>
      <c r="H64" s="184"/>
      <c r="I64" s="185"/>
      <c r="J64" s="185">
        <v>1522</v>
      </c>
      <c r="K64" s="185"/>
      <c r="L64" s="185"/>
      <c r="M64" s="184"/>
      <c r="N64" s="184"/>
      <c r="O64" s="184">
        <v>52843</v>
      </c>
      <c r="P64" s="185">
        <v>2342474</v>
      </c>
      <c r="Q64" s="185">
        <v>8097</v>
      </c>
      <c r="R64" s="185">
        <v>50333</v>
      </c>
      <c r="S64" s="185">
        <v>135848</v>
      </c>
      <c r="T64" s="185">
        <v>36696</v>
      </c>
      <c r="U64" s="185">
        <v>849132</v>
      </c>
      <c r="V64" s="185">
        <v>11799</v>
      </c>
      <c r="W64" s="185">
        <v>4363</v>
      </c>
      <c r="X64" s="185">
        <v>66553</v>
      </c>
      <c r="Y64" s="185">
        <f>32348+16827+225</f>
        <v>49400</v>
      </c>
      <c r="Z64" s="185"/>
      <c r="AA64" s="185">
        <v>81467</v>
      </c>
      <c r="AB64" s="185">
        <v>938646</v>
      </c>
      <c r="AC64" s="185">
        <v>62410</v>
      </c>
      <c r="AD64" s="185"/>
      <c r="AE64" s="185">
        <v>1774</v>
      </c>
      <c r="AF64" s="185"/>
      <c r="AG64" s="185">
        <v>327453</v>
      </c>
      <c r="AH64" s="185"/>
      <c r="AI64" s="185"/>
      <c r="AJ64" s="185">
        <v>1</v>
      </c>
      <c r="AK64" s="185"/>
      <c r="AL64" s="185"/>
      <c r="AM64" s="185"/>
      <c r="AN64" s="185"/>
      <c r="AO64" s="185">
        <v>34625</v>
      </c>
      <c r="AP64" s="185">
        <f>112395+41498+28054+54145+126252</f>
        <v>362344</v>
      </c>
      <c r="AQ64" s="185"/>
      <c r="AR64" s="185"/>
      <c r="AS64" s="185"/>
      <c r="AT64" s="185"/>
      <c r="AU64" s="185"/>
      <c r="AV64" s="185">
        <v>421072</v>
      </c>
      <c r="AW64" s="185"/>
      <c r="AX64" s="185">
        <v>705</v>
      </c>
      <c r="AY64" s="185">
        <v>338525</v>
      </c>
      <c r="AZ64" s="185"/>
      <c r="BA64" s="185">
        <v>1679</v>
      </c>
      <c r="BB64" s="185"/>
      <c r="BC64" s="185">
        <v>4549</v>
      </c>
      <c r="BD64" s="185">
        <v>5097</v>
      </c>
      <c r="BE64" s="185">
        <v>77473</v>
      </c>
      <c r="BF64" s="185">
        <v>47883</v>
      </c>
      <c r="BG64" s="185">
        <v>200</v>
      </c>
      <c r="BH64" s="185"/>
      <c r="BI64" s="185"/>
      <c r="BJ64" s="185"/>
      <c r="BK64" s="185"/>
      <c r="BL64" s="185">
        <v>11903</v>
      </c>
      <c r="BM64" s="185"/>
      <c r="BN64" s="185">
        <v>2524</v>
      </c>
      <c r="BO64" s="185"/>
      <c r="BP64" s="185"/>
      <c r="BQ64" s="185"/>
      <c r="BR64" s="185"/>
      <c r="BS64" s="185"/>
      <c r="BT64" s="185"/>
      <c r="BU64" s="185"/>
      <c r="BV64" s="185">
        <v>675</v>
      </c>
      <c r="BW64" s="185">
        <v>4842</v>
      </c>
      <c r="BX64" s="185">
        <v>1789</v>
      </c>
      <c r="BY64" s="185">
        <v>13080</v>
      </c>
      <c r="BZ64" s="185"/>
      <c r="CA64" s="185"/>
      <c r="CB64" s="185"/>
      <c r="CC64" s="185">
        <f>13494+48548</f>
        <v>62042</v>
      </c>
      <c r="CD64" s="249" t="s">
        <v>221</v>
      </c>
      <c r="CE64" s="195">
        <f t="shared" si="0"/>
        <v>6805433</v>
      </c>
      <c r="CF64" s="252"/>
    </row>
    <row r="65" spans="1:84" ht="12.6" customHeight="1" x14ac:dyDescent="0.25">
      <c r="A65" s="171" t="s">
        <v>238</v>
      </c>
      <c r="B65" s="175"/>
      <c r="C65" s="184"/>
      <c r="D65" s="184"/>
      <c r="E65" s="184"/>
      <c r="F65" s="184"/>
      <c r="G65" s="184"/>
      <c r="H65" s="184"/>
      <c r="I65" s="185"/>
      <c r="J65" s="184"/>
      <c r="K65" s="185"/>
      <c r="L65" s="185"/>
      <c r="M65" s="184"/>
      <c r="N65" s="184"/>
      <c r="O65" s="184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/>
      <c r="BF65" s="185"/>
      <c r="BG65" s="185"/>
      <c r="BH65" s="185"/>
      <c r="BI65" s="185"/>
      <c r="BJ65" s="185"/>
      <c r="BK65" s="185"/>
      <c r="BL65" s="185">
        <v>2475</v>
      </c>
      <c r="BM65" s="185"/>
      <c r="BN65" s="185"/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>
        <v>793078</v>
      </c>
      <c r="CD65" s="249" t="s">
        <v>221</v>
      </c>
      <c r="CE65" s="195">
        <f t="shared" si="0"/>
        <v>795553</v>
      </c>
      <c r="CF65" s="252"/>
    </row>
    <row r="66" spans="1:84" ht="12.6" customHeight="1" x14ac:dyDescent="0.25">
      <c r="A66" s="171" t="s">
        <v>239</v>
      </c>
      <c r="B66" s="175"/>
      <c r="C66" s="184"/>
      <c r="D66" s="184"/>
      <c r="E66" s="184">
        <v>549</v>
      </c>
      <c r="F66" s="184">
        <v>5000</v>
      </c>
      <c r="G66" s="184"/>
      <c r="H66" s="184"/>
      <c r="I66" s="184"/>
      <c r="J66" s="184">
        <v>1818</v>
      </c>
      <c r="K66" s="185"/>
      <c r="L66" s="185"/>
      <c r="M66" s="184"/>
      <c r="N66" s="184"/>
      <c r="O66" s="185">
        <v>432</v>
      </c>
      <c r="P66" s="185">
        <v>90564</v>
      </c>
      <c r="Q66" s="185"/>
      <c r="R66" s="185">
        <v>92493</v>
      </c>
      <c r="S66" s="184">
        <v>13250</v>
      </c>
      <c r="T66" s="184"/>
      <c r="U66" s="185">
        <v>290810</v>
      </c>
      <c r="V66" s="185"/>
      <c r="W66" s="185">
        <v>129369</v>
      </c>
      <c r="X66" s="185">
        <v>169937</v>
      </c>
      <c r="Y66" s="185">
        <f>384698+8426+57485</f>
        <v>450609</v>
      </c>
      <c r="Z66" s="185"/>
      <c r="AA66" s="185">
        <v>20309</v>
      </c>
      <c r="AB66" s="185">
        <v>203228</v>
      </c>
      <c r="AC66" s="185">
        <v>5942</v>
      </c>
      <c r="AD66" s="185"/>
      <c r="AE66" s="185"/>
      <c r="AF66" s="185"/>
      <c r="AG66" s="185">
        <v>98240</v>
      </c>
      <c r="AH66" s="185"/>
      <c r="AI66" s="185"/>
      <c r="AJ66" s="185"/>
      <c r="AK66" s="185"/>
      <c r="AL66" s="185"/>
      <c r="AM66" s="185"/>
      <c r="AN66" s="185"/>
      <c r="AO66" s="185"/>
      <c r="AP66" s="185">
        <f>47398+4888+7105+4533+8888</f>
        <v>72812</v>
      </c>
      <c r="AQ66" s="185"/>
      <c r="AR66" s="185"/>
      <c r="AS66" s="185"/>
      <c r="AT66" s="185"/>
      <c r="AU66" s="185"/>
      <c r="AV66" s="185">
        <v>556816</v>
      </c>
      <c r="AW66" s="185"/>
      <c r="AX66" s="185"/>
      <c r="AY66" s="185">
        <v>40002</v>
      </c>
      <c r="AZ66" s="185"/>
      <c r="BA66" s="185">
        <v>147972</v>
      </c>
      <c r="BB66" s="185"/>
      <c r="BC66" s="185"/>
      <c r="BD66" s="185"/>
      <c r="BE66" s="185">
        <v>346451</v>
      </c>
      <c r="BF66" s="185">
        <v>117426</v>
      </c>
      <c r="BG66" s="185"/>
      <c r="BH66" s="185"/>
      <c r="BI66" s="185"/>
      <c r="BJ66" s="185"/>
      <c r="BK66" s="185"/>
      <c r="BL66" s="185"/>
      <c r="BM66" s="185"/>
      <c r="BN66" s="185"/>
      <c r="BO66" s="185"/>
      <c r="BP66" s="185"/>
      <c r="BQ66" s="185"/>
      <c r="BR66" s="185"/>
      <c r="BS66" s="185"/>
      <c r="BT66" s="185"/>
      <c r="BU66" s="185"/>
      <c r="BV66" s="185"/>
      <c r="BW66" s="185"/>
      <c r="BX66" s="185">
        <v>145945</v>
      </c>
      <c r="BY66" s="185"/>
      <c r="BZ66" s="185"/>
      <c r="CA66" s="185"/>
      <c r="CB66" s="185"/>
      <c r="CC66" s="185">
        <f>755089+804335</f>
        <v>1559424</v>
      </c>
      <c r="CD66" s="249" t="s">
        <v>221</v>
      </c>
      <c r="CE66" s="195">
        <f t="shared" si="0"/>
        <v>4559398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22497</v>
      </c>
      <c r="D67" s="195">
        <f>ROUND(D51+D52,0)</f>
        <v>0</v>
      </c>
      <c r="E67" s="195">
        <f t="shared" ref="E67:BP67" si="3">ROUND(E51+E52,0)</f>
        <v>35842</v>
      </c>
      <c r="F67" s="195">
        <f t="shared" si="3"/>
        <v>21902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990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5971</v>
      </c>
      <c r="P67" s="195">
        <f t="shared" si="3"/>
        <v>29634</v>
      </c>
      <c r="Q67" s="195">
        <f t="shared" si="3"/>
        <v>4774</v>
      </c>
      <c r="R67" s="195">
        <f t="shared" si="3"/>
        <v>984</v>
      </c>
      <c r="S67" s="195">
        <f t="shared" si="3"/>
        <v>9032</v>
      </c>
      <c r="T67" s="195">
        <f t="shared" si="3"/>
        <v>1500</v>
      </c>
      <c r="U67" s="195">
        <f t="shared" si="3"/>
        <v>11540</v>
      </c>
      <c r="V67" s="195">
        <f t="shared" si="3"/>
        <v>522</v>
      </c>
      <c r="W67" s="195">
        <f t="shared" si="3"/>
        <v>0</v>
      </c>
      <c r="X67" s="195">
        <f t="shared" si="3"/>
        <v>2928</v>
      </c>
      <c r="Y67" s="195">
        <f t="shared" si="3"/>
        <v>24083</v>
      </c>
      <c r="Z67" s="195">
        <f t="shared" si="3"/>
        <v>0</v>
      </c>
      <c r="AA67" s="195">
        <f t="shared" si="3"/>
        <v>3395</v>
      </c>
      <c r="AB67" s="195">
        <f t="shared" si="3"/>
        <v>5837</v>
      </c>
      <c r="AC67" s="195">
        <f t="shared" si="3"/>
        <v>5570</v>
      </c>
      <c r="AD67" s="195">
        <f t="shared" si="3"/>
        <v>0</v>
      </c>
      <c r="AE67" s="195">
        <f t="shared" si="3"/>
        <v>11091</v>
      </c>
      <c r="AF67" s="195">
        <f t="shared" si="3"/>
        <v>0</v>
      </c>
      <c r="AG67" s="195">
        <f t="shared" si="3"/>
        <v>54786</v>
      </c>
      <c r="AH67" s="195">
        <f t="shared" si="3"/>
        <v>0</v>
      </c>
      <c r="AI67" s="195">
        <f t="shared" si="3"/>
        <v>0</v>
      </c>
      <c r="AJ67" s="195">
        <f t="shared" si="3"/>
        <v>1312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11984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577</v>
      </c>
      <c r="AW67" s="195">
        <f t="shared" si="3"/>
        <v>0</v>
      </c>
      <c r="AX67" s="195">
        <f t="shared" si="3"/>
        <v>0</v>
      </c>
      <c r="AY67" s="195">
        <f t="shared" si="3"/>
        <v>29391</v>
      </c>
      <c r="AZ67" s="195">
        <f>ROUND(AZ51+AZ52,0)</f>
        <v>0</v>
      </c>
      <c r="BA67" s="195">
        <f>ROUND(BA51+BA52,0)</f>
        <v>2253</v>
      </c>
      <c r="BB67" s="195">
        <f t="shared" si="3"/>
        <v>0</v>
      </c>
      <c r="BC67" s="195">
        <f t="shared" si="3"/>
        <v>0</v>
      </c>
      <c r="BD67" s="195">
        <f t="shared" si="3"/>
        <v>9748</v>
      </c>
      <c r="BE67" s="195">
        <f t="shared" si="3"/>
        <v>178607</v>
      </c>
      <c r="BF67" s="195">
        <f t="shared" si="3"/>
        <v>2423</v>
      </c>
      <c r="BG67" s="195">
        <f t="shared" si="3"/>
        <v>1014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5023</v>
      </c>
      <c r="BM67" s="195">
        <f t="shared" si="3"/>
        <v>0</v>
      </c>
      <c r="BN67" s="195">
        <f t="shared" si="3"/>
        <v>21337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11243</v>
      </c>
      <c r="BW67" s="195">
        <f t="shared" si="4"/>
        <v>3328</v>
      </c>
      <c r="BX67" s="195">
        <f t="shared" si="4"/>
        <v>5594</v>
      </c>
      <c r="BY67" s="195">
        <f t="shared" si="4"/>
        <v>1816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4276</v>
      </c>
      <c r="CD67" s="249" t="s">
        <v>221</v>
      </c>
      <c r="CE67" s="195">
        <f t="shared" si="0"/>
        <v>542804</v>
      </c>
      <c r="CF67" s="252"/>
    </row>
    <row r="68" spans="1:84" ht="12.6" customHeight="1" x14ac:dyDescent="0.25">
      <c r="A68" s="171" t="s">
        <v>240</v>
      </c>
      <c r="B68" s="175"/>
      <c r="C68" s="184">
        <v>4294</v>
      </c>
      <c r="D68" s="184"/>
      <c r="E68" s="184">
        <v>34727</v>
      </c>
      <c r="F68" s="184"/>
      <c r="G68" s="184"/>
      <c r="H68" s="184"/>
      <c r="I68" s="184"/>
      <c r="J68" s="184"/>
      <c r="K68" s="185"/>
      <c r="L68" s="185"/>
      <c r="M68" s="184"/>
      <c r="N68" s="184"/>
      <c r="O68" s="184"/>
      <c r="P68" s="185">
        <v>49</v>
      </c>
      <c r="Q68" s="185"/>
      <c r="R68" s="185"/>
      <c r="S68" s="185">
        <v>1466</v>
      </c>
      <c r="T68" s="185"/>
      <c r="U68" s="185"/>
      <c r="V68" s="185"/>
      <c r="W68" s="185"/>
      <c r="X68" s="185"/>
      <c r="Y68" s="185"/>
      <c r="Z68" s="185"/>
      <c r="AA68" s="185"/>
      <c r="AB68" s="185"/>
      <c r="AC68" s="185">
        <v>52951</v>
      </c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>
        <f>118800+93423+143720+42783+772</f>
        <v>399498</v>
      </c>
      <c r="AQ68" s="185"/>
      <c r="AR68" s="185"/>
      <c r="AS68" s="185"/>
      <c r="AT68" s="185"/>
      <c r="AU68" s="185"/>
      <c r="AV68" s="185">
        <v>172339</v>
      </c>
      <c r="AW68" s="185"/>
      <c r="AX68" s="185">
        <v>28327</v>
      </c>
      <c r="AY68" s="185"/>
      <c r="AZ68" s="185"/>
      <c r="BA68" s="185"/>
      <c r="BB68" s="185"/>
      <c r="BC68" s="185"/>
      <c r="BD68" s="185"/>
      <c r="BE68" s="185">
        <v>1589</v>
      </c>
      <c r="BF68" s="185"/>
      <c r="BG68" s="185"/>
      <c r="BH68" s="185"/>
      <c r="BI68" s="185"/>
      <c r="BJ68" s="185"/>
      <c r="BK68" s="185"/>
      <c r="BL68" s="185"/>
      <c r="BM68" s="185"/>
      <c r="BN68" s="185">
        <v>10</v>
      </c>
      <c r="BO68" s="185"/>
      <c r="BP68" s="185"/>
      <c r="BQ68" s="185"/>
      <c r="BR68" s="185"/>
      <c r="BS68" s="185"/>
      <c r="BT68" s="185"/>
      <c r="BU68" s="185"/>
      <c r="BV68" s="185"/>
      <c r="BW68" s="185"/>
      <c r="BX68" s="185"/>
      <c r="BY68" s="185"/>
      <c r="BZ68" s="185"/>
      <c r="CA68" s="185"/>
      <c r="CB68" s="185"/>
      <c r="CC68" s="185"/>
      <c r="CD68" s="249" t="s">
        <v>221</v>
      </c>
      <c r="CE68" s="195">
        <f t="shared" si="0"/>
        <v>695250</v>
      </c>
      <c r="CF68" s="252"/>
    </row>
    <row r="69" spans="1:84" ht="12.6" customHeight="1" x14ac:dyDescent="0.25">
      <c r="A69" s="171" t="s">
        <v>241</v>
      </c>
      <c r="B69" s="175"/>
      <c r="C69" s="184">
        <f>615468.13</f>
        <v>615468.13</v>
      </c>
      <c r="D69" s="184"/>
      <c r="E69" s="185">
        <f>411+1363645</f>
        <v>1364056</v>
      </c>
      <c r="F69" s="185">
        <f>67+623125.59</f>
        <v>623192.59</v>
      </c>
      <c r="G69" s="184"/>
      <c r="H69" s="184"/>
      <c r="I69" s="185"/>
      <c r="J69" s="185"/>
      <c r="K69" s="185"/>
      <c r="L69" s="185"/>
      <c r="M69" s="184"/>
      <c r="N69" s="184"/>
      <c r="O69" s="184"/>
      <c r="P69" s="185">
        <f>3868+614989.54</f>
        <v>618857.54</v>
      </c>
      <c r="Q69" s="185">
        <f>132+220151.9</f>
        <v>220283.9</v>
      </c>
      <c r="R69" s="224">
        <f>380+48816.29</f>
        <v>49196.29</v>
      </c>
      <c r="S69" s="185">
        <f>80+185214.75</f>
        <v>185294.75</v>
      </c>
      <c r="T69" s="184">
        <v>1914.36</v>
      </c>
      <c r="U69" s="185">
        <f>2074+627432.91</f>
        <v>629506.91</v>
      </c>
      <c r="V69" s="185"/>
      <c r="W69" s="184"/>
      <c r="X69" s="185">
        <f>746+47859.11</f>
        <v>48605.11</v>
      </c>
      <c r="Y69" s="185">
        <f>1771+741337.58</f>
        <v>743108.58</v>
      </c>
      <c r="Z69" s="185"/>
      <c r="AA69" s="185">
        <f>6608+48337.7</f>
        <v>54945.7</v>
      </c>
      <c r="AB69" s="185">
        <f>2917+271839.73</f>
        <v>274756.73</v>
      </c>
      <c r="AC69" s="185">
        <f>26+278061.42</f>
        <v>278087.42</v>
      </c>
      <c r="AD69" s="185"/>
      <c r="AE69" s="185">
        <f>170+43551.79</f>
        <v>43721.79</v>
      </c>
      <c r="AF69" s="185"/>
      <c r="AG69" s="185">
        <f>12798+1471188.98</f>
        <v>1483986.98</v>
      </c>
      <c r="AH69" s="185"/>
      <c r="AI69" s="185"/>
      <c r="AJ69" s="185">
        <f>9093.23</f>
        <v>9093.23</v>
      </c>
      <c r="AK69" s="185"/>
      <c r="AL69" s="185"/>
      <c r="AM69" s="185"/>
      <c r="AN69" s="185"/>
      <c r="AO69" s="184">
        <f>151234.78</f>
        <v>151234.78</v>
      </c>
      <c r="AP69" s="185">
        <f>115244+1184034.33</f>
        <v>1299278.33</v>
      </c>
      <c r="AQ69" s="184"/>
      <c r="AR69" s="184"/>
      <c r="AS69" s="184"/>
      <c r="AT69" s="184"/>
      <c r="AU69" s="185"/>
      <c r="AV69" s="185">
        <v>123</v>
      </c>
      <c r="AW69" s="185"/>
      <c r="AX69" s="185"/>
      <c r="AY69" s="185">
        <f>1420+619775.45</f>
        <v>621195.44999999995</v>
      </c>
      <c r="AZ69" s="185"/>
      <c r="BA69" s="185">
        <v>50252.06</v>
      </c>
      <c r="BB69" s="185"/>
      <c r="BC69" s="185"/>
      <c r="BD69" s="185">
        <f>621+19335.8</f>
        <v>19956.8</v>
      </c>
      <c r="BE69" s="185">
        <f>1340+191915.02</f>
        <v>193255.02</v>
      </c>
      <c r="BF69" s="185">
        <f>39+453704.34</f>
        <v>453743.34</v>
      </c>
      <c r="BG69" s="185">
        <v>13</v>
      </c>
      <c r="BH69" s="224"/>
      <c r="BI69" s="185"/>
      <c r="BJ69" s="185"/>
      <c r="BK69" s="185"/>
      <c r="BL69" s="185">
        <f>53+469497.85</f>
        <v>469550.85</v>
      </c>
      <c r="BM69" s="185"/>
      <c r="BN69" s="185">
        <f>61151+144055.92+2155</f>
        <v>207361.92000000001</v>
      </c>
      <c r="BO69" s="185"/>
      <c r="BP69" s="185"/>
      <c r="BQ69" s="185"/>
      <c r="BR69" s="185"/>
      <c r="BS69" s="185"/>
      <c r="BT69" s="185"/>
      <c r="BU69" s="185"/>
      <c r="BV69" s="185">
        <f>235+375215.41+61872</f>
        <v>437322.41</v>
      </c>
      <c r="BW69" s="185">
        <f>26150+47859.11</f>
        <v>74009.11</v>
      </c>
      <c r="BX69" s="185">
        <f>2570+95718.22</f>
        <v>98288.22</v>
      </c>
      <c r="BY69" s="185">
        <f>54476+389573.14</f>
        <v>444049.14</v>
      </c>
      <c r="BZ69" s="185"/>
      <c r="CA69" s="185"/>
      <c r="CB69" s="185"/>
      <c r="CC69" s="185">
        <f>107596+136398.46+147336+520687+55468+868498+2700.63</f>
        <v>1838684.0899999999</v>
      </c>
      <c r="CD69" s="188"/>
      <c r="CE69" s="195">
        <f t="shared" si="0"/>
        <v>13602393.530000001</v>
      </c>
      <c r="CF69" s="252"/>
    </row>
    <row r="70" spans="1:84" ht="12.6" customHeight="1" x14ac:dyDescent="0.25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>
        <v>2394307</v>
      </c>
      <c r="CE70" s="195">
        <f t="shared" si="0"/>
        <v>2394307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2029735.13</v>
      </c>
      <c r="D71" s="195">
        <f t="shared" ref="D71:AI71" si="5">SUM(D61:D69)-D70</f>
        <v>0</v>
      </c>
      <c r="E71" s="195">
        <f t="shared" si="5"/>
        <v>5114882</v>
      </c>
      <c r="F71" s="195">
        <f t="shared" si="5"/>
        <v>2444260.59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4330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59246</v>
      </c>
      <c r="P71" s="195">
        <f t="shared" si="5"/>
        <v>4808903.54</v>
      </c>
      <c r="Q71" s="195">
        <f t="shared" si="5"/>
        <v>1037520.9</v>
      </c>
      <c r="R71" s="195">
        <f t="shared" si="5"/>
        <v>1123711.29</v>
      </c>
      <c r="S71" s="195">
        <f t="shared" si="5"/>
        <v>558587.75</v>
      </c>
      <c r="T71" s="195">
        <f t="shared" si="5"/>
        <v>61648.36</v>
      </c>
      <c r="U71" s="195">
        <f t="shared" si="5"/>
        <v>2760905.91</v>
      </c>
      <c r="V71" s="195">
        <f t="shared" si="5"/>
        <v>12321</v>
      </c>
      <c r="W71" s="195">
        <f t="shared" si="5"/>
        <v>134102</v>
      </c>
      <c r="X71" s="195">
        <f t="shared" si="5"/>
        <v>414960.11</v>
      </c>
      <c r="Y71" s="195">
        <f t="shared" si="5"/>
        <v>2904148.58</v>
      </c>
      <c r="Z71" s="195">
        <f t="shared" si="5"/>
        <v>0</v>
      </c>
      <c r="AA71" s="195">
        <f t="shared" si="5"/>
        <v>285625.7</v>
      </c>
      <c r="AB71" s="195">
        <f t="shared" si="5"/>
        <v>2235506.73</v>
      </c>
      <c r="AC71" s="195">
        <f t="shared" si="5"/>
        <v>994738.41999999993</v>
      </c>
      <c r="AD71" s="195">
        <f t="shared" si="5"/>
        <v>0</v>
      </c>
      <c r="AE71" s="195">
        <f t="shared" si="5"/>
        <v>156704.79</v>
      </c>
      <c r="AF71" s="195">
        <f t="shared" si="5"/>
        <v>0</v>
      </c>
      <c r="AG71" s="195">
        <f t="shared" si="5"/>
        <v>6046086.9800000004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29572.23</v>
      </c>
      <c r="AK71" s="195">
        <f t="shared" si="6"/>
        <v>0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527430.78</v>
      </c>
      <c r="AP71" s="195">
        <f t="shared" si="6"/>
        <v>8304439.3300000001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1169227</v>
      </c>
      <c r="AW71" s="195">
        <f t="shared" si="6"/>
        <v>0</v>
      </c>
      <c r="AX71" s="195">
        <f t="shared" si="6"/>
        <v>29032</v>
      </c>
      <c r="AY71" s="195">
        <f t="shared" si="6"/>
        <v>1683513.45</v>
      </c>
      <c r="AZ71" s="195">
        <f t="shared" si="6"/>
        <v>0</v>
      </c>
      <c r="BA71" s="195">
        <f t="shared" si="6"/>
        <v>243672.06</v>
      </c>
      <c r="BB71" s="195">
        <f t="shared" si="6"/>
        <v>0</v>
      </c>
      <c r="BC71" s="195">
        <f t="shared" si="6"/>
        <v>4549</v>
      </c>
      <c r="BD71" s="195">
        <f t="shared" si="6"/>
        <v>241098.8</v>
      </c>
      <c r="BE71" s="195">
        <f t="shared" si="6"/>
        <v>1132589.02</v>
      </c>
      <c r="BF71" s="195">
        <f t="shared" si="6"/>
        <v>1101414.3400000001</v>
      </c>
      <c r="BG71" s="195">
        <f t="shared" si="6"/>
        <v>85705</v>
      </c>
      <c r="BH71" s="195">
        <f t="shared" si="6"/>
        <v>0</v>
      </c>
      <c r="BI71" s="195">
        <f t="shared" si="6"/>
        <v>0</v>
      </c>
      <c r="BJ71" s="195">
        <f t="shared" si="6"/>
        <v>0</v>
      </c>
      <c r="BK71" s="195">
        <f t="shared" si="6"/>
        <v>0</v>
      </c>
      <c r="BL71" s="195">
        <f t="shared" si="6"/>
        <v>980587.85</v>
      </c>
      <c r="BM71" s="195">
        <f t="shared" si="6"/>
        <v>0</v>
      </c>
      <c r="BN71" s="195">
        <f t="shared" si="6"/>
        <v>572204.92000000004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0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956433.40999999992</v>
      </c>
      <c r="BW71" s="195">
        <f t="shared" si="7"/>
        <v>221551.11</v>
      </c>
      <c r="BX71" s="195">
        <f t="shared" si="7"/>
        <v>440095.22</v>
      </c>
      <c r="BY71" s="195">
        <f t="shared" si="7"/>
        <v>1588650.1400000001</v>
      </c>
      <c r="BZ71" s="195">
        <f t="shared" si="7"/>
        <v>0</v>
      </c>
      <c r="CA71" s="195">
        <f t="shared" si="7"/>
        <v>0</v>
      </c>
      <c r="CB71" s="195">
        <f t="shared" si="7"/>
        <v>0</v>
      </c>
      <c r="CC71" s="195">
        <f t="shared" si="7"/>
        <v>4740980.09</v>
      </c>
      <c r="CD71" s="245">
        <f>CD69-CD70</f>
        <v>-2394307</v>
      </c>
      <c r="CE71" s="195">
        <f>SUM(CE61:CE69)-CE70</f>
        <v>54846364.530000001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 x14ac:dyDescent="0.25">
      <c r="A73" s="171" t="s">
        <v>245</v>
      </c>
      <c r="B73" s="175"/>
      <c r="C73" s="184">
        <v>10485499</v>
      </c>
      <c r="D73" s="184"/>
      <c r="E73" s="185">
        <v>10917006</v>
      </c>
      <c r="F73" s="185">
        <v>898344</v>
      </c>
      <c r="G73" s="184"/>
      <c r="H73" s="184"/>
      <c r="I73" s="185"/>
      <c r="J73" s="185">
        <v>484866</v>
      </c>
      <c r="K73" s="185"/>
      <c r="L73" s="185"/>
      <c r="M73" s="184"/>
      <c r="N73" s="184"/>
      <c r="O73" s="184">
        <v>575010</v>
      </c>
      <c r="P73" s="185">
        <v>5850350</v>
      </c>
      <c r="Q73" s="185">
        <v>568029</v>
      </c>
      <c r="R73" s="185">
        <v>732747</v>
      </c>
      <c r="S73" s="185">
        <v>2449048</v>
      </c>
      <c r="T73" s="185">
        <v>484338</v>
      </c>
      <c r="U73" s="185">
        <v>4452922</v>
      </c>
      <c r="V73" s="185">
        <v>4065</v>
      </c>
      <c r="W73" s="185">
        <v>217655</v>
      </c>
      <c r="X73" s="185">
        <v>2749347</v>
      </c>
      <c r="Y73" s="185">
        <v>1489469</v>
      </c>
      <c r="Z73" s="185"/>
      <c r="AA73" s="185">
        <v>178757</v>
      </c>
      <c r="AB73" s="185">
        <v>3294021</v>
      </c>
      <c r="AC73" s="185">
        <v>4040066</v>
      </c>
      <c r="AD73" s="185"/>
      <c r="AE73" s="185">
        <v>212516</v>
      </c>
      <c r="AF73" s="185"/>
      <c r="AG73" s="185">
        <v>4424133</v>
      </c>
      <c r="AH73" s="185"/>
      <c r="AI73" s="185"/>
      <c r="AJ73" s="185"/>
      <c r="AK73" s="185"/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5">
        <v>21041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54529229</v>
      </c>
      <c r="CF73" s="252"/>
    </row>
    <row r="74" spans="1:84" ht="12.6" customHeight="1" x14ac:dyDescent="0.25">
      <c r="A74" s="171" t="s">
        <v>246</v>
      </c>
      <c r="B74" s="175"/>
      <c r="C74" s="184">
        <v>937047</v>
      </c>
      <c r="D74" s="184"/>
      <c r="E74" s="185">
        <v>2756318</v>
      </c>
      <c r="F74" s="185">
        <v>235559</v>
      </c>
      <c r="G74" s="184"/>
      <c r="H74" s="184"/>
      <c r="I74" s="184"/>
      <c r="J74" s="185">
        <v>950</v>
      </c>
      <c r="K74" s="185"/>
      <c r="L74" s="185"/>
      <c r="M74" s="184"/>
      <c r="N74" s="184"/>
      <c r="O74" s="184">
        <v>130678</v>
      </c>
      <c r="P74" s="185">
        <v>9980051</v>
      </c>
      <c r="Q74" s="185">
        <v>1086444</v>
      </c>
      <c r="R74" s="185">
        <v>853456</v>
      </c>
      <c r="S74" s="185">
        <v>3412724</v>
      </c>
      <c r="T74" s="185">
        <v>485847</v>
      </c>
      <c r="U74" s="185">
        <v>11655048</v>
      </c>
      <c r="V74" s="185">
        <v>209728</v>
      </c>
      <c r="W74" s="185">
        <v>2982883</v>
      </c>
      <c r="X74" s="185">
        <v>15276773</v>
      </c>
      <c r="Y74" s="185">
        <v>9380695</v>
      </c>
      <c r="Z74" s="185"/>
      <c r="AA74" s="185">
        <v>767652</v>
      </c>
      <c r="AB74" s="185">
        <v>2204943</v>
      </c>
      <c r="AC74" s="185">
        <v>1165239</v>
      </c>
      <c r="AD74" s="185"/>
      <c r="AE74" s="185">
        <v>155900</v>
      </c>
      <c r="AF74" s="185"/>
      <c r="AG74" s="185">
        <v>33483426</v>
      </c>
      <c r="AH74" s="185"/>
      <c r="AI74" s="185"/>
      <c r="AJ74" s="185">
        <v>49750</v>
      </c>
      <c r="AK74" s="185"/>
      <c r="AL74" s="185"/>
      <c r="AM74" s="185"/>
      <c r="AN74" s="185"/>
      <c r="AO74" s="185"/>
      <c r="AP74" s="185">
        <f>2136435+1866053+992385+691632+1067526+10860</f>
        <v>6764891</v>
      </c>
      <c r="AQ74" s="185"/>
      <c r="AR74" s="185"/>
      <c r="AS74" s="185"/>
      <c r="AT74" s="185"/>
      <c r="AU74" s="185"/>
      <c r="AV74" s="185">
        <f>5493294+400</f>
        <v>5493694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109469696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11422546</v>
      </c>
      <c r="D75" s="195">
        <f t="shared" si="9"/>
        <v>0</v>
      </c>
      <c r="E75" s="195">
        <f t="shared" si="9"/>
        <v>13673324</v>
      </c>
      <c r="F75" s="195">
        <f t="shared" si="9"/>
        <v>1133903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485816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705688</v>
      </c>
      <c r="P75" s="195">
        <f t="shared" si="9"/>
        <v>15830401</v>
      </c>
      <c r="Q75" s="195">
        <f t="shared" si="9"/>
        <v>1654473</v>
      </c>
      <c r="R75" s="195">
        <f t="shared" si="9"/>
        <v>1586203</v>
      </c>
      <c r="S75" s="195">
        <f t="shared" si="9"/>
        <v>5861772</v>
      </c>
      <c r="T75" s="195">
        <f t="shared" si="9"/>
        <v>970185</v>
      </c>
      <c r="U75" s="195">
        <f t="shared" si="9"/>
        <v>16107970</v>
      </c>
      <c r="V75" s="195">
        <f t="shared" si="9"/>
        <v>213793</v>
      </c>
      <c r="W75" s="195">
        <f t="shared" si="9"/>
        <v>3200538</v>
      </c>
      <c r="X75" s="195">
        <f t="shared" si="9"/>
        <v>18026120</v>
      </c>
      <c r="Y75" s="195">
        <f t="shared" si="9"/>
        <v>10870164</v>
      </c>
      <c r="Z75" s="195">
        <f t="shared" si="9"/>
        <v>0</v>
      </c>
      <c r="AA75" s="195">
        <f t="shared" si="9"/>
        <v>946409</v>
      </c>
      <c r="AB75" s="195">
        <f t="shared" si="9"/>
        <v>5498964</v>
      </c>
      <c r="AC75" s="195">
        <f t="shared" si="9"/>
        <v>5205305</v>
      </c>
      <c r="AD75" s="195">
        <f t="shared" si="9"/>
        <v>0</v>
      </c>
      <c r="AE75" s="195">
        <f t="shared" si="9"/>
        <v>368416</v>
      </c>
      <c r="AF75" s="195">
        <f t="shared" si="9"/>
        <v>0</v>
      </c>
      <c r="AG75" s="195">
        <f t="shared" si="9"/>
        <v>37907559</v>
      </c>
      <c r="AH75" s="195">
        <f t="shared" si="9"/>
        <v>0</v>
      </c>
      <c r="AI75" s="195">
        <f t="shared" si="9"/>
        <v>0</v>
      </c>
      <c r="AJ75" s="195">
        <f t="shared" si="9"/>
        <v>49750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6764891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5514735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163998925</v>
      </c>
      <c r="CF75" s="252"/>
    </row>
    <row r="76" spans="1:84" ht="12.6" customHeight="1" x14ac:dyDescent="0.25">
      <c r="A76" s="171" t="s">
        <v>248</v>
      </c>
      <c r="B76" s="175"/>
      <c r="C76" s="184">
        <v>3704</v>
      </c>
      <c r="D76" s="184"/>
      <c r="E76" s="185">
        <v>5901</v>
      </c>
      <c r="F76" s="185">
        <v>3606</v>
      </c>
      <c r="G76" s="184"/>
      <c r="H76" s="184"/>
      <c r="I76" s="185"/>
      <c r="J76" s="185">
        <v>163</v>
      </c>
      <c r="K76" s="185"/>
      <c r="L76" s="185"/>
      <c r="M76" s="185"/>
      <c r="N76" s="185"/>
      <c r="O76" s="185">
        <v>983</v>
      </c>
      <c r="P76" s="185">
        <v>4879</v>
      </c>
      <c r="Q76" s="185">
        <v>786</v>
      </c>
      <c r="R76" s="185">
        <v>162</v>
      </c>
      <c r="S76" s="185">
        <v>1487</v>
      </c>
      <c r="T76" s="185">
        <v>247</v>
      </c>
      <c r="U76" s="185">
        <v>1900</v>
      </c>
      <c r="V76" s="185">
        <v>86</v>
      </c>
      <c r="W76" s="185"/>
      <c r="X76" s="185">
        <v>482</v>
      </c>
      <c r="Y76" s="185">
        <v>3965</v>
      </c>
      <c r="Z76" s="185"/>
      <c r="AA76" s="185">
        <v>559</v>
      </c>
      <c r="AB76" s="185">
        <v>961</v>
      </c>
      <c r="AC76" s="185">
        <v>917</v>
      </c>
      <c r="AD76" s="185"/>
      <c r="AE76" s="185">
        <v>1826</v>
      </c>
      <c r="AF76" s="185"/>
      <c r="AG76" s="185">
        <v>9020</v>
      </c>
      <c r="AH76" s="185"/>
      <c r="AI76" s="185"/>
      <c r="AJ76" s="185">
        <v>216</v>
      </c>
      <c r="AK76" s="185"/>
      <c r="AL76" s="185"/>
      <c r="AM76" s="185"/>
      <c r="AN76" s="185"/>
      <c r="AO76" s="185">
        <v>1973</v>
      </c>
      <c r="AP76" s="185"/>
      <c r="AQ76" s="185"/>
      <c r="AR76" s="185"/>
      <c r="AS76" s="185"/>
      <c r="AT76" s="185"/>
      <c r="AU76" s="185"/>
      <c r="AV76" s="185">
        <v>95</v>
      </c>
      <c r="AW76" s="185"/>
      <c r="AX76" s="185"/>
      <c r="AY76" s="185">
        <v>4839</v>
      </c>
      <c r="AZ76" s="185"/>
      <c r="BA76" s="185">
        <v>371</v>
      </c>
      <c r="BB76" s="185"/>
      <c r="BC76" s="185"/>
      <c r="BD76" s="185">
        <v>1605</v>
      </c>
      <c r="BE76" s="185">
        <v>29406</v>
      </c>
      <c r="BF76" s="185">
        <v>399</v>
      </c>
      <c r="BG76" s="185">
        <v>167</v>
      </c>
      <c r="BH76" s="185"/>
      <c r="BI76" s="185"/>
      <c r="BJ76" s="185"/>
      <c r="BK76" s="185"/>
      <c r="BL76" s="185">
        <v>827</v>
      </c>
      <c r="BM76" s="185"/>
      <c r="BN76" s="185">
        <v>3513</v>
      </c>
      <c r="BO76" s="185"/>
      <c r="BP76" s="185"/>
      <c r="BQ76" s="185"/>
      <c r="BR76" s="185"/>
      <c r="BS76" s="185"/>
      <c r="BT76" s="185"/>
      <c r="BU76" s="185"/>
      <c r="BV76" s="185">
        <v>1851</v>
      </c>
      <c r="BW76" s="185">
        <v>548</v>
      </c>
      <c r="BX76" s="185">
        <v>921</v>
      </c>
      <c r="BY76" s="185">
        <v>299</v>
      </c>
      <c r="BZ76" s="185"/>
      <c r="CA76" s="185"/>
      <c r="CB76" s="185"/>
      <c r="CC76" s="185">
        <v>704</v>
      </c>
      <c r="CD76" s="249" t="s">
        <v>221</v>
      </c>
      <c r="CE76" s="195">
        <f t="shared" si="8"/>
        <v>89368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>
        <v>28027</v>
      </c>
      <c r="D77" s="184"/>
      <c r="E77" s="184">
        <v>62806</v>
      </c>
      <c r="F77" s="184">
        <v>4908</v>
      </c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>
        <v>16863</v>
      </c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112604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>
        <v>1679</v>
      </c>
      <c r="D78" s="184"/>
      <c r="E78" s="184">
        <v>7076.76</v>
      </c>
      <c r="F78" s="184">
        <v>706.34</v>
      </c>
      <c r="G78" s="184"/>
      <c r="H78" s="184"/>
      <c r="I78" s="184"/>
      <c r="J78" s="184">
        <v>58.44</v>
      </c>
      <c r="K78" s="184"/>
      <c r="L78" s="184"/>
      <c r="M78" s="184"/>
      <c r="N78" s="184"/>
      <c r="O78" s="184">
        <v>173</v>
      </c>
      <c r="P78" s="184">
        <v>860</v>
      </c>
      <c r="Q78" s="184">
        <v>139</v>
      </c>
      <c r="R78" s="184">
        <v>29</v>
      </c>
      <c r="S78" s="184">
        <v>262</v>
      </c>
      <c r="T78" s="184">
        <v>44</v>
      </c>
      <c r="U78" s="184">
        <v>335</v>
      </c>
      <c r="V78" s="184">
        <v>15</v>
      </c>
      <c r="W78" s="184"/>
      <c r="X78" s="184">
        <v>85</v>
      </c>
      <c r="Y78" s="184">
        <v>699</v>
      </c>
      <c r="Z78" s="184"/>
      <c r="AA78" s="184">
        <v>99</v>
      </c>
      <c r="AB78" s="184">
        <v>169</v>
      </c>
      <c r="AC78" s="184">
        <v>162</v>
      </c>
      <c r="AD78" s="184"/>
      <c r="AE78" s="184">
        <v>322</v>
      </c>
      <c r="AF78" s="184"/>
      <c r="AG78" s="184">
        <v>1590</v>
      </c>
      <c r="AH78" s="184"/>
      <c r="AI78" s="184"/>
      <c r="AJ78" s="184">
        <v>38</v>
      </c>
      <c r="AK78" s="184"/>
      <c r="AL78" s="184"/>
      <c r="AM78" s="184"/>
      <c r="AN78" s="184"/>
      <c r="AO78" s="184">
        <v>348</v>
      </c>
      <c r="AP78" s="184"/>
      <c r="AQ78" s="184"/>
      <c r="AR78" s="184"/>
      <c r="AS78" s="184"/>
      <c r="AT78" s="184"/>
      <c r="AU78" s="184"/>
      <c r="AV78" s="184">
        <v>17</v>
      </c>
      <c r="AW78" s="184"/>
      <c r="AX78" s="249" t="s">
        <v>221</v>
      </c>
      <c r="AY78" s="249" t="s">
        <v>221</v>
      </c>
      <c r="AZ78" s="249" t="s">
        <v>221</v>
      </c>
      <c r="BA78" s="184">
        <v>65</v>
      </c>
      <c r="BB78" s="184"/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/>
      <c r="BJ78" s="249" t="s">
        <v>221</v>
      </c>
      <c r="BK78" s="184"/>
      <c r="BL78" s="184">
        <v>146</v>
      </c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/>
      <c r="BT78" s="184"/>
      <c r="BU78" s="184"/>
      <c r="BV78" s="184">
        <v>326</v>
      </c>
      <c r="BW78" s="184">
        <v>927</v>
      </c>
      <c r="BX78" s="184">
        <v>162</v>
      </c>
      <c r="BY78" s="184">
        <v>53</v>
      </c>
      <c r="BZ78" s="184"/>
      <c r="CA78" s="184"/>
      <c r="CB78" s="184"/>
      <c r="CC78" s="249" t="s">
        <v>221</v>
      </c>
      <c r="CD78" s="249" t="s">
        <v>221</v>
      </c>
      <c r="CE78" s="195">
        <f t="shared" si="8"/>
        <v>16585.54</v>
      </c>
      <c r="CF78" s="195"/>
    </row>
    <row r="79" spans="1:84" ht="12.6" customHeight="1" x14ac:dyDescent="0.25">
      <c r="A79" s="171" t="s">
        <v>251</v>
      </c>
      <c r="B79" s="175"/>
      <c r="C79" s="225">
        <v>20150.93</v>
      </c>
      <c r="D79" s="225"/>
      <c r="E79" s="184">
        <v>43990.22</v>
      </c>
      <c r="F79" s="184">
        <v>8722.67</v>
      </c>
      <c r="G79" s="184"/>
      <c r="H79" s="184"/>
      <c r="I79" s="184"/>
      <c r="J79" s="184"/>
      <c r="K79" s="184"/>
      <c r="L79" s="184"/>
      <c r="M79" s="184"/>
      <c r="N79" s="184"/>
      <c r="O79" s="184"/>
      <c r="P79" s="184">
        <v>21416.21</v>
      </c>
      <c r="Q79" s="184"/>
      <c r="R79" s="184"/>
      <c r="S79" s="184">
        <v>1673.89</v>
      </c>
      <c r="T79" s="184"/>
      <c r="U79" s="184">
        <v>419.47</v>
      </c>
      <c r="V79" s="184"/>
      <c r="W79" s="184">
        <v>1627.07</v>
      </c>
      <c r="X79" s="184"/>
      <c r="Y79" s="184">
        <v>20516.669999999998</v>
      </c>
      <c r="Z79" s="184"/>
      <c r="AA79" s="184"/>
      <c r="AB79" s="184">
        <v>152.93</v>
      </c>
      <c r="AC79" s="184">
        <v>923.22</v>
      </c>
      <c r="AD79" s="184"/>
      <c r="AE79" s="184">
        <v>140.07</v>
      </c>
      <c r="AF79" s="184"/>
      <c r="AG79" s="184">
        <v>67737.149999999994</v>
      </c>
      <c r="AH79" s="184"/>
      <c r="AI79" s="184"/>
      <c r="AJ79" s="184">
        <v>1811.77</v>
      </c>
      <c r="AK79" s="184"/>
      <c r="AL79" s="184"/>
      <c r="AM79" s="184"/>
      <c r="AN79" s="184"/>
      <c r="AO79" s="184"/>
      <c r="AP79" s="184">
        <v>5248.97</v>
      </c>
      <c r="AQ79" s="184"/>
      <c r="AR79" s="184"/>
      <c r="AS79" s="184"/>
      <c r="AT79" s="184"/>
      <c r="AU79" s="184"/>
      <c r="AV79" s="184">
        <v>10034</v>
      </c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204565.24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v>10.59</v>
      </c>
      <c r="D80" s="187"/>
      <c r="E80" s="187">
        <v>24.77</v>
      </c>
      <c r="F80" s="187">
        <v>13.02</v>
      </c>
      <c r="G80" s="187"/>
      <c r="H80" s="187"/>
      <c r="I80" s="187"/>
      <c r="J80" s="187">
        <v>0.04</v>
      </c>
      <c r="K80" s="187"/>
      <c r="L80" s="187"/>
      <c r="M80" s="187"/>
      <c r="N80" s="187"/>
      <c r="O80" s="187"/>
      <c r="P80" s="187">
        <v>5.39</v>
      </c>
      <c r="Q80" s="187">
        <v>4.5999999999999996</v>
      </c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>
        <v>23.25</v>
      </c>
      <c r="AH80" s="187"/>
      <c r="AI80" s="187"/>
      <c r="AJ80" s="187"/>
      <c r="AK80" s="187"/>
      <c r="AL80" s="187"/>
      <c r="AM80" s="187"/>
      <c r="AN80" s="187"/>
      <c r="AO80" s="187"/>
      <c r="AP80" s="187">
        <v>7.7</v>
      </c>
      <c r="AQ80" s="187"/>
      <c r="AR80" s="187"/>
      <c r="AS80" s="187"/>
      <c r="AT80" s="187"/>
      <c r="AU80" s="187"/>
      <c r="AV80" s="187">
        <v>2.0699999999999998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91.429999999999993</v>
      </c>
      <c r="CF80" s="255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2" t="s">
        <v>1265</v>
      </c>
      <c r="D82" s="256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1266</v>
      </c>
      <c r="D83" s="256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1267</v>
      </c>
      <c r="D84" s="205"/>
      <c r="E84" s="204"/>
    </row>
    <row r="85" spans="1:5" ht="12.6" customHeight="1" x14ac:dyDescent="0.25">
      <c r="A85" s="173" t="s">
        <v>1251</v>
      </c>
      <c r="B85" s="172"/>
      <c r="C85" s="271" t="s">
        <v>1268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1" t="s">
        <v>1268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1269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1270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1271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1272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1273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1274</v>
      </c>
      <c r="D92" s="256"/>
      <c r="E92" s="175"/>
    </row>
    <row r="93" spans="1:5" ht="12.6" customHeight="1" x14ac:dyDescent="0.25">
      <c r="A93" s="173" t="s">
        <v>264</v>
      </c>
      <c r="B93" s="172" t="s">
        <v>256</v>
      </c>
      <c r="C93" s="270" t="s">
        <v>1275</v>
      </c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>
        <v>1</v>
      </c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1423</v>
      </c>
      <c r="D111" s="174">
        <v>5659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135</v>
      </c>
      <c r="D114" s="174">
        <v>258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6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38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>
        <v>4</v>
      </c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48</v>
      </c>
    </row>
    <row r="128" spans="1:5" ht="12.6" customHeight="1" x14ac:dyDescent="0.25">
      <c r="A128" s="173" t="s">
        <v>292</v>
      </c>
      <c r="B128" s="172" t="s">
        <v>256</v>
      </c>
      <c r="C128" s="189">
        <v>48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>
        <v>5</v>
      </c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698.12379999999996</v>
      </c>
      <c r="C138" s="189">
        <v>298.68770000000001</v>
      </c>
      <c r="D138" s="174">
        <v>426</v>
      </c>
      <c r="E138" s="175">
        <f>SUM(B138:D138)</f>
        <v>1422.8115</v>
      </c>
    </row>
    <row r="139" spans="1:6" ht="12.6" customHeight="1" x14ac:dyDescent="0.25">
      <c r="A139" s="173" t="s">
        <v>215</v>
      </c>
      <c r="B139" s="174">
        <v>2908.7673999999997</v>
      </c>
      <c r="C139" s="189">
        <v>1244.4971</v>
      </c>
      <c r="D139" s="174">
        <v>1776</v>
      </c>
      <c r="E139" s="175">
        <f>SUM(B139:D139)</f>
        <v>5929.2644999999993</v>
      </c>
    </row>
    <row r="140" spans="1:6" ht="12.6" customHeight="1" x14ac:dyDescent="0.25">
      <c r="A140" s="173" t="s">
        <v>298</v>
      </c>
      <c r="B140" s="174">
        <v>16772.288199999999</v>
      </c>
      <c r="C140" s="174">
        <v>8588.6882000000005</v>
      </c>
      <c r="D140" s="174">
        <v>15557</v>
      </c>
      <c r="E140" s="175">
        <f>SUM(B140:D140)</f>
        <v>40917.9764</v>
      </c>
    </row>
    <row r="141" spans="1:6" ht="12.6" customHeight="1" x14ac:dyDescent="0.25">
      <c r="A141" s="173" t="s">
        <v>245</v>
      </c>
      <c r="B141" s="174">
        <v>27597893.190000001</v>
      </c>
      <c r="C141" s="189">
        <v>8753714</v>
      </c>
      <c r="D141" s="174">
        <v>18177621.809999999</v>
      </c>
      <c r="E141" s="175">
        <f>SUM(B141:D141)</f>
        <v>54529229</v>
      </c>
      <c r="F141" s="199"/>
    </row>
    <row r="142" spans="1:6" ht="12.6" customHeight="1" x14ac:dyDescent="0.25">
      <c r="A142" s="173" t="s">
        <v>246</v>
      </c>
      <c r="B142" s="174">
        <v>32907823</v>
      </c>
      <c r="C142" s="189">
        <v>31955024</v>
      </c>
      <c r="D142" s="174">
        <v>44606849</v>
      </c>
      <c r="E142" s="175">
        <f>SUM(B142:D142)</f>
        <v>109469696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1.4" customHeight="1" x14ac:dyDescent="0.25">
      <c r="A165" s="173" t="s">
        <v>307</v>
      </c>
      <c r="B165" s="172" t="s">
        <v>256</v>
      </c>
      <c r="C165" s="189">
        <v>1504101.08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40708.39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/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1787268.01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37010.74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912618.25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f>4589658-C165-C166-C168-C169-C170</f>
        <v>307951.5299999998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/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4589658</v>
      </c>
      <c r="E173" s="175"/>
    </row>
    <row r="174" spans="1:5" ht="11.4" customHeight="1" x14ac:dyDescent="0.25">
      <c r="A174" s="257" t="s">
        <v>314</v>
      </c>
      <c r="B174" s="257"/>
      <c r="C174" s="257"/>
      <c r="D174" s="257"/>
      <c r="E174" s="257"/>
    </row>
    <row r="175" spans="1:5" ht="11.4" customHeight="1" x14ac:dyDescent="0.25">
      <c r="A175" s="173" t="s">
        <v>315</v>
      </c>
      <c r="B175" s="172" t="s">
        <v>256</v>
      </c>
      <c r="C175" s="189">
        <f>695252-C176</f>
        <v>521882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173370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695252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1.4" customHeight="1" x14ac:dyDescent="0.25">
      <c r="A179" s="173" t="s">
        <v>318</v>
      </c>
      <c r="B179" s="172" t="s">
        <v>256</v>
      </c>
      <c r="C179" s="189">
        <v>147336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/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147336</v>
      </c>
      <c r="E181" s="175"/>
    </row>
    <row r="182" spans="1:5" ht="11.4" customHeight="1" x14ac:dyDescent="0.25">
      <c r="A182" s="257" t="s">
        <v>320</v>
      </c>
      <c r="B182" s="257"/>
      <c r="C182" s="257"/>
      <c r="D182" s="257"/>
      <c r="E182" s="257"/>
    </row>
    <row r="183" spans="1:5" ht="11.4" customHeight="1" x14ac:dyDescent="0.25">
      <c r="A183" s="173" t="s">
        <v>321</v>
      </c>
      <c r="B183" s="172" t="s">
        <v>256</v>
      </c>
      <c r="C183" s="189">
        <v>26480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494207.39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520687.39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189"/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55466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55466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/>
      <c r="C195" s="189"/>
      <c r="D195" s="174"/>
      <c r="E195" s="175">
        <f t="shared" ref="E195:E203" si="10">SUM(B195:C195)-D195</f>
        <v>0</v>
      </c>
    </row>
    <row r="196" spans="1:8" ht="12.6" customHeight="1" x14ac:dyDescent="0.25">
      <c r="A196" s="173" t="s">
        <v>333</v>
      </c>
      <c r="B196" s="174">
        <v>20183.5</v>
      </c>
      <c r="C196" s="189"/>
      <c r="D196" s="174"/>
      <c r="E196" s="175">
        <f t="shared" si="10"/>
        <v>20183.5</v>
      </c>
    </row>
    <row r="197" spans="1:8" ht="12.6" customHeight="1" x14ac:dyDescent="0.25">
      <c r="A197" s="173" t="s">
        <v>334</v>
      </c>
      <c r="B197" s="174">
        <f>76126-36910</f>
        <v>39216</v>
      </c>
      <c r="C197" s="189">
        <v>36910.379999999997</v>
      </c>
      <c r="D197" s="174"/>
      <c r="E197" s="175">
        <f t="shared" si="10"/>
        <v>76126.38</v>
      </c>
    </row>
    <row r="198" spans="1:8" ht="12.6" customHeight="1" x14ac:dyDescent="0.25">
      <c r="A198" s="173" t="s">
        <v>335</v>
      </c>
      <c r="B198" s="174"/>
      <c r="C198" s="189"/>
      <c r="D198" s="174"/>
      <c r="E198" s="175">
        <f t="shared" si="10"/>
        <v>0</v>
      </c>
    </row>
    <row r="199" spans="1:8" ht="12.6" customHeight="1" x14ac:dyDescent="0.25">
      <c r="A199" s="173" t="s">
        <v>336</v>
      </c>
      <c r="B199" s="174">
        <v>43187.85</v>
      </c>
      <c r="C199" s="189">
        <f>51610.85+1981.9+41266.99-306.88</f>
        <v>94552.859999999986</v>
      </c>
      <c r="D199" s="174"/>
      <c r="E199" s="175">
        <f t="shared" si="10"/>
        <v>137740.71</v>
      </c>
    </row>
    <row r="200" spans="1:8" ht="12.6" customHeight="1" x14ac:dyDescent="0.25">
      <c r="A200" s="173" t="s">
        <v>337</v>
      </c>
      <c r="B200" s="174">
        <v>2363693.11</v>
      </c>
      <c r="C200" s="189">
        <v>1274693.52</v>
      </c>
      <c r="D200" s="174"/>
      <c r="E200" s="175">
        <f t="shared" si="10"/>
        <v>3638386.63</v>
      </c>
    </row>
    <row r="201" spans="1:8" ht="12.6" customHeight="1" x14ac:dyDescent="0.25">
      <c r="A201" s="173" t="s">
        <v>338</v>
      </c>
      <c r="B201" s="174"/>
      <c r="C201" s="189"/>
      <c r="D201" s="174"/>
      <c r="E201" s="175">
        <f t="shared" si="10"/>
        <v>0</v>
      </c>
    </row>
    <row r="202" spans="1:8" ht="12.6" customHeight="1" x14ac:dyDescent="0.25">
      <c r="A202" s="173" t="s">
        <v>339</v>
      </c>
      <c r="B202" s="174"/>
      <c r="C202" s="189">
        <v>76909.5</v>
      </c>
      <c r="D202" s="174"/>
      <c r="E202" s="175">
        <f t="shared" si="10"/>
        <v>76909.5</v>
      </c>
    </row>
    <row r="203" spans="1:8" ht="12.6" customHeight="1" x14ac:dyDescent="0.25">
      <c r="A203" s="173" t="s">
        <v>340</v>
      </c>
      <c r="B203" s="174"/>
      <c r="C203" s="189"/>
      <c r="D203" s="174"/>
      <c r="E203" s="175">
        <f t="shared" si="10"/>
        <v>0</v>
      </c>
    </row>
    <row r="204" spans="1:8" ht="12.6" customHeight="1" x14ac:dyDescent="0.25">
      <c r="A204" s="173" t="s">
        <v>203</v>
      </c>
      <c r="B204" s="175">
        <f>SUM(B195:B203)</f>
        <v>2466280.46</v>
      </c>
      <c r="C204" s="191">
        <f>SUM(C195:C203)</f>
        <v>1483066.26</v>
      </c>
      <c r="D204" s="175">
        <f>SUM(D195:D203)</f>
        <v>0</v>
      </c>
      <c r="E204" s="175">
        <f>SUM(E195:E203)</f>
        <v>3949346.7199999997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>
        <v>1681.96</v>
      </c>
      <c r="C209" s="189">
        <v>1345.56</v>
      </c>
      <c r="D209" s="174"/>
      <c r="E209" s="175">
        <f t="shared" ref="E209:E216" si="11">SUM(B209:C209)-D209</f>
        <v>3027.52</v>
      </c>
      <c r="H209" s="259"/>
    </row>
    <row r="210" spans="1:8" ht="12.6" customHeight="1" x14ac:dyDescent="0.25">
      <c r="A210" s="173" t="s">
        <v>334</v>
      </c>
      <c r="B210" s="174">
        <v>1052.98</v>
      </c>
      <c r="C210" s="189">
        <v>4252.4799999999996</v>
      </c>
      <c r="D210" s="174"/>
      <c r="E210" s="175">
        <f t="shared" si="11"/>
        <v>5305.4599999999991</v>
      </c>
      <c r="H210" s="259"/>
    </row>
    <row r="211" spans="1:8" ht="12.6" customHeight="1" x14ac:dyDescent="0.25">
      <c r="A211" s="173" t="s">
        <v>335</v>
      </c>
      <c r="B211" s="174"/>
      <c r="C211" s="189"/>
      <c r="D211" s="174"/>
      <c r="E211" s="175">
        <f t="shared" si="11"/>
        <v>0</v>
      </c>
      <c r="H211" s="259"/>
    </row>
    <row r="212" spans="1:8" ht="12.6" customHeight="1" x14ac:dyDescent="0.25">
      <c r="A212" s="173" t="s">
        <v>336</v>
      </c>
      <c r="B212" s="174">
        <v>1783.34</v>
      </c>
      <c r="C212" s="189">
        <v>7989.29</v>
      </c>
      <c r="D212" s="174"/>
      <c r="E212" s="175">
        <f t="shared" si="11"/>
        <v>9772.6299999999992</v>
      </c>
      <c r="H212" s="259"/>
    </row>
    <row r="213" spans="1:8" ht="12.6" customHeight="1" x14ac:dyDescent="0.25">
      <c r="A213" s="173" t="s">
        <v>337</v>
      </c>
      <c r="B213" s="174">
        <v>170874.7</v>
      </c>
      <c r="C213" s="189">
        <v>527936.25</v>
      </c>
      <c r="D213" s="174"/>
      <c r="E213" s="175">
        <f t="shared" si="11"/>
        <v>698810.95</v>
      </c>
      <c r="H213" s="259"/>
    </row>
    <row r="214" spans="1:8" ht="12.6" customHeight="1" x14ac:dyDescent="0.25">
      <c r="A214" s="173" t="s">
        <v>338</v>
      </c>
      <c r="B214" s="174"/>
      <c r="C214" s="189"/>
      <c r="D214" s="174"/>
      <c r="E214" s="175">
        <f t="shared" si="11"/>
        <v>0</v>
      </c>
      <c r="H214" s="259"/>
    </row>
    <row r="215" spans="1:8" ht="12.6" customHeight="1" x14ac:dyDescent="0.25">
      <c r="A215" s="173" t="s">
        <v>339</v>
      </c>
      <c r="B215" s="174"/>
      <c r="C215" s="189">
        <v>1281.83</v>
      </c>
      <c r="D215" s="174"/>
      <c r="E215" s="175">
        <f t="shared" si="11"/>
        <v>1281.83</v>
      </c>
      <c r="H215" s="259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175392.98</v>
      </c>
      <c r="C217" s="191">
        <f>SUM(C208:C216)</f>
        <v>542805.40999999992</v>
      </c>
      <c r="D217" s="175">
        <f>SUM(D208:D216)</f>
        <v>0</v>
      </c>
      <c r="E217" s="175">
        <f>SUM(E208:E216)</f>
        <v>718198.3899999999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7" t="s">
        <v>1255</v>
      </c>
      <c r="C220" s="287"/>
      <c r="D220" s="208"/>
      <c r="E220" s="208"/>
    </row>
    <row r="221" spans="1:8" ht="12.6" customHeight="1" x14ac:dyDescent="0.25">
      <c r="A221" s="272" t="s">
        <v>1255</v>
      </c>
      <c r="B221" s="208"/>
      <c r="C221" s="189">
        <v>5245874</v>
      </c>
      <c r="D221" s="172">
        <f>C221</f>
        <v>5245874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v>43060475.199999996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34138145.960000016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1573611.72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v>5048354.79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f>12346890.34+7810077.32</f>
        <v>20156967.66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/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103977555.33000001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189"/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f>1012324-C234</f>
        <v>1004881.2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7442.8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1012324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>
        <v>1462748.6</v>
      </c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>
        <f>2628947+8018.19+1334227-C238</f>
        <v>2508443.59</v>
      </c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3971192.19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114206945.52000001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>
        <v>2877.1600000000071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>
        <v>7600480.3200000003</v>
      </c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25712903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18866249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/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347668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1226171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0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16023850.48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>
        <v>14007579.74</v>
      </c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14007579.74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>
        <v>0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20183.5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76126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>
        <v>0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137740.71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3638386.63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76909.5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/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3949346.34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718198.3899999999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3231147.95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>
        <v>52136.959999999999</v>
      </c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/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52136.959999999999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33314715.129999999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267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112046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/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/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>
        <v>1072713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/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/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SUM(C305:C313)</f>
        <v>1184759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/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>
        <v>513555.36</v>
      </c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/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/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/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513555.36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513555.36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31616401</v>
      </c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33314715.359999999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33314715.129999999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v>54529229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109469696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163998925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1255</v>
      </c>
      <c r="B363" s="257"/>
      <c r="C363" s="189">
        <v>5245874</v>
      </c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v>107948748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1012324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/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114206946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49791979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>
        <v>2394307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2394307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52186286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v>23401366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4589658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2248814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6805433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795553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4559398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542805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695249.91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147336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520687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55467.630000000005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f>302006+2+12576895</f>
        <v>12878903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57240670.539999999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-5054384.5399999991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375342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-4679042.5399999991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>
        <v>2011331</v>
      </c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-2667711.5399999991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CASCADE VALLEY HOSPITAL   H-0     FYE 12/31/2018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1423</v>
      </c>
      <c r="C414" s="194">
        <f>E138</f>
        <v>1422.8115</v>
      </c>
      <c r="D414" s="179"/>
    </row>
    <row r="415" spans="1:5" ht="12.6" customHeight="1" x14ac:dyDescent="0.25">
      <c r="A415" s="179" t="s">
        <v>464</v>
      </c>
      <c r="B415" s="179">
        <f>D111</f>
        <v>5659</v>
      </c>
      <c r="C415" s="179">
        <f>E139</f>
        <v>5929.2644999999993</v>
      </c>
      <c r="D415" s="194">
        <f>SUM(C59:H59)+N59</f>
        <v>5657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135</v>
      </c>
    </row>
    <row r="424" spans="1:7" ht="12.6" customHeight="1" x14ac:dyDescent="0.25">
      <c r="A424" s="179" t="s">
        <v>1244</v>
      </c>
      <c r="B424" s="179">
        <f>D114</f>
        <v>258</v>
      </c>
      <c r="D424" s="179">
        <f>J59</f>
        <v>258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23401366</v>
      </c>
      <c r="C427" s="179">
        <f t="shared" ref="C427:C434" si="13">CE61</f>
        <v>21207399</v>
      </c>
      <c r="D427" s="179"/>
    </row>
    <row r="428" spans="1:7" ht="12.6" customHeight="1" x14ac:dyDescent="0.25">
      <c r="A428" s="179" t="s">
        <v>3</v>
      </c>
      <c r="B428" s="179">
        <f t="shared" si="12"/>
        <v>4589658</v>
      </c>
      <c r="C428" s="179">
        <f t="shared" si="13"/>
        <v>4589660</v>
      </c>
      <c r="D428" s="179">
        <f>D173</f>
        <v>4589658</v>
      </c>
    </row>
    <row r="429" spans="1:7" ht="12.6" customHeight="1" x14ac:dyDescent="0.25">
      <c r="A429" s="179" t="s">
        <v>236</v>
      </c>
      <c r="B429" s="179">
        <f t="shared" si="12"/>
        <v>2248814</v>
      </c>
      <c r="C429" s="179">
        <f t="shared" si="13"/>
        <v>4442781</v>
      </c>
      <c r="D429" s="179"/>
    </row>
    <row r="430" spans="1:7" ht="12.6" customHeight="1" x14ac:dyDescent="0.25">
      <c r="A430" s="179" t="s">
        <v>237</v>
      </c>
      <c r="B430" s="179">
        <f t="shared" si="12"/>
        <v>6805433</v>
      </c>
      <c r="C430" s="179">
        <f t="shared" si="13"/>
        <v>6805433</v>
      </c>
      <c r="D430" s="179"/>
    </row>
    <row r="431" spans="1:7" ht="12.6" customHeight="1" x14ac:dyDescent="0.25">
      <c r="A431" s="179" t="s">
        <v>444</v>
      </c>
      <c r="B431" s="179">
        <f t="shared" si="12"/>
        <v>795553</v>
      </c>
      <c r="C431" s="179">
        <f t="shared" si="13"/>
        <v>795553</v>
      </c>
      <c r="D431" s="179"/>
    </row>
    <row r="432" spans="1:7" ht="12.6" customHeight="1" x14ac:dyDescent="0.25">
      <c r="A432" s="179" t="s">
        <v>445</v>
      </c>
      <c r="B432" s="179">
        <f t="shared" si="12"/>
        <v>4559398</v>
      </c>
      <c r="C432" s="179">
        <f t="shared" si="13"/>
        <v>4559398</v>
      </c>
      <c r="D432" s="179"/>
    </row>
    <row r="433" spans="1:7" ht="12.6" customHeight="1" x14ac:dyDescent="0.25">
      <c r="A433" s="179" t="s">
        <v>6</v>
      </c>
      <c r="B433" s="179">
        <f t="shared" si="12"/>
        <v>542805</v>
      </c>
      <c r="C433" s="179">
        <f t="shared" si="13"/>
        <v>542804</v>
      </c>
      <c r="D433" s="179">
        <f>C217</f>
        <v>542805.40999999992</v>
      </c>
    </row>
    <row r="434" spans="1:7" ht="12.6" customHeight="1" x14ac:dyDescent="0.25">
      <c r="A434" s="179" t="s">
        <v>474</v>
      </c>
      <c r="B434" s="179">
        <f t="shared" si="12"/>
        <v>695249.91</v>
      </c>
      <c r="C434" s="179">
        <f t="shared" si="13"/>
        <v>695250</v>
      </c>
      <c r="D434" s="179">
        <f>D177</f>
        <v>695252</v>
      </c>
    </row>
    <row r="435" spans="1:7" ht="12.6" customHeight="1" x14ac:dyDescent="0.25">
      <c r="A435" s="179" t="s">
        <v>447</v>
      </c>
      <c r="B435" s="179">
        <f t="shared" si="12"/>
        <v>147336</v>
      </c>
      <c r="C435" s="179"/>
      <c r="D435" s="179">
        <f>D181</f>
        <v>147336</v>
      </c>
    </row>
    <row r="436" spans="1:7" ht="12.6" customHeight="1" x14ac:dyDescent="0.25">
      <c r="A436" s="179" t="s">
        <v>475</v>
      </c>
      <c r="B436" s="179">
        <f t="shared" si="12"/>
        <v>520687</v>
      </c>
      <c r="C436" s="179"/>
      <c r="D436" s="179">
        <f>D186</f>
        <v>520687.39</v>
      </c>
    </row>
    <row r="437" spans="1:7" ht="12.6" customHeight="1" x14ac:dyDescent="0.25">
      <c r="A437" s="194" t="s">
        <v>449</v>
      </c>
      <c r="B437" s="194">
        <f t="shared" si="12"/>
        <v>55467.630000000005</v>
      </c>
      <c r="C437" s="194"/>
      <c r="D437" s="194">
        <f>D190</f>
        <v>55466</v>
      </c>
    </row>
    <row r="438" spans="1:7" ht="12.6" customHeight="1" x14ac:dyDescent="0.25">
      <c r="A438" s="194" t="s">
        <v>476</v>
      </c>
      <c r="B438" s="194">
        <f>C386+C387+C388</f>
        <v>723490.63</v>
      </c>
      <c r="C438" s="194">
        <f>CD69</f>
        <v>0</v>
      </c>
      <c r="D438" s="194">
        <f>D181+D186+D190</f>
        <v>723489.39</v>
      </c>
    </row>
    <row r="439" spans="1:7" ht="12.6" customHeight="1" x14ac:dyDescent="0.25">
      <c r="A439" s="179" t="s">
        <v>451</v>
      </c>
      <c r="B439" s="194">
        <f>C389</f>
        <v>12878903</v>
      </c>
      <c r="C439" s="194">
        <f>SUM(C69:CC69)</f>
        <v>13602393.530000001</v>
      </c>
      <c r="D439" s="179"/>
    </row>
    <row r="440" spans="1:7" ht="12.6" customHeight="1" x14ac:dyDescent="0.25">
      <c r="A440" s="179" t="s">
        <v>477</v>
      </c>
      <c r="B440" s="194">
        <f>B438+B439</f>
        <v>13602393.630000001</v>
      </c>
      <c r="C440" s="194">
        <f>CE69</f>
        <v>13602393.530000001</v>
      </c>
      <c r="D440" s="179"/>
    </row>
    <row r="441" spans="1:7" ht="12.6" customHeight="1" x14ac:dyDescent="0.25">
      <c r="A441" s="179" t="s">
        <v>478</v>
      </c>
      <c r="B441" s="179">
        <f>D390</f>
        <v>57240670.539999999</v>
      </c>
      <c r="C441" s="179">
        <f>SUM(C427:C437)+C440</f>
        <v>57240671.530000001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5245874</v>
      </c>
      <c r="C444" s="179">
        <f>C363</f>
        <v>5245874</v>
      </c>
      <c r="D444" s="179"/>
    </row>
    <row r="445" spans="1:7" ht="12.6" customHeight="1" x14ac:dyDescent="0.25">
      <c r="A445" s="179" t="s">
        <v>343</v>
      </c>
      <c r="B445" s="179">
        <f>D229</f>
        <v>103977555.33000001</v>
      </c>
      <c r="C445" s="179">
        <f>C364</f>
        <v>107948748</v>
      </c>
      <c r="D445" s="179"/>
    </row>
    <row r="446" spans="1:7" ht="12.6" customHeight="1" x14ac:dyDescent="0.25">
      <c r="A446" s="179" t="s">
        <v>351</v>
      </c>
      <c r="B446" s="179">
        <f>D236</f>
        <v>1012324</v>
      </c>
      <c r="C446" s="179">
        <f>C365</f>
        <v>1012324</v>
      </c>
      <c r="D446" s="179"/>
    </row>
    <row r="447" spans="1:7" ht="12.6" customHeight="1" x14ac:dyDescent="0.25">
      <c r="A447" s="179" t="s">
        <v>356</v>
      </c>
      <c r="B447" s="179">
        <f>D240</f>
        <v>3971192.19</v>
      </c>
      <c r="C447" s="179">
        <f>C366</f>
        <v>0</v>
      </c>
      <c r="D447" s="179"/>
    </row>
    <row r="448" spans="1:7" ht="12.6" customHeight="1" x14ac:dyDescent="0.25">
      <c r="A448" s="179" t="s">
        <v>358</v>
      </c>
      <c r="B448" s="179">
        <f>D242</f>
        <v>114206945.52000001</v>
      </c>
      <c r="C448" s="179">
        <f>D367</f>
        <v>114206946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0</v>
      </c>
    </row>
    <row r="454" spans="1:7" ht="12.6" customHeight="1" x14ac:dyDescent="0.25">
      <c r="A454" s="179" t="s">
        <v>168</v>
      </c>
      <c r="B454" s="179">
        <f>C233</f>
        <v>1004881.2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7442.8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2394307</v>
      </c>
      <c r="C458" s="194">
        <f>CE70</f>
        <v>2394307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54529229</v>
      </c>
      <c r="C463" s="194">
        <f>CE73</f>
        <v>54529229</v>
      </c>
      <c r="D463" s="194">
        <f>E141+E147+E153</f>
        <v>54529229</v>
      </c>
    </row>
    <row r="464" spans="1:7" ht="12.6" customHeight="1" x14ac:dyDescent="0.25">
      <c r="A464" s="179" t="s">
        <v>246</v>
      </c>
      <c r="B464" s="194">
        <f>C360</f>
        <v>109469696</v>
      </c>
      <c r="C464" s="194">
        <f>CE74</f>
        <v>109469696</v>
      </c>
      <c r="D464" s="194">
        <f>E142+E148+E154</f>
        <v>109469696</v>
      </c>
    </row>
    <row r="465" spans="1:7" ht="12.6" customHeight="1" x14ac:dyDescent="0.25">
      <c r="A465" s="179" t="s">
        <v>247</v>
      </c>
      <c r="B465" s="194">
        <f>D361</f>
        <v>163998925</v>
      </c>
      <c r="C465" s="194">
        <f>CE75</f>
        <v>163998925</v>
      </c>
      <c r="D465" s="194">
        <f>D463+D464</f>
        <v>163998925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0</v>
      </c>
      <c r="C468" s="179">
        <f>E195</f>
        <v>0</v>
      </c>
      <c r="D468" s="179"/>
    </row>
    <row r="469" spans="1:7" ht="12.6" customHeight="1" x14ac:dyDescent="0.25">
      <c r="A469" s="179" t="s">
        <v>333</v>
      </c>
      <c r="B469" s="179">
        <f t="shared" si="14"/>
        <v>20183.5</v>
      </c>
      <c r="C469" s="179">
        <f>E196</f>
        <v>20183.5</v>
      </c>
      <c r="D469" s="179"/>
    </row>
    <row r="470" spans="1:7" ht="12.6" customHeight="1" x14ac:dyDescent="0.25">
      <c r="A470" s="179" t="s">
        <v>334</v>
      </c>
      <c r="B470" s="179">
        <f t="shared" si="14"/>
        <v>76126</v>
      </c>
      <c r="C470" s="179">
        <f>E197</f>
        <v>76126.38</v>
      </c>
      <c r="D470" s="179"/>
    </row>
    <row r="471" spans="1:7" ht="12.6" customHeight="1" x14ac:dyDescent="0.2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5">
      <c r="A472" s="179" t="s">
        <v>377</v>
      </c>
      <c r="B472" s="179">
        <f t="shared" si="14"/>
        <v>137740.71</v>
      </c>
      <c r="C472" s="179">
        <f>E199</f>
        <v>137740.71</v>
      </c>
      <c r="D472" s="179"/>
    </row>
    <row r="473" spans="1:7" ht="12.6" customHeight="1" x14ac:dyDescent="0.25">
      <c r="A473" s="179" t="s">
        <v>495</v>
      </c>
      <c r="B473" s="179">
        <f t="shared" si="14"/>
        <v>3638386.63</v>
      </c>
      <c r="C473" s="179">
        <f>SUM(E200:E201)</f>
        <v>3638386.63</v>
      </c>
      <c r="D473" s="179"/>
    </row>
    <row r="474" spans="1:7" ht="12.6" customHeight="1" x14ac:dyDescent="0.25">
      <c r="A474" s="179" t="s">
        <v>339</v>
      </c>
      <c r="B474" s="179">
        <f t="shared" si="14"/>
        <v>76909.5</v>
      </c>
      <c r="C474" s="179">
        <f>E202</f>
        <v>76909.5</v>
      </c>
      <c r="D474" s="179"/>
    </row>
    <row r="475" spans="1:7" ht="12.6" customHeight="1" x14ac:dyDescent="0.25">
      <c r="A475" s="179" t="s">
        <v>340</v>
      </c>
      <c r="B475" s="179">
        <f t="shared" si="14"/>
        <v>0</v>
      </c>
      <c r="C475" s="179">
        <f>E203</f>
        <v>0</v>
      </c>
      <c r="D475" s="179"/>
    </row>
    <row r="476" spans="1:7" ht="12.6" customHeight="1" x14ac:dyDescent="0.25">
      <c r="A476" s="179" t="s">
        <v>203</v>
      </c>
      <c r="B476" s="179">
        <f>D275</f>
        <v>3949346.34</v>
      </c>
      <c r="C476" s="179">
        <f>E204</f>
        <v>3949346.7199999997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718198.3899999999</v>
      </c>
      <c r="C478" s="179">
        <f>E217</f>
        <v>718198.3899999999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33314715.129999999</v>
      </c>
    </row>
    <row r="482" spans="1:12" ht="12.6" customHeight="1" x14ac:dyDescent="0.25">
      <c r="A482" s="180" t="s">
        <v>499</v>
      </c>
      <c r="C482" s="180">
        <f>D339</f>
        <v>33314715.359999999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106</v>
      </c>
      <c r="B493" s="261" t="str">
        <f>RIGHT('Prior Year'!C83,4)</f>
        <v>106</v>
      </c>
      <c r="C493" s="261" t="str">
        <f>RIGHT(C82,4)</f>
        <v>2018</v>
      </c>
      <c r="D493" s="261" t="str">
        <f>RIGHT('Prior Year'!C83,4)</f>
        <v>106</v>
      </c>
      <c r="E493" s="261" t="str">
        <f>RIGHT(C82,4)</f>
        <v>2018</v>
      </c>
      <c r="F493" s="261" t="str">
        <f>RIGHT('Prior Year'!C83,4)</f>
        <v>106</v>
      </c>
      <c r="G493" s="261" t="str">
        <f>RIGHT(C82,4)</f>
        <v>2018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f>'Prior Year'!C71</f>
        <v>1394072</v>
      </c>
      <c r="C496" s="240">
        <f>C71</f>
        <v>2029735.13</v>
      </c>
      <c r="D496" s="240">
        <f>'Prior Year'!C59</f>
        <v>643</v>
      </c>
      <c r="E496" s="180">
        <f>C59</f>
        <v>1656</v>
      </c>
      <c r="F496" s="263">
        <f t="shared" ref="F496:G511" si="15">IF(B496=0,"",IF(D496=0,"",B496/D496))</f>
        <v>2168.0746500777605</v>
      </c>
      <c r="G496" s="264">
        <f t="shared" si="15"/>
        <v>1225.6854649758454</v>
      </c>
      <c r="H496" s="265">
        <f>IF(B496=0,"",IF(C496=0,"",IF(D496=0,"",IF(E496=0,"",IF(G496/F496-1&lt;-0.25,G496/F496-1,IF(G496/F496-1&gt;0.25,G496/F496-1,""))))))</f>
        <v>-0.43466639170755272</v>
      </c>
      <c r="I496" s="267"/>
      <c r="K496" s="261"/>
      <c r="L496" s="261"/>
    </row>
    <row r="497" spans="1:12" ht="12.6" customHeight="1" x14ac:dyDescent="0.25">
      <c r="A497" s="180" t="s">
        <v>513</v>
      </c>
      <c r="B497" s="240">
        <f>'Prior Year'!D71</f>
        <v>0</v>
      </c>
      <c r="C497" s="240">
        <f>D71</f>
        <v>0</v>
      </c>
      <c r="D497" s="240">
        <f>'Prior Year'!D59</f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f>'Prior Year'!E71</f>
        <v>4795893</v>
      </c>
      <c r="C498" s="240">
        <f>E71</f>
        <v>5114882</v>
      </c>
      <c r="D498" s="240">
        <f>'Prior Year'!E59</f>
        <v>3634</v>
      </c>
      <c r="E498" s="180">
        <f>E59</f>
        <v>3711</v>
      </c>
      <c r="F498" s="263">
        <f t="shared" si="15"/>
        <v>1319.7283984589983</v>
      </c>
      <c r="G498" s="263">
        <f t="shared" si="15"/>
        <v>1378.3028833198598</v>
      </c>
      <c r="H498" s="265" t="str">
        <f t="shared" si="16"/>
        <v/>
      </c>
      <c r="I498" s="267"/>
      <c r="K498" s="261"/>
      <c r="L498" s="261"/>
    </row>
    <row r="499" spans="1:12" ht="12.6" customHeight="1" x14ac:dyDescent="0.25">
      <c r="A499" s="180" t="s">
        <v>515</v>
      </c>
      <c r="B499" s="240">
        <f>'Prior Year'!F71</f>
        <v>1750641</v>
      </c>
      <c r="C499" s="240">
        <f>F71</f>
        <v>2444260.59</v>
      </c>
      <c r="D499" s="240">
        <f>'Prior Year'!F59</f>
        <v>290</v>
      </c>
      <c r="E499" s="180">
        <f>F59</f>
        <v>290</v>
      </c>
      <c r="F499" s="263">
        <f t="shared" si="15"/>
        <v>6036.6931034482759</v>
      </c>
      <c r="G499" s="263">
        <f t="shared" si="15"/>
        <v>8428.4847931034474</v>
      </c>
      <c r="H499" s="265">
        <f t="shared" si="16"/>
        <v>0.3962089257591932</v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f>'Prior Year'!G71</f>
        <v>0</v>
      </c>
      <c r="C500" s="240">
        <f>G71</f>
        <v>0</v>
      </c>
      <c r="D500" s="240">
        <f>'Prior Year'!G59</f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f>'Prior Year'!H71</f>
        <v>0</v>
      </c>
      <c r="C501" s="240">
        <f>H71</f>
        <v>0</v>
      </c>
      <c r="D501" s="240">
        <f>'Prior Year'!H59</f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f>'Prior Year'!I71</f>
        <v>0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f>'Prior Year'!J71</f>
        <v>6472</v>
      </c>
      <c r="C503" s="240">
        <f>J71</f>
        <v>4330</v>
      </c>
      <c r="D503" s="240">
        <f>'Prior Year'!J59</f>
        <v>375</v>
      </c>
      <c r="E503" s="180">
        <f>J59</f>
        <v>258</v>
      </c>
      <c r="F503" s="263">
        <f t="shared" si="15"/>
        <v>17.258666666666667</v>
      </c>
      <c r="G503" s="263">
        <f t="shared" si="15"/>
        <v>16.782945736434108</v>
      </c>
      <c r="H503" s="265" t="str">
        <f t="shared" si="16"/>
        <v/>
      </c>
      <c r="I503" s="267"/>
      <c r="K503" s="261"/>
      <c r="L503" s="261"/>
    </row>
    <row r="504" spans="1:12" ht="12.6" customHeight="1" x14ac:dyDescent="0.25">
      <c r="A504" s="180" t="s">
        <v>520</v>
      </c>
      <c r="B504" s="240">
        <f>'Prior Year'!K71</f>
        <v>0</v>
      </c>
      <c r="C504" s="240">
        <f>K71</f>
        <v>0</v>
      </c>
      <c r="D504" s="240">
        <f>'Prior Year'!K59</f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f>'Prior Year'!L71</f>
        <v>0</v>
      </c>
      <c r="C505" s="240">
        <f>L71</f>
        <v>0</v>
      </c>
      <c r="D505" s="240">
        <f>'Prior Year'!L59</f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f>'Prior Year'!M71</f>
        <v>0</v>
      </c>
      <c r="C506" s="240">
        <f>M71</f>
        <v>0</v>
      </c>
      <c r="D506" s="240">
        <f>'Prior Year'!M59</f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f>'Prior Year'!N71</f>
        <v>0</v>
      </c>
      <c r="C507" s="240">
        <f>N71</f>
        <v>0</v>
      </c>
      <c r="D507" s="240">
        <f>'Prior Year'!N59</f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f>'Prior Year'!O71</f>
        <v>52312</v>
      </c>
      <c r="C508" s="240">
        <f>O71</f>
        <v>59246</v>
      </c>
      <c r="D508" s="240">
        <f>'Prior Year'!O59</f>
        <v>291</v>
      </c>
      <c r="E508" s="180">
        <f>O59</f>
        <v>135</v>
      </c>
      <c r="F508" s="263">
        <f t="shared" si="15"/>
        <v>179.76632302405497</v>
      </c>
      <c r="G508" s="263">
        <f t="shared" si="15"/>
        <v>438.85925925925926</v>
      </c>
      <c r="H508" s="265">
        <f t="shared" si="16"/>
        <v>1.4412762739800513</v>
      </c>
      <c r="I508" s="267"/>
      <c r="K508" s="261"/>
      <c r="L508" s="261"/>
    </row>
    <row r="509" spans="1:12" ht="12.6" customHeight="1" x14ac:dyDescent="0.25">
      <c r="A509" s="180" t="s">
        <v>525</v>
      </c>
      <c r="B509" s="240">
        <f>'Prior Year'!P71</f>
        <v>2362361</v>
      </c>
      <c r="C509" s="240">
        <f>P71</f>
        <v>4808903.54</v>
      </c>
      <c r="D509" s="240">
        <f>'Prior Year'!P59</f>
        <v>0</v>
      </c>
      <c r="E509" s="180">
        <f>P59</f>
        <v>125991</v>
      </c>
      <c r="F509" s="263" t="str">
        <f t="shared" si="15"/>
        <v/>
      </c>
      <c r="G509" s="263">
        <f t="shared" si="15"/>
        <v>38.168627441642656</v>
      </c>
      <c r="H509" s="265" t="str">
        <f t="shared" si="16"/>
        <v/>
      </c>
      <c r="I509" s="267"/>
      <c r="K509" s="261"/>
      <c r="L509" s="261"/>
    </row>
    <row r="510" spans="1:12" ht="12.6" customHeight="1" x14ac:dyDescent="0.25">
      <c r="A510" s="180" t="s">
        <v>526</v>
      </c>
      <c r="B510" s="240">
        <f>'Prior Year'!Q71</f>
        <v>685630</v>
      </c>
      <c r="C510" s="240">
        <f>Q71</f>
        <v>1037520.9</v>
      </c>
      <c r="D510" s="240">
        <f>'Prior Year'!Q59</f>
        <v>0</v>
      </c>
      <c r="E510" s="180">
        <f>Q59</f>
        <v>69922</v>
      </c>
      <c r="F510" s="263" t="str">
        <f t="shared" si="15"/>
        <v/>
      </c>
      <c r="G510" s="263">
        <f t="shared" si="15"/>
        <v>14.838261205343096</v>
      </c>
      <c r="H510" s="265" t="str">
        <f t="shared" si="16"/>
        <v/>
      </c>
      <c r="I510" s="267"/>
      <c r="K510" s="261"/>
      <c r="L510" s="261"/>
    </row>
    <row r="511" spans="1:12" ht="12.6" customHeight="1" x14ac:dyDescent="0.25">
      <c r="A511" s="180" t="s">
        <v>527</v>
      </c>
      <c r="B511" s="240">
        <f>'Prior Year'!R71</f>
        <v>632898</v>
      </c>
      <c r="C511" s="240">
        <f>R71</f>
        <v>1123711.29</v>
      </c>
      <c r="D511" s="240">
        <f>'Prior Year'!R59</f>
        <v>0</v>
      </c>
      <c r="E511" s="180">
        <f>R59</f>
        <v>126995</v>
      </c>
      <c r="F511" s="263" t="str">
        <f t="shared" si="15"/>
        <v/>
      </c>
      <c r="G511" s="263">
        <f t="shared" si="15"/>
        <v>8.8484687586125439</v>
      </c>
      <c r="H511" s="265" t="str">
        <f t="shared" si="16"/>
        <v/>
      </c>
      <c r="I511" s="267"/>
      <c r="K511" s="261"/>
      <c r="L511" s="261"/>
    </row>
    <row r="512" spans="1:12" ht="12.6" customHeight="1" x14ac:dyDescent="0.25">
      <c r="A512" s="180" t="s">
        <v>528</v>
      </c>
      <c r="B512" s="240">
        <f>'Prior Year'!S71</f>
        <v>1807629</v>
      </c>
      <c r="C512" s="240">
        <f>S71</f>
        <v>558587.75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5">
      <c r="A513" s="180" t="s">
        <v>1246</v>
      </c>
      <c r="B513" s="240">
        <f>'Prior Year'!T71</f>
        <v>55407</v>
      </c>
      <c r="C513" s="240">
        <f>T71</f>
        <v>61648.36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f>'Prior Year'!U71</f>
        <v>2028384</v>
      </c>
      <c r="C514" s="240">
        <f>U71</f>
        <v>2760905.91</v>
      </c>
      <c r="D514" s="240">
        <f>'Prior Year'!U59</f>
        <v>151904</v>
      </c>
      <c r="E514" s="180">
        <f>U59</f>
        <v>111782</v>
      </c>
      <c r="F514" s="263">
        <f t="shared" si="17"/>
        <v>13.353065093743417</v>
      </c>
      <c r="G514" s="263">
        <f t="shared" si="17"/>
        <v>24.699020504195669</v>
      </c>
      <c r="H514" s="265">
        <f t="shared" si="16"/>
        <v>0.84968921598146041</v>
      </c>
      <c r="I514" s="267"/>
      <c r="K514" s="261"/>
      <c r="L514" s="261"/>
    </row>
    <row r="515" spans="1:12" ht="12.6" customHeight="1" x14ac:dyDescent="0.25">
      <c r="A515" s="180" t="s">
        <v>531</v>
      </c>
      <c r="B515" s="240">
        <f>'Prior Year'!V71</f>
        <v>10032</v>
      </c>
      <c r="C515" s="240">
        <f>V71</f>
        <v>12321</v>
      </c>
      <c r="D515" s="240">
        <f>'Prior Year'!V59</f>
        <v>1232</v>
      </c>
      <c r="E515" s="180">
        <f>V59</f>
        <v>0</v>
      </c>
      <c r="F515" s="263">
        <f t="shared" si="17"/>
        <v>8.1428571428571423</v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f>'Prior Year'!W71</f>
        <v>264801</v>
      </c>
      <c r="C516" s="240">
        <f>W71</f>
        <v>134102</v>
      </c>
      <c r="D516" s="240">
        <f>'Prior Year'!W59</f>
        <v>3003.74</v>
      </c>
      <c r="E516" s="180">
        <f>W59</f>
        <v>8593</v>
      </c>
      <c r="F516" s="263">
        <f t="shared" si="17"/>
        <v>88.15709748513521</v>
      </c>
      <c r="G516" s="263">
        <f t="shared" si="17"/>
        <v>15.605958338182241</v>
      </c>
      <c r="H516" s="265">
        <f t="shared" si="16"/>
        <v>-0.82297558808791693</v>
      </c>
      <c r="I516" s="267"/>
      <c r="K516" s="261"/>
      <c r="L516" s="261"/>
    </row>
    <row r="517" spans="1:12" ht="12.6" customHeight="1" x14ac:dyDescent="0.25">
      <c r="A517" s="180" t="s">
        <v>533</v>
      </c>
      <c r="B517" s="240">
        <f>'Prior Year'!X71</f>
        <v>342663</v>
      </c>
      <c r="C517" s="240">
        <f>X71</f>
        <v>414960.11</v>
      </c>
      <c r="D517" s="240">
        <f>'Prior Year'!X59</f>
        <v>23180.25</v>
      </c>
      <c r="E517" s="180">
        <f>X59</f>
        <v>37259</v>
      </c>
      <c r="F517" s="263">
        <f t="shared" si="17"/>
        <v>14.782541171902805</v>
      </c>
      <c r="G517" s="263">
        <f t="shared" si="17"/>
        <v>11.137177863066642</v>
      </c>
      <c r="H517" s="265" t="str">
        <f t="shared" si="16"/>
        <v/>
      </c>
      <c r="I517" s="267"/>
      <c r="K517" s="261"/>
      <c r="L517" s="261"/>
    </row>
    <row r="518" spans="1:12" ht="12.6" customHeight="1" x14ac:dyDescent="0.25">
      <c r="A518" s="180" t="s">
        <v>534</v>
      </c>
      <c r="B518" s="240">
        <f>'Prior Year'!Y71</f>
        <v>2189620</v>
      </c>
      <c r="C518" s="240">
        <f>Y71</f>
        <v>2904148.58</v>
      </c>
      <c r="D518" s="240">
        <f>'Prior Year'!Y59</f>
        <v>13174.87</v>
      </c>
      <c r="E518" s="180">
        <f>Y59</f>
        <v>37073</v>
      </c>
      <c r="F518" s="263">
        <f t="shared" si="17"/>
        <v>166.19670630526144</v>
      </c>
      <c r="G518" s="263">
        <f t="shared" si="17"/>
        <v>78.33594745502117</v>
      </c>
      <c r="H518" s="265">
        <f t="shared" si="16"/>
        <v>-0.52865523513361456</v>
      </c>
      <c r="I518" s="267"/>
      <c r="K518" s="261"/>
      <c r="L518" s="261"/>
    </row>
    <row r="519" spans="1:12" ht="12.6" customHeight="1" x14ac:dyDescent="0.25">
      <c r="A519" s="180" t="s">
        <v>535</v>
      </c>
      <c r="B519" s="240">
        <f>'Prior Year'!Z71</f>
        <v>0</v>
      </c>
      <c r="C519" s="240">
        <f>Z71</f>
        <v>0</v>
      </c>
      <c r="D519" s="240">
        <f>'Prior Year'!Z59</f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f>'Prior Year'!AA71</f>
        <v>237778</v>
      </c>
      <c r="C520" s="240">
        <f>AA71</f>
        <v>285625.7</v>
      </c>
      <c r="D520" s="240">
        <f>'Prior Year'!AA59</f>
        <v>584.11</v>
      </c>
      <c r="E520" s="180">
        <f>AA59</f>
        <v>3048</v>
      </c>
      <c r="F520" s="263">
        <f t="shared" si="17"/>
        <v>407.07743404495727</v>
      </c>
      <c r="G520" s="263">
        <f t="shared" si="17"/>
        <v>93.709219160104993</v>
      </c>
      <c r="H520" s="265">
        <f t="shared" si="16"/>
        <v>-0.76980001512499507</v>
      </c>
      <c r="I520" s="267"/>
      <c r="K520" s="261"/>
      <c r="L520" s="261"/>
    </row>
    <row r="521" spans="1:12" ht="12.6" customHeight="1" x14ac:dyDescent="0.25">
      <c r="A521" s="180" t="s">
        <v>537</v>
      </c>
      <c r="B521" s="240">
        <f>'Prior Year'!AB71</f>
        <v>2031551</v>
      </c>
      <c r="C521" s="240">
        <f>AB71</f>
        <v>2235506.73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f>'Prior Year'!AC71</f>
        <v>705861</v>
      </c>
      <c r="C522" s="240">
        <f>AC71</f>
        <v>994738.41999999993</v>
      </c>
      <c r="D522" s="240">
        <f>'Prior Year'!AC59</f>
        <v>9819</v>
      </c>
      <c r="E522" s="180">
        <f>AC59</f>
        <v>9976</v>
      </c>
      <c r="F522" s="263">
        <f t="shared" si="17"/>
        <v>71.887259395050407</v>
      </c>
      <c r="G522" s="263">
        <f t="shared" si="17"/>
        <v>99.71315356856455</v>
      </c>
      <c r="H522" s="265">
        <f t="shared" si="16"/>
        <v>0.38707685350194354</v>
      </c>
      <c r="I522" s="267"/>
      <c r="K522" s="261"/>
      <c r="L522" s="261"/>
    </row>
    <row r="523" spans="1:12" ht="12.6" customHeight="1" x14ac:dyDescent="0.25">
      <c r="A523" s="180" t="s">
        <v>539</v>
      </c>
      <c r="B523" s="240">
        <f>'Prior Year'!AD71</f>
        <v>0</v>
      </c>
      <c r="C523" s="240">
        <f>AD71</f>
        <v>0</v>
      </c>
      <c r="D523" s="240">
        <f>'Prior Year'!AD59</f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" customHeight="1" x14ac:dyDescent="0.25">
      <c r="A524" s="180" t="s">
        <v>540</v>
      </c>
      <c r="B524" s="240">
        <f>'Prior Year'!AE71</f>
        <v>48476</v>
      </c>
      <c r="C524" s="240">
        <f>AE71</f>
        <v>156704.79</v>
      </c>
      <c r="D524" s="240">
        <f>'Prior Year'!AE59</f>
        <v>887</v>
      </c>
      <c r="E524" s="180">
        <f>AE59</f>
        <v>1055</v>
      </c>
      <c r="F524" s="263">
        <f t="shared" si="17"/>
        <v>54.65163472378805</v>
      </c>
      <c r="G524" s="263">
        <f t="shared" si="17"/>
        <v>148.535345971564</v>
      </c>
      <c r="H524" s="265">
        <f t="shared" si="16"/>
        <v>1.7178573289210592</v>
      </c>
      <c r="I524" s="267"/>
      <c r="K524" s="261"/>
      <c r="L524" s="261"/>
    </row>
    <row r="525" spans="1:12" ht="12.6" customHeight="1" x14ac:dyDescent="0.25">
      <c r="A525" s="180" t="s">
        <v>541</v>
      </c>
      <c r="B525" s="240">
        <f>'Prior Year'!AF71</f>
        <v>0</v>
      </c>
      <c r="C525" s="240">
        <f>AF71</f>
        <v>0</v>
      </c>
      <c r="D525" s="240">
        <f>'Prior Year'!AF59</f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f>'Prior Year'!AG71</f>
        <v>4536945</v>
      </c>
      <c r="C526" s="240">
        <f>AG71</f>
        <v>6046086.9800000004</v>
      </c>
      <c r="D526" s="240">
        <f>'Prior Year'!AG59</f>
        <v>18225</v>
      </c>
      <c r="E526" s="180">
        <f>AG59</f>
        <v>17270</v>
      </c>
      <c r="F526" s="263">
        <f t="shared" si="17"/>
        <v>248.94074074074075</v>
      </c>
      <c r="G526" s="263">
        <f t="shared" si="17"/>
        <v>350.09189229878405</v>
      </c>
      <c r="H526" s="265">
        <f t="shared" si="16"/>
        <v>0.40632622549873076</v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f>'Prior Year'!AH71</f>
        <v>0</v>
      </c>
      <c r="C527" s="240">
        <f>AH71</f>
        <v>0</v>
      </c>
      <c r="D527" s="240">
        <f>'Prior Year'!AH59</f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f>'Prior Year'!AI71</f>
        <v>0</v>
      </c>
      <c r="C528" s="240">
        <f>AI71</f>
        <v>0</v>
      </c>
      <c r="D528" s="240">
        <f>'Prior Year'!AI59</f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" customHeight="1" x14ac:dyDescent="0.25">
      <c r="A529" s="180" t="s">
        <v>545</v>
      </c>
      <c r="B529" s="240">
        <f>'Prior Year'!AJ71</f>
        <v>51252</v>
      </c>
      <c r="C529" s="240">
        <f>AJ71</f>
        <v>29572.23</v>
      </c>
      <c r="D529" s="240">
        <f>'Prior Year'!AJ59</f>
        <v>13587</v>
      </c>
      <c r="E529" s="180">
        <f>AJ59</f>
        <v>0</v>
      </c>
      <c r="F529" s="263">
        <f t="shared" si="18"/>
        <v>3.7721351291675869</v>
      </c>
      <c r="G529" s="263" t="str">
        <f t="shared" si="18"/>
        <v/>
      </c>
      <c r="H529" s="265" t="str">
        <f t="shared" si="16"/>
        <v/>
      </c>
      <c r="I529" s="267"/>
      <c r="K529" s="261"/>
      <c r="L529" s="261"/>
    </row>
    <row r="530" spans="1:12" ht="12.6" customHeight="1" x14ac:dyDescent="0.25">
      <c r="A530" s="180" t="s">
        <v>546</v>
      </c>
      <c r="B530" s="240">
        <f>'Prior Year'!AK71</f>
        <v>0</v>
      </c>
      <c r="C530" s="240">
        <f>AK71</f>
        <v>0</v>
      </c>
      <c r="D530" s="240">
        <f>'Prior Year'!AK59</f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" customHeight="1" x14ac:dyDescent="0.25">
      <c r="A531" s="180" t="s">
        <v>547</v>
      </c>
      <c r="B531" s="240">
        <f>'Prior Year'!AL71</f>
        <v>0</v>
      </c>
      <c r="C531" s="240">
        <f>AL71</f>
        <v>0</v>
      </c>
      <c r="D531" s="240">
        <f>'Prior Year'!AL59</f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" customHeight="1" x14ac:dyDescent="0.25">
      <c r="A532" s="180" t="s">
        <v>548</v>
      </c>
      <c r="B532" s="240">
        <f>'Prior Year'!AM71</f>
        <v>0</v>
      </c>
      <c r="C532" s="240">
        <f>AM71</f>
        <v>0</v>
      </c>
      <c r="D532" s="240">
        <f>'Prior Year'!AM59</f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5">
      <c r="A533" s="180" t="s">
        <v>1247</v>
      </c>
      <c r="B533" s="240">
        <f>'Prior Year'!AN71</f>
        <v>0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f>'Prior Year'!AO71</f>
        <v>362613</v>
      </c>
      <c r="C534" s="240">
        <f>AO71</f>
        <v>527430.78</v>
      </c>
      <c r="D534" s="240">
        <f>'Prior Year'!AO59</f>
        <v>0</v>
      </c>
      <c r="E534" s="180">
        <f>AO59</f>
        <v>1328.5</v>
      </c>
      <c r="F534" s="263" t="str">
        <f t="shared" si="18"/>
        <v/>
      </c>
      <c r="G534" s="263">
        <f t="shared" si="18"/>
        <v>397.01225442228076</v>
      </c>
      <c r="H534" s="265" t="str">
        <f t="shared" si="16"/>
        <v/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f>'Prior Year'!AP71</f>
        <v>6668567</v>
      </c>
      <c r="C535" s="240">
        <f>AP71</f>
        <v>8304439.3300000001</v>
      </c>
      <c r="D535" s="240">
        <f>'Prior Year'!AP59</f>
        <v>20802</v>
      </c>
      <c r="E535" s="180">
        <f>AP59</f>
        <v>20568</v>
      </c>
      <c r="F535" s="263">
        <f t="shared" si="18"/>
        <v>320.57335833092969</v>
      </c>
      <c r="G535" s="263">
        <f t="shared" si="18"/>
        <v>403.75531553870087</v>
      </c>
      <c r="H535" s="265">
        <f t="shared" si="16"/>
        <v>0.25947869667292189</v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f>'Prior Year'!AQ71</f>
        <v>0</v>
      </c>
      <c r="C536" s="240">
        <f>AQ71</f>
        <v>0</v>
      </c>
      <c r="D536" s="240">
        <f>'Prior Year'!AQ59</f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f>'Prior Year'!AR71</f>
        <v>0</v>
      </c>
      <c r="C537" s="240">
        <f>AR71</f>
        <v>0</v>
      </c>
      <c r="D537" s="240">
        <f>'Prior Year'!AR59</f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f>'Prior Year'!AS71</f>
        <v>0</v>
      </c>
      <c r="C538" s="240">
        <f>AS71</f>
        <v>0</v>
      </c>
      <c r="D538" s="240">
        <f>'Prior Year'!AS59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f>'Prior Year'!AT71</f>
        <v>0</v>
      </c>
      <c r="C539" s="240">
        <f>AT71</f>
        <v>0</v>
      </c>
      <c r="D539" s="240">
        <f>'Prior Year'!AT59</f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f>'Prior Year'!AU71</f>
        <v>0</v>
      </c>
      <c r="C540" s="240">
        <f>AU71</f>
        <v>0</v>
      </c>
      <c r="D540" s="240">
        <f>'Prior Year'!AU59</f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f>'Prior Year'!AV71</f>
        <v>1074439</v>
      </c>
      <c r="C541" s="240">
        <f>AV71</f>
        <v>1169227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>
        <f>'Prior Year'!AW71</f>
        <v>0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f>'Prior Year'!AX71</f>
        <v>0</v>
      </c>
      <c r="C543" s="240">
        <f>AX71</f>
        <v>29032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f>'Prior Year'!AY71</f>
        <v>1066836</v>
      </c>
      <c r="C544" s="240">
        <f>AY71</f>
        <v>1683513.45</v>
      </c>
      <c r="D544" s="240">
        <f>'Prior Year'!AY59</f>
        <v>0</v>
      </c>
      <c r="E544" s="180">
        <f>AY59</f>
        <v>112604</v>
      </c>
      <c r="F544" s="263" t="str">
        <f t="shared" ref="F544:G550" si="19">IF(B544=0,"",IF(D544=0,"",B544/D544))</f>
        <v/>
      </c>
      <c r="G544" s="263">
        <f t="shared" si="19"/>
        <v>14.950742868814606</v>
      </c>
      <c r="H544" s="265" t="str">
        <f t="shared" si="16"/>
        <v/>
      </c>
      <c r="I544" s="267"/>
      <c r="K544" s="261"/>
      <c r="L544" s="261"/>
    </row>
    <row r="545" spans="1:13" ht="12.6" customHeight="1" x14ac:dyDescent="0.25">
      <c r="A545" s="180" t="s">
        <v>559</v>
      </c>
      <c r="B545" s="240">
        <f>'Prior Year'!AZ71</f>
        <v>0</v>
      </c>
      <c r="C545" s="240">
        <f>AZ71</f>
        <v>0</v>
      </c>
      <c r="D545" s="240">
        <f>'Prior Year'!AZ59</f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" customHeight="1" x14ac:dyDescent="0.25">
      <c r="A546" s="180" t="s">
        <v>560</v>
      </c>
      <c r="B546" s="240">
        <f>'Prior Year'!BA71</f>
        <v>192381</v>
      </c>
      <c r="C546" s="240">
        <f>BA71</f>
        <v>243672.06</v>
      </c>
      <c r="D546" s="240">
        <f>'Prior Year'!BA59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f>'Prior Year'!BB71</f>
        <v>0</v>
      </c>
      <c r="C547" s="240">
        <f>BB71</f>
        <v>0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f>'Prior Year'!BC71</f>
        <v>4345</v>
      </c>
      <c r="C548" s="240">
        <f>BC71</f>
        <v>4549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f>'Prior Year'!BD71</f>
        <v>256511</v>
      </c>
      <c r="C549" s="240">
        <f>BD71</f>
        <v>241098.8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f>'Prior Year'!BE71</f>
        <v>914916</v>
      </c>
      <c r="C550" s="240">
        <f>BE71</f>
        <v>1132589.02</v>
      </c>
      <c r="D550" s="240">
        <f>'Prior Year'!BE59</f>
        <v>89368</v>
      </c>
      <c r="E550" s="180">
        <f>BE59</f>
        <v>89368</v>
      </c>
      <c r="F550" s="263">
        <f t="shared" si="19"/>
        <v>10.237624205532182</v>
      </c>
      <c r="G550" s="263">
        <f t="shared" si="19"/>
        <v>12.67331729478113</v>
      </c>
      <c r="H550" s="265" t="str">
        <f t="shared" si="16"/>
        <v/>
      </c>
      <c r="I550" s="267"/>
      <c r="K550" s="261"/>
      <c r="L550" s="261"/>
    </row>
    <row r="551" spans="1:13" ht="12.6" customHeight="1" x14ac:dyDescent="0.25">
      <c r="A551" s="180" t="s">
        <v>565</v>
      </c>
      <c r="B551" s="240">
        <f>'Prior Year'!BF71</f>
        <v>730627</v>
      </c>
      <c r="C551" s="240">
        <f>BF71</f>
        <v>1101414.3400000001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f>'Prior Year'!BG71</f>
        <v>147383</v>
      </c>
      <c r="C552" s="240">
        <f>BG71</f>
        <v>85705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f>'Prior Year'!BH71</f>
        <v>0</v>
      </c>
      <c r="C553" s="240">
        <f>BH71</f>
        <v>0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f>'Prior Year'!BI71</f>
        <v>90448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f>'Prior Year'!BJ71</f>
        <v>0</v>
      </c>
      <c r="C555" s="240">
        <f>BJ71</f>
        <v>0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f>'Prior Year'!BK71</f>
        <v>479362</v>
      </c>
      <c r="C556" s="240">
        <f>BK71</f>
        <v>0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f>'Prior Year'!BL71</f>
        <v>429689</v>
      </c>
      <c r="C557" s="240">
        <f>BL71</f>
        <v>980587.85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f>'Prior Year'!BM71</f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f>'Prior Year'!BN71</f>
        <v>437868</v>
      </c>
      <c r="C559" s="240">
        <f>BN71</f>
        <v>572204.92000000004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f>'Prior Year'!BO71</f>
        <v>0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f>'Prior Year'!BP71</f>
        <v>0</v>
      </c>
      <c r="C561" s="240">
        <f>BP71</f>
        <v>0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f>'Prior Year'!BQ71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f>'Prior Year'!BR71</f>
        <v>0</v>
      </c>
      <c r="C563" s="240">
        <f>BR71</f>
        <v>0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>
        <f>'Prior Year'!BS71</f>
        <v>0</v>
      </c>
      <c r="C564" s="240">
        <f>BS71</f>
        <v>0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f>'Prior Year'!BT71</f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f>'Prior Year'!BU71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f>'Prior Year'!BV71</f>
        <v>756316</v>
      </c>
      <c r="C567" s="240">
        <f>BV71</f>
        <v>956433.40999999992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f>'Prior Year'!BW71</f>
        <v>262998</v>
      </c>
      <c r="C568" s="240">
        <f>BW71</f>
        <v>221551.11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f>'Prior Year'!BX71</f>
        <v>1139461</v>
      </c>
      <c r="C569" s="240">
        <f>BX71</f>
        <v>440095.22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f>'Prior Year'!BY71</f>
        <v>1254656</v>
      </c>
      <c r="C570" s="240">
        <f>BY71</f>
        <v>1588650.1400000001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f>'Prior Year'!BZ71</f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f>'Prior Year'!CA71</f>
        <v>0</v>
      </c>
      <c r="C572" s="240">
        <f>CA71</f>
        <v>0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f>'Prior Year'!CB71</f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f>'Prior Year'!CC71</f>
        <v>1705807</v>
      </c>
      <c r="C574" s="240">
        <f>CC71</f>
        <v>4740980.09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f>'Prior Year'!CD71</f>
        <v>-1114448</v>
      </c>
      <c r="C575" s="240">
        <f>CD71</f>
        <v>-2394307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59962</v>
      </c>
      <c r="E612" s="180">
        <f>SUM(C624:D647)+SUM(C668:D713)</f>
        <v>49510690.470774151</v>
      </c>
      <c r="F612" s="180">
        <f>CE64-(AX64+BD64+BE64+BG64+BJ64+BN64+BP64+BQ64+CB64+CC64+CD64)</f>
        <v>6657392</v>
      </c>
      <c r="G612" s="180">
        <f>CE77-(AX77+AY77+BD77+BE77+BG77+BJ77+BN77+BP77+BQ77+CB77+CC77+CD77)</f>
        <v>112604</v>
      </c>
      <c r="H612" s="197">
        <f>CE60-(AX60+AY60+AZ60+BD60+BE60+BG60+BJ60+BN60+BO60+BP60+BQ60+BR60+CB60+CC60+CD60)</f>
        <v>235.93</v>
      </c>
      <c r="I612" s="180">
        <f>CE78-(AX78+AY78+AZ78+BD78+BE78+BF78+BG78+BJ78+BN78+BO78+BP78+BQ78+BR78+CB78+CC78+CD78)</f>
        <v>16585.54</v>
      </c>
      <c r="J612" s="180">
        <f>CE79-(AX79+AY79+AZ79+BA79+BD79+BE79+BF79+BG79+BJ79+BN79+BO79+BP79+BQ79+BR79+CB79+CC79+CD79)</f>
        <v>204565.24</v>
      </c>
      <c r="K612" s="180">
        <f>CE75-(AW75+AX75+AY75+AZ75+BA75+BB75+BC75+BD75+BE75+BF75+BG75+BH75+BI75+BJ75+BK75+BL75+BM75+BN75+BO75+BP75+BQ75+BR75+BS75+BT75+BU75+BV75+BW75+BX75+CB75+CC75+CD75)</f>
        <v>163998925</v>
      </c>
      <c r="L612" s="197">
        <f>CE80-(AW80+AX80+AY80+AZ80+BA80+BB80+BC80+BD80+BE80+BF80+BG80+BH80+BI80+BJ80+BK80+BL80+BM80+BN80+BO80+BP80+BQ80+BR80+BS80+BT80+BU80+BV80+BW80+BX80+BY80+BZ80+CA80+CB80+CC80+CD80)</f>
        <v>91.429999999999993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1132589.02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3">
        <f>CD69-CD70</f>
        <v>-2394307</v>
      </c>
      <c r="D615" s="266">
        <f>SUM(C614:C615)</f>
        <v>-1261717.98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29032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85705</v>
      </c>
      <c r="D618" s="180">
        <f>(D615/D612)*BG76</f>
        <v>-3514.0072489243189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572204.92000000004</v>
      </c>
      <c r="D619" s="180">
        <f>(D615/D612)*BN76</f>
        <v>-73920.403984857083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4740980.09</v>
      </c>
      <c r="D620" s="180">
        <f>(D615/D612)*CC76</f>
        <v>-14813.539540375572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5335674.0592258433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241098.8</v>
      </c>
      <c r="D624" s="180">
        <f>(D615/D612)*BD76</f>
        <v>-33772.345116907374</v>
      </c>
      <c r="E624" s="180">
        <f>(E623/E612)*SUM(C624:D624)</f>
        <v>22343.182383286956</v>
      </c>
      <c r="F624" s="180">
        <f>SUM(C624:E624)</f>
        <v>229669.63726637955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1683513.45</v>
      </c>
      <c r="D625" s="180">
        <f>(D615/D612)*AY76</f>
        <v>-101822.04238050766</v>
      </c>
      <c r="E625" s="180">
        <f>(E623/E612)*SUM(C625:D625)</f>
        <v>170455.91029108054</v>
      </c>
      <c r="F625" s="180">
        <f>(F624/F612)*AY64</f>
        <v>11678.584339873803</v>
      </c>
      <c r="G625" s="180">
        <f>SUM(C625:F625)</f>
        <v>1763825.9022504468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0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1101414.3400000001</v>
      </c>
      <c r="D629" s="180">
        <f>(D615/D612)*BF76</f>
        <v>-8395.7418701844508</v>
      </c>
      <c r="E629" s="180">
        <f>(E623/E612)*SUM(C629:D629)</f>
        <v>117792.5600479202</v>
      </c>
      <c r="F629" s="180">
        <f>(F624/F612)*BF64</f>
        <v>1651.8887938739451</v>
      </c>
      <c r="G629" s="180">
        <f>(G625/G612)*BF77</f>
        <v>0</v>
      </c>
      <c r="H629" s="180">
        <f>(H628/H612)*BF60</f>
        <v>0</v>
      </c>
      <c r="I629" s="180">
        <f>SUM(C629:H629)</f>
        <v>1212463.0469716096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243672.06</v>
      </c>
      <c r="D630" s="180">
        <f>(D615/D612)*BA76</f>
        <v>-7806.5670021013311</v>
      </c>
      <c r="E630" s="180">
        <f>(E623/E612)*SUM(C630:D630)</f>
        <v>25418.780883257688</v>
      </c>
      <c r="F630" s="180">
        <f>(F624/F612)*BA64</f>
        <v>57.922880456829226</v>
      </c>
      <c r="G630" s="180">
        <f>(G625/G612)*BA77</f>
        <v>0</v>
      </c>
      <c r="H630" s="180">
        <f>(H628/H612)*BA60</f>
        <v>0</v>
      </c>
      <c r="I630" s="180">
        <f>(I629/I612)*BA78</f>
        <v>4751.7354305711251</v>
      </c>
      <c r="J630" s="180">
        <f>SUM(C630:I630)</f>
        <v>266093.93219218432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4549</v>
      </c>
      <c r="D633" s="180">
        <f>(D615/D612)*BC76</f>
        <v>0</v>
      </c>
      <c r="E633" s="180">
        <f>(E623/E612)*SUM(C633:D633)</f>
        <v>490.23718038725309</v>
      </c>
      <c r="F633" s="180">
        <f>(F624/F612)*BC64</f>
        <v>156.93340273860403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0</v>
      </c>
      <c r="D635" s="180">
        <f>(D615/D612)*BK76</f>
        <v>0</v>
      </c>
      <c r="E635" s="180">
        <f>(E623/E612)*SUM(C635:D635)</f>
        <v>0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0</v>
      </c>
      <c r="D636" s="180">
        <f>(D615/D612)*BH76</f>
        <v>0</v>
      </c>
      <c r="E636" s="180">
        <f>(E623/E612)*SUM(C636:D636)</f>
        <v>0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980587.85</v>
      </c>
      <c r="D637" s="180">
        <f>(D615/D612)*BL76</f>
        <v>-17401.700568026416</v>
      </c>
      <c r="E637" s="180">
        <f>(E623/E612)*SUM(C637:D637)</f>
        <v>103800.76106519809</v>
      </c>
      <c r="F637" s="180">
        <f>(F624/F612)*BL64</f>
        <v>410.63492917071966</v>
      </c>
      <c r="G637" s="180">
        <f>(G625/G612)*BL77</f>
        <v>0</v>
      </c>
      <c r="H637" s="180">
        <f>(H628/H612)*BL60</f>
        <v>0</v>
      </c>
      <c r="I637" s="180">
        <f>(I629/I612)*BL78</f>
        <v>10673.128813282836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956433.40999999992</v>
      </c>
      <c r="D642" s="180">
        <f>(D615/D612)*BV76</f>
        <v>-38948.667172209069</v>
      </c>
      <c r="E642" s="180">
        <f>(E623/E612)*SUM(C642:D642)</f>
        <v>98875.606368920693</v>
      </c>
      <c r="F642" s="180">
        <f>(F624/F612)*BV64</f>
        <v>23.286446878117765</v>
      </c>
      <c r="G642" s="180">
        <f>(G625/G612)*BV77</f>
        <v>0</v>
      </c>
      <c r="H642" s="180">
        <f>(H628/H612)*BV60</f>
        <v>0</v>
      </c>
      <c r="I642" s="180">
        <f>(I629/I612)*BV78</f>
        <v>23831.780774864412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221551.11</v>
      </c>
      <c r="D643" s="180">
        <f>(D615/D612)*BW76</f>
        <v>-11530.993846769621</v>
      </c>
      <c r="E643" s="180">
        <f>(E623/E612)*SUM(C643:D643)</f>
        <v>22633.47319577117</v>
      </c>
      <c r="F643" s="180">
        <f>(F624/F612)*BW64</f>
        <v>167.0414456056981</v>
      </c>
      <c r="G643" s="180">
        <f>(G625/G612)*BW77</f>
        <v>0</v>
      </c>
      <c r="H643" s="180">
        <f>(H628/H612)*BW60</f>
        <v>0</v>
      </c>
      <c r="I643" s="180">
        <f>(I629/I612)*BW78</f>
        <v>67767.057602145127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440095.22</v>
      </c>
      <c r="D644" s="180">
        <f>(D615/D612)*BX76</f>
        <v>-19379.644768019745</v>
      </c>
      <c r="E644" s="180">
        <f>(E623/E612)*SUM(C644:D644)</f>
        <v>45339.726829353101</v>
      </c>
      <c r="F644" s="180">
        <f>(F624/F612)*BX64</f>
        <v>61.717708836966942</v>
      </c>
      <c r="G644" s="180">
        <f>(G625/G612)*BX77</f>
        <v>0</v>
      </c>
      <c r="H644" s="180">
        <f>(H628/H612)*BX60</f>
        <v>0</v>
      </c>
      <c r="I644" s="180">
        <f>(I629/I612)*BX78</f>
        <v>11842.78676542342</v>
      </c>
      <c r="J644" s="180">
        <f>(J630/J612)*BX79</f>
        <v>0</v>
      </c>
      <c r="K644" s="180">
        <f>SUM(C631:J644)</f>
        <v>2902029.7561735515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1588650.1400000001</v>
      </c>
      <c r="D645" s="180">
        <f>(D615/D612)*BY76</f>
        <v>-6291.5459127447384</v>
      </c>
      <c r="E645" s="180">
        <f>(E623/E612)*SUM(C645:D645)</f>
        <v>170527.81172276853</v>
      </c>
      <c r="F645" s="180">
        <f>(F624/F612)*BY64</f>
        <v>451.23959283819318</v>
      </c>
      <c r="G645" s="180">
        <f>(G625/G612)*BY77</f>
        <v>0</v>
      </c>
      <c r="H645" s="180">
        <f>(H628/H612)*BY60</f>
        <v>0</v>
      </c>
      <c r="I645" s="180">
        <f>(I629/I612)*BY78</f>
        <v>3874.4919664656868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1757212.1373693277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11627769.41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2029735.13</v>
      </c>
      <c r="D668" s="180">
        <f>(D615/D612)*C76</f>
        <v>-77939.418263566928</v>
      </c>
      <c r="E668" s="180">
        <f>(E623/E612)*SUM(C668:D668)</f>
        <v>210341.35555366031</v>
      </c>
      <c r="F668" s="180">
        <f>(F624/F612)*C64</f>
        <v>4298.2296139828868</v>
      </c>
      <c r="G668" s="180">
        <f>(G625/G612)*C77</f>
        <v>439014.14303553407</v>
      </c>
      <c r="H668" s="180">
        <f>(H628/H612)*C60</f>
        <v>0</v>
      </c>
      <c r="I668" s="180">
        <f>(I629/I612)*C78</f>
        <v>122740.98135275261</v>
      </c>
      <c r="J668" s="180">
        <f>(J630/J612)*C79</f>
        <v>26211.883314239767</v>
      </c>
      <c r="K668" s="180">
        <f>(K644/K612)*C75</f>
        <v>202126.74188724821</v>
      </c>
      <c r="L668" s="180">
        <f>(L647/L612)*C80</f>
        <v>203531.40692049856</v>
      </c>
      <c r="M668" s="180">
        <f t="shared" ref="M668:M713" si="20">ROUND(SUM(D668:L668),0)</f>
        <v>1130325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5114882</v>
      </c>
      <c r="D670" s="180">
        <f>(D615/D612)*E76</f>
        <v>-124168.6034485174</v>
      </c>
      <c r="E670" s="180">
        <f>(E623/E612)*SUM(C670:D670)</f>
        <v>537839.8029558782</v>
      </c>
      <c r="F670" s="180">
        <f>(F624/F612)*E64</f>
        <v>9083.0252231790673</v>
      </c>
      <c r="G670" s="180">
        <f>(G625/G612)*E77</f>
        <v>983791.42496484646</v>
      </c>
      <c r="H670" s="180">
        <f>(H628/H612)*E60</f>
        <v>0</v>
      </c>
      <c r="I670" s="180">
        <f>(I629/I612)*E78</f>
        <v>517336.78808690025</v>
      </c>
      <c r="J670" s="180">
        <f>(J630/J612)*E79</f>
        <v>57221.503603443438</v>
      </c>
      <c r="K670" s="180">
        <f>(K644/K612)*E75</f>
        <v>241955.20253441887</v>
      </c>
      <c r="L670" s="180">
        <f>(L647/L612)*E80</f>
        <v>476059.76859497157</v>
      </c>
      <c r="M670" s="180">
        <f t="shared" si="20"/>
        <v>2699119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2444260.59</v>
      </c>
      <c r="D671" s="180">
        <f>(D615/D612)*F76</f>
        <v>-75877.306225276014</v>
      </c>
      <c r="E671" s="180">
        <f>(E623/E612)*SUM(C671:D671)</f>
        <v>255236.21523720029</v>
      </c>
      <c r="F671" s="180">
        <f>(F624/F612)*F64</f>
        <v>197.84855236445242</v>
      </c>
      <c r="G671" s="180">
        <f>(G625/G612)*F77</f>
        <v>76878.774539494101</v>
      </c>
      <c r="H671" s="180">
        <f>(H628/H612)*F60</f>
        <v>0</v>
      </c>
      <c r="I671" s="180">
        <f>(I629/I612)*F78</f>
        <v>51636.012369686287</v>
      </c>
      <c r="J671" s="180">
        <f>(J630/J612)*F79</f>
        <v>11346.25589134694</v>
      </c>
      <c r="K671" s="180">
        <f>(K644/K612)*F75</f>
        <v>20064.889124208945</v>
      </c>
      <c r="L671" s="180">
        <f>(L647/L612)*F80</f>
        <v>250234.08102973475</v>
      </c>
      <c r="M671" s="180">
        <f t="shared" si="20"/>
        <v>589717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4330</v>
      </c>
      <c r="D675" s="180">
        <f>(D615/D612)*J76</f>
        <v>-3429.8394106267301</v>
      </c>
      <c r="E675" s="180">
        <f>(E623/E612)*SUM(C675:D675)</f>
        <v>97.008614910986978</v>
      </c>
      <c r="F675" s="180">
        <f>(F624/F612)*J64</f>
        <v>52.506625405178134</v>
      </c>
      <c r="G675" s="180">
        <f>(G625/G612)*J77</f>
        <v>0</v>
      </c>
      <c r="H675" s="180">
        <f>(H628/H612)*J60</f>
        <v>0</v>
      </c>
      <c r="I675" s="180">
        <f>(I629/I612)*J78</f>
        <v>4272.1756701934855</v>
      </c>
      <c r="J675" s="180">
        <f>(J630/J612)*J79</f>
        <v>0</v>
      </c>
      <c r="K675" s="180">
        <f>(K644/K612)*J75</f>
        <v>8596.7178627860521</v>
      </c>
      <c r="L675" s="180">
        <f>(L647/L612)*J80</f>
        <v>768.76829809442324</v>
      </c>
      <c r="M675" s="180">
        <f t="shared" si="20"/>
        <v>10357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59246</v>
      </c>
      <c r="D680" s="180">
        <f>(D615/D612)*O76</f>
        <v>-20684.246261632368</v>
      </c>
      <c r="E680" s="180">
        <f>(E623/E612)*SUM(C680:D680)</f>
        <v>4155.7277255407707</v>
      </c>
      <c r="F680" s="180">
        <f>(F624/F612)*O64</f>
        <v>1823.0010553783366</v>
      </c>
      <c r="G680" s="180">
        <f>(G625/G612)*O77</f>
        <v>0</v>
      </c>
      <c r="H680" s="180">
        <f>(H628/H612)*O60</f>
        <v>0</v>
      </c>
      <c r="I680" s="180">
        <f>(I629/I612)*O78</f>
        <v>12646.926607520072</v>
      </c>
      <c r="J680" s="180">
        <f>(J630/J612)*O79</f>
        <v>0</v>
      </c>
      <c r="K680" s="180">
        <f>(K644/K612)*O75</f>
        <v>12487.445113281086</v>
      </c>
      <c r="L680" s="180">
        <f>(L647/L612)*O80</f>
        <v>0</v>
      </c>
      <c r="M680" s="180">
        <f t="shared" si="20"/>
        <v>10429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4808903.54</v>
      </c>
      <c r="D681" s="180">
        <f>(D615/D612)*P76</f>
        <v>-102663.72076348354</v>
      </c>
      <c r="E681" s="180">
        <f>(E623/E612)*SUM(C681:D681)</f>
        <v>507182.62018217758</v>
      </c>
      <c r="F681" s="180">
        <f>(F624/F612)*P64</f>
        <v>80811.698317588205</v>
      </c>
      <c r="G681" s="180">
        <f>(G625/G612)*P77</f>
        <v>0</v>
      </c>
      <c r="H681" s="180">
        <f>(H628/H612)*P60</f>
        <v>0</v>
      </c>
      <c r="I681" s="180">
        <f>(I629/I612)*P78</f>
        <v>62869.114927556431</v>
      </c>
      <c r="J681" s="180">
        <f>(J630/J612)*P79</f>
        <v>27857.731506846325</v>
      </c>
      <c r="K681" s="180">
        <f>(K644/K612)*P75</f>
        <v>280125.58469001885</v>
      </c>
      <c r="L681" s="180">
        <f>(L647/L612)*P80</f>
        <v>103591.52816822352</v>
      </c>
      <c r="M681" s="180">
        <f t="shared" si="20"/>
        <v>959775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1037520.9</v>
      </c>
      <c r="D682" s="180">
        <f>(D615/D612)*Q76</f>
        <v>-16538.980225476134</v>
      </c>
      <c r="E682" s="180">
        <f>(E623/E612)*SUM(C682:D682)</f>
        <v>110029.30261082156</v>
      </c>
      <c r="F682" s="180">
        <f>(F624/F612)*Q64</f>
        <v>279.33386721795489</v>
      </c>
      <c r="G682" s="180">
        <f>(G625/G612)*Q77</f>
        <v>0</v>
      </c>
      <c r="H682" s="180">
        <f>(H628/H612)*Q60</f>
        <v>0</v>
      </c>
      <c r="I682" s="180">
        <f>(I629/I612)*Q78</f>
        <v>10161.40345922133</v>
      </c>
      <c r="J682" s="180">
        <f>(J630/J612)*Q79</f>
        <v>0</v>
      </c>
      <c r="K682" s="180">
        <f>(K644/K612)*Q75</f>
        <v>29276.593592218513</v>
      </c>
      <c r="L682" s="180">
        <f>(L647/L612)*Q80</f>
        <v>88408.354280858664</v>
      </c>
      <c r="M682" s="180">
        <f t="shared" si="20"/>
        <v>221616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1123711.29</v>
      </c>
      <c r="D683" s="180">
        <f>(D615/D612)*R76</f>
        <v>-3408.7974510523331</v>
      </c>
      <c r="E683" s="180">
        <f>(E623/E612)*SUM(C683:D683)</f>
        <v>120732.8940707865</v>
      </c>
      <c r="F683" s="180">
        <f>(F624/F612)*R64</f>
        <v>1736.4099714315578</v>
      </c>
      <c r="G683" s="180">
        <f>(G625/G612)*R77</f>
        <v>0</v>
      </c>
      <c r="H683" s="180">
        <f>(H628/H612)*R60</f>
        <v>0</v>
      </c>
      <c r="I683" s="180">
        <f>(I629/I612)*R78</f>
        <v>2120.0050382548097</v>
      </c>
      <c r="J683" s="180">
        <f>(J630/J612)*R79</f>
        <v>0</v>
      </c>
      <c r="K683" s="180">
        <f>(K644/K612)*R75</f>
        <v>28068.527310967165</v>
      </c>
      <c r="L683" s="180">
        <f>(L647/L612)*R80</f>
        <v>0</v>
      </c>
      <c r="M683" s="180">
        <f t="shared" si="20"/>
        <v>149249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558587.75</v>
      </c>
      <c r="D684" s="180">
        <f>(D615/D612)*S76</f>
        <v>-31289.393887128514</v>
      </c>
      <c r="E684" s="180">
        <f>(E623/E612)*SUM(C684:D684)</f>
        <v>56825.952808003472</v>
      </c>
      <c r="F684" s="180">
        <f>(F624/F612)*S64</f>
        <v>4686.5440525904332</v>
      </c>
      <c r="G684" s="180">
        <f>(G625/G612)*S77</f>
        <v>0</v>
      </c>
      <c r="H684" s="180">
        <f>(H628/H612)*S60</f>
        <v>0</v>
      </c>
      <c r="I684" s="180">
        <f>(I629/I612)*S78</f>
        <v>19153.148966302073</v>
      </c>
      <c r="J684" s="180">
        <f>(J630/J612)*S79</f>
        <v>2177.3590281377983</v>
      </c>
      <c r="K684" s="180">
        <f>(K644/K612)*S75</f>
        <v>103726.51386528875</v>
      </c>
      <c r="L684" s="180">
        <f>(L647/L612)*S80</f>
        <v>0</v>
      </c>
      <c r="M684" s="180">
        <f t="shared" si="20"/>
        <v>155280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61648.36</v>
      </c>
      <c r="D685" s="180">
        <f>(D615/D612)*T76</f>
        <v>-5197.3640148760887</v>
      </c>
      <c r="E685" s="180">
        <f>(E623/E612)*SUM(C685:D685)</f>
        <v>6083.6177405582084</v>
      </c>
      <c r="F685" s="180">
        <f>(F624/F612)*T64</f>
        <v>1265.9547476139401</v>
      </c>
      <c r="G685" s="180">
        <f>(G625/G612)*T77</f>
        <v>0</v>
      </c>
      <c r="H685" s="180">
        <f>(H628/H612)*T60</f>
        <v>0</v>
      </c>
      <c r="I685" s="180">
        <f>(I629/I612)*T78</f>
        <v>3216.5593683866082</v>
      </c>
      <c r="J685" s="180">
        <f>(J630/J612)*T79</f>
        <v>0</v>
      </c>
      <c r="K685" s="180">
        <f>(K644/K612)*T75</f>
        <v>17167.830453725455</v>
      </c>
      <c r="L685" s="180">
        <f>(L647/L612)*T80</f>
        <v>0</v>
      </c>
      <c r="M685" s="180">
        <f t="shared" si="20"/>
        <v>22537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2760905.91</v>
      </c>
      <c r="D686" s="180">
        <f>(D615/D612)*U76</f>
        <v>-39979.723191354526</v>
      </c>
      <c r="E686" s="180">
        <f>(E623/E612)*SUM(C686:D686)</f>
        <v>293229.10131081793</v>
      </c>
      <c r="F686" s="180">
        <f>(F624/F612)*U64</f>
        <v>29293.729200755399</v>
      </c>
      <c r="G686" s="180">
        <f>(G625/G612)*U77</f>
        <v>0</v>
      </c>
      <c r="H686" s="180">
        <f>(H628/H612)*U60</f>
        <v>0</v>
      </c>
      <c r="I686" s="180">
        <f>(I629/I612)*U78</f>
        <v>24489.713372943494</v>
      </c>
      <c r="J686" s="180">
        <f>(J630/J612)*U79</f>
        <v>545.63728293553481</v>
      </c>
      <c r="K686" s="180">
        <f>(K644/K612)*U75</f>
        <v>285037.28455263277</v>
      </c>
      <c r="L686" s="180">
        <f>(L647/L612)*U80</f>
        <v>0</v>
      </c>
      <c r="M686" s="180">
        <f t="shared" si="20"/>
        <v>592616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12321</v>
      </c>
      <c r="D687" s="180">
        <f>(D615/D612)*V76</f>
        <v>-1809.6085233981521</v>
      </c>
      <c r="E687" s="180">
        <f>(E623/E612)*SUM(C687:D687)</f>
        <v>1132.7929038109244</v>
      </c>
      <c r="F687" s="180">
        <f>(F624/F612)*V64</f>
        <v>407.04709142949855</v>
      </c>
      <c r="G687" s="180">
        <f>(G625/G612)*V77</f>
        <v>0</v>
      </c>
      <c r="H687" s="180">
        <f>(H628/H612)*V60</f>
        <v>0</v>
      </c>
      <c r="I687" s="180">
        <f>(I629/I612)*V78</f>
        <v>1096.5543301317982</v>
      </c>
      <c r="J687" s="180">
        <f>(J630/J612)*V79</f>
        <v>0</v>
      </c>
      <c r="K687" s="180">
        <f>(K644/K612)*V75</f>
        <v>3783.1567960680968</v>
      </c>
      <c r="L687" s="180">
        <f>(L647/L612)*V80</f>
        <v>0</v>
      </c>
      <c r="M687" s="180">
        <f t="shared" si="20"/>
        <v>4610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134102</v>
      </c>
      <c r="D688" s="180">
        <f>(D615/D612)*W76</f>
        <v>0</v>
      </c>
      <c r="E688" s="180">
        <f>(E623/E612)*SUM(C688:D688)</f>
        <v>14451.920502152432</v>
      </c>
      <c r="F688" s="180">
        <f>(F624/F612)*W64</f>
        <v>150.51669293218936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2116.4566094021516</v>
      </c>
      <c r="K688" s="180">
        <f>(K644/K612)*W75</f>
        <v>56634.862160006145</v>
      </c>
      <c r="L688" s="180">
        <f>(L647/L612)*W80</f>
        <v>0</v>
      </c>
      <c r="M688" s="180">
        <f t="shared" si="20"/>
        <v>73354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414960.11</v>
      </c>
      <c r="D689" s="180">
        <f>(D615/D612)*X76</f>
        <v>-10142.224514859412</v>
      </c>
      <c r="E689" s="180">
        <f>(E623/E612)*SUM(C689:D689)</f>
        <v>43626.462684230646</v>
      </c>
      <c r="F689" s="180">
        <f>(F624/F612)*X64</f>
        <v>2295.9746653027728</v>
      </c>
      <c r="G689" s="180">
        <f>(G625/G612)*X77</f>
        <v>0</v>
      </c>
      <c r="H689" s="180">
        <f>(H628/H612)*X60</f>
        <v>0</v>
      </c>
      <c r="I689" s="180">
        <f>(I629/I612)*X78</f>
        <v>6213.8078707468567</v>
      </c>
      <c r="J689" s="180">
        <f>(J630/J612)*X79</f>
        <v>0</v>
      </c>
      <c r="K689" s="180">
        <f>(K644/K612)*X75</f>
        <v>318979.75324140192</v>
      </c>
      <c r="L689" s="180">
        <f>(L647/L612)*X80</f>
        <v>0</v>
      </c>
      <c r="M689" s="180">
        <f t="shared" si="20"/>
        <v>360974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2904148.58</v>
      </c>
      <c r="D690" s="180">
        <f>(D615/D612)*Y76</f>
        <v>-83431.369712484578</v>
      </c>
      <c r="E690" s="180">
        <f>(E623/E612)*SUM(C690:D690)</f>
        <v>303983.39235901297</v>
      </c>
      <c r="F690" s="180">
        <f>(F624/F612)*Y64</f>
        <v>1704.2229270800262</v>
      </c>
      <c r="G690" s="180">
        <f>(G625/G612)*Y77</f>
        <v>0</v>
      </c>
      <c r="H690" s="180">
        <f>(H628/H612)*Y60</f>
        <v>0</v>
      </c>
      <c r="I690" s="180">
        <f>(I629/I612)*Y78</f>
        <v>51099.431784141794</v>
      </c>
      <c r="J690" s="180">
        <f>(J630/J612)*Y79</f>
        <v>26687.62980352587</v>
      </c>
      <c r="K690" s="180">
        <f>(K644/K612)*Y75</f>
        <v>192352.11073783878</v>
      </c>
      <c r="L690" s="180">
        <f>(L647/L612)*Y80</f>
        <v>0</v>
      </c>
      <c r="M690" s="180">
        <f t="shared" si="20"/>
        <v>492395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285625.7</v>
      </c>
      <c r="D692" s="180">
        <f>(D615/D612)*AA76</f>
        <v>-11762.45540208799</v>
      </c>
      <c r="E692" s="180">
        <f>(E623/E612)*SUM(C692:D692)</f>
        <v>29513.72715836118</v>
      </c>
      <c r="F692" s="180">
        <f>(F624/F612)*AA64</f>
        <v>2810.4843967698075</v>
      </c>
      <c r="G692" s="180">
        <f>(G625/G612)*AA77</f>
        <v>0</v>
      </c>
      <c r="H692" s="180">
        <f>(H628/H612)*AA60</f>
        <v>0</v>
      </c>
      <c r="I692" s="180">
        <f>(I629/I612)*AA78</f>
        <v>7237.258578869868</v>
      </c>
      <c r="J692" s="180">
        <f>(J630/J612)*AA79</f>
        <v>0</v>
      </c>
      <c r="K692" s="180">
        <f>(K644/K612)*AA75</f>
        <v>16747.104162484327</v>
      </c>
      <c r="L692" s="180">
        <f>(L647/L612)*AA80</f>
        <v>0</v>
      </c>
      <c r="M692" s="180">
        <f t="shared" si="20"/>
        <v>44546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2235506.73</v>
      </c>
      <c r="D693" s="180">
        <f>(D615/D612)*AB76</f>
        <v>-20221.323150995631</v>
      </c>
      <c r="E693" s="180">
        <f>(E623/E612)*SUM(C693:D693)</f>
        <v>238737.14478054183</v>
      </c>
      <c r="F693" s="180">
        <f>(F624/F612)*AB64</f>
        <v>32381.82254275219</v>
      </c>
      <c r="G693" s="180">
        <f>(G625/G612)*AB77</f>
        <v>0</v>
      </c>
      <c r="H693" s="180">
        <f>(H628/H612)*AB60</f>
        <v>0</v>
      </c>
      <c r="I693" s="180">
        <f>(I629/I612)*AB78</f>
        <v>12354.512119484925</v>
      </c>
      <c r="J693" s="180">
        <f>(J630/J612)*AB79</f>
        <v>198.92795594281196</v>
      </c>
      <c r="K693" s="180">
        <f>(K644/K612)*AB75</f>
        <v>97306.474149919813</v>
      </c>
      <c r="L693" s="180">
        <f>(L647/L612)*AB80</f>
        <v>0</v>
      </c>
      <c r="M693" s="180">
        <f t="shared" si="20"/>
        <v>360758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994738.41999999993</v>
      </c>
      <c r="D694" s="180">
        <f>(D615/D612)*AC76</f>
        <v>-19295.476929722157</v>
      </c>
      <c r="E694" s="180">
        <f>(E623/E612)*SUM(C694:D694)</f>
        <v>105121.65267958163</v>
      </c>
      <c r="F694" s="180">
        <f>(F624/F612)*AC64</f>
        <v>2153.0476291308591</v>
      </c>
      <c r="G694" s="180">
        <f>(G625/G612)*AC77</f>
        <v>0</v>
      </c>
      <c r="H694" s="180">
        <f>(H628/H612)*AC60</f>
        <v>0</v>
      </c>
      <c r="I694" s="180">
        <f>(I629/I612)*AC78</f>
        <v>11842.78676542342</v>
      </c>
      <c r="J694" s="180">
        <f>(J630/J612)*AC79</f>
        <v>1200.9041227066164</v>
      </c>
      <c r="K694" s="180">
        <f>(K644/K612)*AC75</f>
        <v>92110.054989439523</v>
      </c>
      <c r="L694" s="180">
        <f>(L647/L612)*AC80</f>
        <v>0</v>
      </c>
      <c r="M694" s="180">
        <f t="shared" si="20"/>
        <v>193133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156704.79</v>
      </c>
      <c r="D696" s="180">
        <f>(D615/D612)*AE76</f>
        <v>-38422.618182849139</v>
      </c>
      <c r="E696" s="180">
        <f>(E623/E612)*SUM(C696:D696)</f>
        <v>12747.047351444418</v>
      </c>
      <c r="F696" s="180">
        <f>(F624/F612)*AE64</f>
        <v>61.200232239675437</v>
      </c>
      <c r="G696" s="180">
        <f>(G625/G612)*AE77</f>
        <v>0</v>
      </c>
      <c r="H696" s="180">
        <f>(H628/H612)*AE60</f>
        <v>0</v>
      </c>
      <c r="I696" s="180">
        <f>(I629/I612)*AE78</f>
        <v>23539.366286829267</v>
      </c>
      <c r="J696" s="180">
        <f>(J630/J612)*AE79</f>
        <v>182.19995284711743</v>
      </c>
      <c r="K696" s="180">
        <f>(K644/K612)*AE75</f>
        <v>6519.2756272666738</v>
      </c>
      <c r="L696" s="180">
        <f>(L647/L612)*AE80</f>
        <v>0</v>
      </c>
      <c r="M696" s="180">
        <f t="shared" si="20"/>
        <v>4626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6046086.9800000004</v>
      </c>
      <c r="D698" s="180">
        <f>(D615/D612)*AG76</f>
        <v>-189798.47536106201</v>
      </c>
      <c r="E698" s="180">
        <f>(E623/E612)*SUM(C698:D698)</f>
        <v>631121.20555033546</v>
      </c>
      <c r="F698" s="180">
        <f>(F624/F612)*AG64</f>
        <v>11296.617614193032</v>
      </c>
      <c r="G698" s="180">
        <f>(G625/G612)*AG77</f>
        <v>264141.55971057236</v>
      </c>
      <c r="H698" s="180">
        <f>(H628/H612)*AG60</f>
        <v>0</v>
      </c>
      <c r="I698" s="180">
        <f>(I629/I612)*AG78</f>
        <v>116234.75899397061</v>
      </c>
      <c r="J698" s="180">
        <f>(J630/J612)*AG79</f>
        <v>88110.984050818297</v>
      </c>
      <c r="K698" s="180">
        <f>(K644/K612)*AG75</f>
        <v>670790.15427634376</v>
      </c>
      <c r="L698" s="180">
        <f>(L647/L612)*AG80</f>
        <v>446846.5732673835</v>
      </c>
      <c r="M698" s="180">
        <f t="shared" si="20"/>
        <v>2038743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29572.23</v>
      </c>
      <c r="D701" s="180">
        <f>(D615/D612)*AJ76</f>
        <v>-4545.0632680697772</v>
      </c>
      <c r="E701" s="180">
        <f>(E623/E612)*SUM(C701:D701)</f>
        <v>2697.1307214207818</v>
      </c>
      <c r="F701" s="180">
        <f>(F624/F612)*AJ64</f>
        <v>3.4498439819433728E-2</v>
      </c>
      <c r="G701" s="180">
        <f>(G625/G612)*AJ77</f>
        <v>0</v>
      </c>
      <c r="H701" s="180">
        <f>(H628/H612)*AJ60</f>
        <v>0</v>
      </c>
      <c r="I701" s="180">
        <f>(I629/I612)*AJ78</f>
        <v>2777.9376363338888</v>
      </c>
      <c r="J701" s="180">
        <f>(J630/J612)*AJ79</f>
        <v>2356.7102775028338</v>
      </c>
      <c r="K701" s="180">
        <f>(K644/K612)*AJ75</f>
        <v>880.34711428525634</v>
      </c>
      <c r="L701" s="180">
        <f>(L647/L612)*AJ80</f>
        <v>0</v>
      </c>
      <c r="M701" s="180">
        <f t="shared" si="20"/>
        <v>4167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527430.78</v>
      </c>
      <c r="D706" s="180">
        <f>(D615/D612)*AO76</f>
        <v>-41515.786240285517</v>
      </c>
      <c r="E706" s="180">
        <f>(E623/E612)*SUM(C706:D706)</f>
        <v>52366.145625115882</v>
      </c>
      <c r="F706" s="180">
        <f>(F624/F612)*AO64</f>
        <v>1194.5084787478929</v>
      </c>
      <c r="G706" s="180">
        <f>(G625/G612)*AO77</f>
        <v>0</v>
      </c>
      <c r="H706" s="180">
        <f>(H628/H612)*AO60</f>
        <v>0</v>
      </c>
      <c r="I706" s="180">
        <f>(I629/I612)*AO78</f>
        <v>25440.060459057717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37485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8304439.3300000001</v>
      </c>
      <c r="D707" s="180">
        <f>(D615/D612)*AP76</f>
        <v>0</v>
      </c>
      <c r="E707" s="180">
        <f>(E623/E612)*SUM(C707:D707)</f>
        <v>894953.81882528239</v>
      </c>
      <c r="F707" s="180">
        <f>(F624/F612)*AP64</f>
        <v>12500.302677932894</v>
      </c>
      <c r="G707" s="180">
        <f>(G625/G612)*AP77</f>
        <v>0</v>
      </c>
      <c r="H707" s="180" t="e">
        <f>(H628/H612)*#REF!</f>
        <v>#REF!</v>
      </c>
      <c r="I707" s="180">
        <f>(I629/I612)*AP78</f>
        <v>0</v>
      </c>
      <c r="J707" s="180">
        <f>(J630/J612)*AP79</f>
        <v>6827.7438887408725</v>
      </c>
      <c r="K707" s="180">
        <f>(K644/K612)*AP75</f>
        <v>119707.58332269955</v>
      </c>
      <c r="L707" s="180">
        <f>(L647/L612)*AP80</f>
        <v>147987.89738317649</v>
      </c>
      <c r="M707" s="180" t="e">
        <f t="shared" si="20"/>
        <v>#REF!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1169227</v>
      </c>
      <c r="D713" s="180">
        <f>(D615/D612)*AV76</f>
        <v>-1998.9861595677262</v>
      </c>
      <c r="E713" s="180">
        <f>(E623/E612)*SUM(C713:D713)</f>
        <v>125789.96930625349</v>
      </c>
      <c r="F713" s="180">
        <f>(F624/F612)*AV64</f>
        <v>14526.327051648599</v>
      </c>
      <c r="G713" s="180">
        <f>(G625/G612)*AV77</f>
        <v>0</v>
      </c>
      <c r="H713" s="180">
        <f>(H628/H612)*AP60</f>
        <v>0</v>
      </c>
      <c r="I713" s="180">
        <f>(I629/I612)*AV78</f>
        <v>1242.7615741493712</v>
      </c>
      <c r="J713" s="180">
        <f>(J630/J612)*AV79</f>
        <v>13052.004903747957</v>
      </c>
      <c r="K713" s="180">
        <f>(K644/K612)*AV75</f>
        <v>97585.54860900309</v>
      </c>
      <c r="L713" s="180">
        <f>(L647/L612)*AV80</f>
        <v>39783.759426386401</v>
      </c>
      <c r="M713" s="180">
        <f t="shared" si="20"/>
        <v>289981</v>
      </c>
      <c r="N713" s="199" t="s">
        <v>741</v>
      </c>
    </row>
    <row r="715" spans="1:15" ht="12.6" customHeight="1" x14ac:dyDescent="0.25">
      <c r="C715" s="180">
        <f>SUM(C614:C647)+SUM(C668:C713)</f>
        <v>54846364.530000001</v>
      </c>
      <c r="D715" s="180">
        <f>SUM(D616:D647)+SUM(D668:D713)</f>
        <v>-1261717.98</v>
      </c>
      <c r="E715" s="180">
        <f>SUM(E624:E647)+SUM(E668:E713)</f>
        <v>5335674.0592258442</v>
      </c>
      <c r="F715" s="180">
        <f>SUM(F625:F648)+SUM(F668:F713)</f>
        <v>229669.63726637955</v>
      </c>
      <c r="G715" s="180">
        <f>SUM(G626:G647)+SUM(G668:G713)</f>
        <v>1763825.9022504468</v>
      </c>
      <c r="H715" s="180" t="e">
        <f>SUM(H629:H647)+SUM(H668:H713)</f>
        <v>#REF!</v>
      </c>
      <c r="I715" s="180">
        <f>SUM(I630:I647)+SUM(I668:I713)</f>
        <v>1212463.0469716098</v>
      </c>
      <c r="J715" s="180">
        <f>SUM(J631:J647)+SUM(J668:J713)</f>
        <v>266093.93219218432</v>
      </c>
      <c r="K715" s="180">
        <f>SUM(K668:K713)</f>
        <v>2902029.7561735515</v>
      </c>
      <c r="L715" s="180">
        <f>SUM(L668:L713)</f>
        <v>1757212.1373693279</v>
      </c>
      <c r="M715" s="180" t="e">
        <f>SUM(M668:M713)</f>
        <v>#REF!</v>
      </c>
      <c r="N715" s="198" t="s">
        <v>742</v>
      </c>
    </row>
    <row r="716" spans="1:15" ht="12.6" customHeight="1" x14ac:dyDescent="0.25">
      <c r="C716" s="180">
        <f>CE71</f>
        <v>54846364.530000001</v>
      </c>
      <c r="D716" s="180">
        <f>D615</f>
        <v>-1261717.98</v>
      </c>
      <c r="E716" s="180">
        <f>E623</f>
        <v>5335674.0592258433</v>
      </c>
      <c r="F716" s="180">
        <f>F624</f>
        <v>229669.63726637955</v>
      </c>
      <c r="G716" s="180">
        <f>G625</f>
        <v>1763825.9022504468</v>
      </c>
      <c r="H716" s="180">
        <f>H628</f>
        <v>0</v>
      </c>
      <c r="I716" s="180">
        <f>I629</f>
        <v>1212463.0469716096</v>
      </c>
      <c r="J716" s="180">
        <f>J630</f>
        <v>266093.93219218432</v>
      </c>
      <c r="K716" s="180">
        <f>K644</f>
        <v>2902029.7561735515</v>
      </c>
      <c r="L716" s="180">
        <f>L647</f>
        <v>1757212.1373693277</v>
      </c>
      <c r="M716" s="180">
        <f>C648</f>
        <v>11627769.41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fitToWidth="0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0">
    <pageSetUpPr autoPageBreaks="0" fitToPage="1"/>
  </sheetPr>
  <dimension ref="A1:CF817"/>
  <sheetViews>
    <sheetView showGridLines="0" zoomScale="75" workbookViewId="0">
      <selection activeCell="B3" sqref="B3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3" t="s">
        <v>1259</v>
      </c>
    </row>
    <row r="17" spans="1:6" ht="12.75" customHeight="1" x14ac:dyDescent="0.25">
      <c r="A17" s="180" t="s">
        <v>1230</v>
      </c>
      <c r="C17" s="283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>
        <v>4720092.0600000005</v>
      </c>
      <c r="C48" s="245">
        <f>ROUND(((B48/CE61)*C61),0)</f>
        <v>226615</v>
      </c>
      <c r="D48" s="245">
        <f>ROUND(((B48/CE61)*D61),0)</f>
        <v>0</v>
      </c>
      <c r="E48" s="195">
        <f>ROUND(((B48/CE61)*E61),0)</f>
        <v>487292</v>
      </c>
      <c r="F48" s="195">
        <f>ROUND(((B48/CE61)*F61),0)</f>
        <v>302935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50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760</v>
      </c>
      <c r="P48" s="195">
        <f>ROUND(((B48/CE61)*P61),0)</f>
        <v>275786</v>
      </c>
      <c r="Q48" s="195">
        <f>ROUND(((B48/CE61)*Q61),0)</f>
        <v>123461</v>
      </c>
      <c r="R48" s="195">
        <f>ROUND(((B48/CE61)*R61),0)</f>
        <v>12313</v>
      </c>
      <c r="S48" s="195">
        <f>ROUND(((B48/CE61)*S61),0)</f>
        <v>11608</v>
      </c>
      <c r="T48" s="195">
        <f>ROUND(((B48/CE61)*T61),0)</f>
        <v>5839</v>
      </c>
      <c r="U48" s="195">
        <f>ROUND(((B48/CE61)*U61),0)</f>
        <v>178289</v>
      </c>
      <c r="V48" s="195">
        <f>ROUND(((B48/CE61)*V61),0)</f>
        <v>0</v>
      </c>
      <c r="W48" s="195">
        <f>ROUND(((B48/CE61)*W61),0)</f>
        <v>4255</v>
      </c>
      <c r="X48" s="195">
        <f>ROUND(((B48/CE61)*X61),0)</f>
        <v>23011</v>
      </c>
      <c r="Y48" s="195">
        <f>ROUND(((B48/CE61)*Y61),0)</f>
        <v>278421</v>
      </c>
      <c r="Z48" s="195">
        <f>ROUND(((B48/CE61)*Z61),0)</f>
        <v>0</v>
      </c>
      <c r="AA48" s="195">
        <f>ROUND(((B48/CE61)*AA61),0)</f>
        <v>24252</v>
      </c>
      <c r="AB48" s="195">
        <f>ROUND(((B48/CE61)*AB61),0)</f>
        <v>184790</v>
      </c>
      <c r="AC48" s="195">
        <f>ROUND(((B48/CE61)*AC61),0)</f>
        <v>105229</v>
      </c>
      <c r="AD48" s="195">
        <f>ROUND(((B48/CE61)*AD61),0)</f>
        <v>0</v>
      </c>
      <c r="AE48" s="195">
        <f>ROUND(((B48/CE61)*AE61),0)</f>
        <v>6757</v>
      </c>
      <c r="AF48" s="195">
        <f>ROUND(((B48/CE61)*AF61),0)</f>
        <v>0</v>
      </c>
      <c r="AG48" s="195">
        <f>ROUND(((B48/CE61)*AG61),0)</f>
        <v>559487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9313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60719</v>
      </c>
      <c r="AP48" s="195">
        <f>ROUND(((B48/CE61)*AP61),0)</f>
        <v>697353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123737</v>
      </c>
      <c r="AZ48" s="195">
        <f>ROUND(((B48/CE61)*AZ61),0)</f>
        <v>0</v>
      </c>
      <c r="BA48" s="195">
        <f>ROUND(((B48/CE61)*BA61),0)</f>
        <v>7643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38657</v>
      </c>
      <c r="BE48" s="195">
        <f>ROUND(((B48/CE61)*BE61),0)</f>
        <v>63224</v>
      </c>
      <c r="BF48" s="195">
        <f>ROUND(((B48/CE61)*BF61),0)</f>
        <v>109237</v>
      </c>
      <c r="BG48" s="195">
        <f>ROUND(((B48/CE61)*BG61),0)</f>
        <v>26771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63601</v>
      </c>
      <c r="BL48" s="195">
        <f>ROUND(((B48/CE61)*BL61),0)</f>
        <v>76940</v>
      </c>
      <c r="BM48" s="195">
        <f>ROUND(((B48/CE61)*BM61),0)</f>
        <v>0</v>
      </c>
      <c r="BN48" s="195">
        <f>ROUND(((B48/CE61)*BN61),0)</f>
        <v>64914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114217</v>
      </c>
      <c r="BW48" s="195">
        <f>ROUND(((B48/CE61)*BW61),0)</f>
        <v>31182</v>
      </c>
      <c r="BX48" s="195">
        <f>ROUND(((B48/CE61)*BX61),0)</f>
        <v>119427</v>
      </c>
      <c r="BY48" s="195">
        <f>ROUND(((B48/CE61)*BY61),0)</f>
        <v>227000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75007</v>
      </c>
      <c r="CD48" s="195"/>
      <c r="CE48" s="195">
        <f>SUM(C48:CD48)</f>
        <v>4720092</v>
      </c>
    </row>
    <row r="49" spans="1:84" ht="12.6" customHeight="1" x14ac:dyDescent="0.25">
      <c r="A49" s="175" t="s">
        <v>206</v>
      </c>
      <c r="B49" s="195">
        <f>B47+B48</f>
        <v>4720092.0600000005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184">
        <v>164692.99</v>
      </c>
      <c r="C52" s="195">
        <f>ROUND((B52/(CE76+CF76)*C76),0)</f>
        <v>6826</v>
      </c>
      <c r="D52" s="195">
        <f>ROUND((B52/(CE76+CF76)*D76),0)</f>
        <v>0</v>
      </c>
      <c r="E52" s="195">
        <f>ROUND((B52/(CE76+CF76)*E76),0)</f>
        <v>10875</v>
      </c>
      <c r="F52" s="195">
        <f>ROUND((B52/(CE76+CF76)*F76),0)</f>
        <v>6645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300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1812</v>
      </c>
      <c r="P52" s="195">
        <f>ROUND((B52/(CE76+CF76)*P76),0)</f>
        <v>8991</v>
      </c>
      <c r="Q52" s="195">
        <f>ROUND((B52/(CE76+CF76)*Q76),0)</f>
        <v>1448</v>
      </c>
      <c r="R52" s="195">
        <f>ROUND((B52/(CE76+CF76)*R76),0)</f>
        <v>299</v>
      </c>
      <c r="S52" s="195">
        <f>ROUND((B52/(CE76+CF76)*S76),0)</f>
        <v>2740</v>
      </c>
      <c r="T52" s="195">
        <f>ROUND((B52/(CE76+CF76)*T76),0)</f>
        <v>455</v>
      </c>
      <c r="U52" s="195">
        <f>ROUND((B52/(CE76+CF76)*U76),0)</f>
        <v>3501</v>
      </c>
      <c r="V52" s="195">
        <f>ROUND((B52/(CE76+CF76)*V76),0)</f>
        <v>158</v>
      </c>
      <c r="W52" s="195">
        <f>ROUND((B52/(CE76+CF76)*W76),0)</f>
        <v>0</v>
      </c>
      <c r="X52" s="195">
        <f>ROUND((B52/(CE76+CF76)*X76),0)</f>
        <v>888</v>
      </c>
      <c r="Y52" s="195">
        <f>ROUND((B52/(CE76+CF76)*Y76),0)</f>
        <v>7307</v>
      </c>
      <c r="Z52" s="195">
        <f>ROUND((B52/(CE76+CF76)*Z76),0)</f>
        <v>0</v>
      </c>
      <c r="AA52" s="195">
        <f>ROUND((B52/(CE76+CF76)*AA76),0)</f>
        <v>1030</v>
      </c>
      <c r="AB52" s="195">
        <f>ROUND((B52/(CE76+CF76)*AB76),0)</f>
        <v>1771</v>
      </c>
      <c r="AC52" s="195">
        <f>ROUND((B52/(CE76+CF76)*AC76),0)</f>
        <v>1690</v>
      </c>
      <c r="AD52" s="195">
        <f>ROUND((B52/(CE76+CF76)*AD76),0)</f>
        <v>0</v>
      </c>
      <c r="AE52" s="195">
        <f>ROUND((B52/(CE76+CF76)*AE76),0)</f>
        <v>3365</v>
      </c>
      <c r="AF52" s="195">
        <f>ROUND((B52/(CE76+CF76)*AF76),0)</f>
        <v>0</v>
      </c>
      <c r="AG52" s="195">
        <f>ROUND((B52/(CE76+CF76)*AG76),0)</f>
        <v>16623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398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3636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175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8918</v>
      </c>
      <c r="AZ52" s="195">
        <f>ROUND((B52/(CE76+CF76)*AZ76),0)</f>
        <v>0</v>
      </c>
      <c r="BA52" s="195">
        <f>ROUND((B52/(CE76+CF76)*BA76),0)</f>
        <v>684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2958</v>
      </c>
      <c r="BE52" s="195">
        <f>ROUND((B52/(CE76+CF76)*BE76),0)</f>
        <v>54191</v>
      </c>
      <c r="BF52" s="195">
        <f>ROUND((B52/(CE76+CF76)*BF76),0)</f>
        <v>735</v>
      </c>
      <c r="BG52" s="195">
        <f>ROUND((B52/(CE76+CF76)*BG76),0)</f>
        <v>308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1524</v>
      </c>
      <c r="BM52" s="195">
        <f>ROUND((B52/(CE76+CF76)*BM76),0)</f>
        <v>0</v>
      </c>
      <c r="BN52" s="195">
        <f>ROUND((B52/(CE76+CF76)*BN76),0)</f>
        <v>6474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3411</v>
      </c>
      <c r="BW52" s="195">
        <f>ROUND((B52/(CE76+CF76)*BW76),0)</f>
        <v>1010</v>
      </c>
      <c r="BX52" s="195">
        <f>ROUND((B52/(CE76+CF76)*BX76),0)</f>
        <v>1697</v>
      </c>
      <c r="BY52" s="195">
        <f>ROUND((B52/(CE76+CF76)*BY76),0)</f>
        <v>551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1297</v>
      </c>
      <c r="CD52" s="195"/>
      <c r="CE52" s="195">
        <f>SUM(C52:CD52)</f>
        <v>164691</v>
      </c>
    </row>
    <row r="53" spans="1:84" ht="12.6" customHeight="1" x14ac:dyDescent="0.25">
      <c r="A53" s="175" t="s">
        <v>206</v>
      </c>
      <c r="B53" s="195">
        <f>B51+B52</f>
        <v>164692.99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184">
        <v>643</v>
      </c>
      <c r="D59" s="184"/>
      <c r="E59" s="184">
        <v>3634</v>
      </c>
      <c r="F59" s="184">
        <v>290</v>
      </c>
      <c r="G59" s="184"/>
      <c r="H59" s="184"/>
      <c r="I59" s="184"/>
      <c r="J59" s="184">
        <v>375</v>
      </c>
      <c r="K59" s="184"/>
      <c r="L59" s="184"/>
      <c r="M59" s="184"/>
      <c r="N59" s="184"/>
      <c r="O59" s="184">
        <v>291</v>
      </c>
      <c r="P59" s="185"/>
      <c r="Q59" s="185"/>
      <c r="R59" s="185"/>
      <c r="S59" s="248"/>
      <c r="T59" s="248"/>
      <c r="U59" s="224">
        <v>151904</v>
      </c>
      <c r="V59" s="185">
        <v>1232</v>
      </c>
      <c r="W59" s="185">
        <v>3003.74</v>
      </c>
      <c r="X59" s="185">
        <v>23180.25</v>
      </c>
      <c r="Y59" s="185">
        <v>13174.87</v>
      </c>
      <c r="Z59" s="185"/>
      <c r="AA59" s="185">
        <v>584.11</v>
      </c>
      <c r="AB59" s="248"/>
      <c r="AC59" s="185">
        <v>9819</v>
      </c>
      <c r="AD59" s="185"/>
      <c r="AE59" s="185">
        <v>887</v>
      </c>
      <c r="AF59" s="185"/>
      <c r="AG59" s="185">
        <v>18225</v>
      </c>
      <c r="AH59" s="185"/>
      <c r="AI59" s="185"/>
      <c r="AJ59" s="185">
        <v>13587</v>
      </c>
      <c r="AK59" s="185"/>
      <c r="AL59" s="185"/>
      <c r="AM59" s="185"/>
      <c r="AN59" s="185"/>
      <c r="AO59" s="185"/>
      <c r="AP59" s="185">
        <v>20802</v>
      </c>
      <c r="AQ59" s="185"/>
      <c r="AR59" s="185"/>
      <c r="AS59" s="185"/>
      <c r="AT59" s="185"/>
      <c r="AU59" s="185"/>
      <c r="AV59" s="248"/>
      <c r="AW59" s="248"/>
      <c r="AX59" s="248"/>
      <c r="AY59" s="185"/>
      <c r="AZ59" s="185"/>
      <c r="BA59" s="248"/>
      <c r="BB59" s="248"/>
      <c r="BC59" s="248"/>
      <c r="BD59" s="248"/>
      <c r="BE59" s="185">
        <v>89368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186">
        <v>9.48</v>
      </c>
      <c r="D60" s="187"/>
      <c r="E60" s="187">
        <v>32.270000000000003</v>
      </c>
      <c r="F60" s="223">
        <v>10.73</v>
      </c>
      <c r="G60" s="187"/>
      <c r="H60" s="187">
        <v>0.02</v>
      </c>
      <c r="I60" s="187"/>
      <c r="J60" s="223">
        <v>0.01</v>
      </c>
      <c r="K60" s="187"/>
      <c r="L60" s="187"/>
      <c r="M60" s="187"/>
      <c r="N60" s="187"/>
      <c r="O60" s="187">
        <v>0.03</v>
      </c>
      <c r="P60" s="221">
        <v>13.32</v>
      </c>
      <c r="Q60" s="221">
        <v>4.84</v>
      </c>
      <c r="R60" s="221">
        <v>0.99</v>
      </c>
      <c r="S60" s="221">
        <v>1.1399999999999999</v>
      </c>
      <c r="T60" s="221">
        <v>0.06</v>
      </c>
      <c r="U60" s="221">
        <v>14.08</v>
      </c>
      <c r="V60" s="221"/>
      <c r="W60" s="221">
        <v>0.25</v>
      </c>
      <c r="X60" s="221">
        <v>1</v>
      </c>
      <c r="Y60" s="221">
        <v>15.19</v>
      </c>
      <c r="Z60" s="221"/>
      <c r="AA60" s="221">
        <v>1.1000000000000001</v>
      </c>
      <c r="AB60" s="221">
        <v>7.72</v>
      </c>
      <c r="AC60" s="221">
        <v>6.26</v>
      </c>
      <c r="AD60" s="221"/>
      <c r="AE60" s="221">
        <v>0.35</v>
      </c>
      <c r="AF60" s="221"/>
      <c r="AG60" s="221">
        <v>28.44</v>
      </c>
      <c r="AH60" s="221"/>
      <c r="AI60" s="221"/>
      <c r="AJ60" s="221">
        <v>0.71</v>
      </c>
      <c r="AK60" s="221"/>
      <c r="AL60" s="221"/>
      <c r="AM60" s="221"/>
      <c r="AN60" s="221"/>
      <c r="AO60" s="221">
        <v>2.76</v>
      </c>
      <c r="AP60" s="221">
        <v>26.32</v>
      </c>
      <c r="AQ60" s="221"/>
      <c r="AR60" s="221"/>
      <c r="AS60" s="221"/>
      <c r="AT60" s="221"/>
      <c r="AU60" s="221"/>
      <c r="AV60" s="221"/>
      <c r="AW60" s="221"/>
      <c r="AX60" s="221"/>
      <c r="AY60" s="221">
        <v>13.38</v>
      </c>
      <c r="AZ60" s="221"/>
      <c r="BA60" s="221">
        <v>1.02</v>
      </c>
      <c r="BB60" s="221"/>
      <c r="BC60" s="221"/>
      <c r="BD60" s="221">
        <v>4.25</v>
      </c>
      <c r="BE60" s="221">
        <v>4.1399999999999997</v>
      </c>
      <c r="BF60" s="221">
        <v>12.78</v>
      </c>
      <c r="BG60" s="221">
        <v>2.76</v>
      </c>
      <c r="BH60" s="221"/>
      <c r="BI60" s="221"/>
      <c r="BJ60" s="221"/>
      <c r="BK60" s="221">
        <v>6.64</v>
      </c>
      <c r="BL60" s="221">
        <v>8.69</v>
      </c>
      <c r="BM60" s="221"/>
      <c r="BN60" s="221">
        <v>3.09</v>
      </c>
      <c r="BO60" s="221"/>
      <c r="BP60" s="221"/>
      <c r="BQ60" s="221"/>
      <c r="BR60" s="221"/>
      <c r="BS60" s="221"/>
      <c r="BT60" s="221"/>
      <c r="BU60" s="221"/>
      <c r="BV60" s="221">
        <v>9.89</v>
      </c>
      <c r="BW60" s="221">
        <v>1.86</v>
      </c>
      <c r="BX60" s="221">
        <v>5.88</v>
      </c>
      <c r="BY60" s="221">
        <v>8.76</v>
      </c>
      <c r="BZ60" s="221"/>
      <c r="CA60" s="221"/>
      <c r="CB60" s="221"/>
      <c r="CC60" s="221">
        <v>7.0000000000000007E-2</v>
      </c>
      <c r="CD60" s="249" t="s">
        <v>221</v>
      </c>
      <c r="CE60" s="251">
        <f t="shared" ref="CE60:CE70" si="0">SUM(C60:CD60)</f>
        <v>260.27999999999997</v>
      </c>
    </row>
    <row r="61" spans="1:84" ht="12.6" customHeight="1" x14ac:dyDescent="0.25">
      <c r="A61" s="171" t="s">
        <v>235</v>
      </c>
      <c r="B61" s="175"/>
      <c r="C61" s="184">
        <v>1007378</v>
      </c>
      <c r="D61" s="184"/>
      <c r="E61" s="184">
        <v>2166169</v>
      </c>
      <c r="F61" s="185">
        <v>1346643</v>
      </c>
      <c r="G61" s="184"/>
      <c r="H61" s="184"/>
      <c r="I61" s="185"/>
      <c r="J61" s="185">
        <v>224</v>
      </c>
      <c r="K61" s="185"/>
      <c r="L61" s="185"/>
      <c r="M61" s="184"/>
      <c r="N61" s="184"/>
      <c r="O61" s="184">
        <v>3379</v>
      </c>
      <c r="P61" s="185">
        <v>1225957</v>
      </c>
      <c r="Q61" s="185">
        <v>548822</v>
      </c>
      <c r="R61" s="185">
        <v>54737</v>
      </c>
      <c r="S61" s="185">
        <v>51602</v>
      </c>
      <c r="T61" s="185">
        <v>25958</v>
      </c>
      <c r="U61" s="185">
        <v>792551</v>
      </c>
      <c r="V61" s="185"/>
      <c r="W61" s="185">
        <v>18916</v>
      </c>
      <c r="X61" s="185">
        <v>102292</v>
      </c>
      <c r="Y61" s="185">
        <v>1237669</v>
      </c>
      <c r="Z61" s="185"/>
      <c r="AA61" s="185">
        <v>107806</v>
      </c>
      <c r="AB61" s="185">
        <v>821453</v>
      </c>
      <c r="AC61" s="185">
        <v>467777</v>
      </c>
      <c r="AD61" s="185"/>
      <c r="AE61" s="185">
        <v>30037</v>
      </c>
      <c r="AF61" s="185"/>
      <c r="AG61" s="185">
        <v>2487099</v>
      </c>
      <c r="AH61" s="185"/>
      <c r="AI61" s="185"/>
      <c r="AJ61" s="185">
        <v>41400</v>
      </c>
      <c r="AK61" s="185"/>
      <c r="AL61" s="185"/>
      <c r="AM61" s="185"/>
      <c r="AN61" s="185"/>
      <c r="AO61" s="185">
        <v>269917</v>
      </c>
      <c r="AP61" s="185">
        <v>3099959</v>
      </c>
      <c r="AQ61" s="185"/>
      <c r="AR61" s="185"/>
      <c r="AS61" s="185"/>
      <c r="AT61" s="185"/>
      <c r="AU61" s="185"/>
      <c r="AV61" s="185"/>
      <c r="AW61" s="185"/>
      <c r="AX61" s="185"/>
      <c r="AY61" s="185">
        <v>550051</v>
      </c>
      <c r="AZ61" s="185"/>
      <c r="BA61" s="185">
        <v>33976</v>
      </c>
      <c r="BB61" s="185"/>
      <c r="BC61" s="185"/>
      <c r="BD61" s="185">
        <v>171845</v>
      </c>
      <c r="BE61" s="185">
        <v>281051</v>
      </c>
      <c r="BF61" s="185">
        <v>485592</v>
      </c>
      <c r="BG61" s="185">
        <v>119005</v>
      </c>
      <c r="BH61" s="185"/>
      <c r="BI61" s="185"/>
      <c r="BJ61" s="185"/>
      <c r="BK61" s="185">
        <v>282725</v>
      </c>
      <c r="BL61" s="185">
        <v>342021</v>
      </c>
      <c r="BM61" s="185"/>
      <c r="BN61" s="185">
        <v>288564</v>
      </c>
      <c r="BO61" s="185"/>
      <c r="BP61" s="185"/>
      <c r="BQ61" s="185"/>
      <c r="BR61" s="185"/>
      <c r="BS61" s="185"/>
      <c r="BT61" s="185"/>
      <c r="BU61" s="185"/>
      <c r="BV61" s="185">
        <v>507730</v>
      </c>
      <c r="BW61" s="185">
        <v>138613</v>
      </c>
      <c r="BX61" s="185">
        <v>530891</v>
      </c>
      <c r="BY61" s="185">
        <v>1009089</v>
      </c>
      <c r="BZ61" s="185"/>
      <c r="CA61" s="185"/>
      <c r="CB61" s="185"/>
      <c r="CC61" s="185">
        <f>95102+238329-3</f>
        <v>333428</v>
      </c>
      <c r="CD61" s="249" t="s">
        <v>221</v>
      </c>
      <c r="CE61" s="195">
        <f t="shared" si="0"/>
        <v>20982326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226615</v>
      </c>
      <c r="D62" s="195">
        <f t="shared" si="1"/>
        <v>0</v>
      </c>
      <c r="E62" s="195">
        <f t="shared" si="1"/>
        <v>487292</v>
      </c>
      <c r="F62" s="195">
        <f t="shared" si="1"/>
        <v>302935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50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760</v>
      </c>
      <c r="P62" s="195">
        <f t="shared" si="1"/>
        <v>275786</v>
      </c>
      <c r="Q62" s="195">
        <f t="shared" si="1"/>
        <v>123461</v>
      </c>
      <c r="R62" s="195">
        <f t="shared" si="1"/>
        <v>12313</v>
      </c>
      <c r="S62" s="195">
        <f t="shared" si="1"/>
        <v>11608</v>
      </c>
      <c r="T62" s="195">
        <f t="shared" si="1"/>
        <v>5839</v>
      </c>
      <c r="U62" s="195">
        <f t="shared" si="1"/>
        <v>178289</v>
      </c>
      <c r="V62" s="195">
        <f t="shared" si="1"/>
        <v>0</v>
      </c>
      <c r="W62" s="195">
        <f t="shared" si="1"/>
        <v>4255</v>
      </c>
      <c r="X62" s="195">
        <f t="shared" si="1"/>
        <v>23011</v>
      </c>
      <c r="Y62" s="195">
        <f t="shared" si="1"/>
        <v>278421</v>
      </c>
      <c r="Z62" s="195">
        <f t="shared" si="1"/>
        <v>0</v>
      </c>
      <c r="AA62" s="195">
        <f t="shared" si="1"/>
        <v>24252</v>
      </c>
      <c r="AB62" s="195">
        <f t="shared" si="1"/>
        <v>184790</v>
      </c>
      <c r="AC62" s="195">
        <f t="shared" si="1"/>
        <v>105229</v>
      </c>
      <c r="AD62" s="195">
        <f t="shared" si="1"/>
        <v>0</v>
      </c>
      <c r="AE62" s="195">
        <f t="shared" si="1"/>
        <v>6757</v>
      </c>
      <c r="AF62" s="195">
        <f t="shared" si="1"/>
        <v>0</v>
      </c>
      <c r="AG62" s="195">
        <f t="shared" si="1"/>
        <v>559487</v>
      </c>
      <c r="AH62" s="195">
        <f t="shared" si="1"/>
        <v>0</v>
      </c>
      <c r="AI62" s="195">
        <f t="shared" si="1"/>
        <v>0</v>
      </c>
      <c r="AJ62" s="195">
        <f t="shared" si="1"/>
        <v>9313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60719</v>
      </c>
      <c r="AP62" s="195">
        <f t="shared" si="1"/>
        <v>697353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123737</v>
      </c>
      <c r="AZ62" s="195">
        <f>ROUND(AZ47+AZ48,0)</f>
        <v>0</v>
      </c>
      <c r="BA62" s="195">
        <f>ROUND(BA47+BA48,0)</f>
        <v>7643</v>
      </c>
      <c r="BB62" s="195">
        <f t="shared" si="1"/>
        <v>0</v>
      </c>
      <c r="BC62" s="195">
        <f t="shared" si="1"/>
        <v>0</v>
      </c>
      <c r="BD62" s="195">
        <f t="shared" si="1"/>
        <v>38657</v>
      </c>
      <c r="BE62" s="195">
        <f t="shared" si="1"/>
        <v>63224</v>
      </c>
      <c r="BF62" s="195">
        <f t="shared" si="1"/>
        <v>109237</v>
      </c>
      <c r="BG62" s="195">
        <f t="shared" si="1"/>
        <v>26771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63601</v>
      </c>
      <c r="BL62" s="195">
        <f t="shared" si="1"/>
        <v>76940</v>
      </c>
      <c r="BM62" s="195">
        <f t="shared" si="1"/>
        <v>0</v>
      </c>
      <c r="BN62" s="195">
        <f t="shared" si="1"/>
        <v>64914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114217</v>
      </c>
      <c r="BW62" s="195">
        <f t="shared" si="2"/>
        <v>31182</v>
      </c>
      <c r="BX62" s="195">
        <f t="shared" si="2"/>
        <v>119427</v>
      </c>
      <c r="BY62" s="195">
        <f t="shared" si="2"/>
        <v>227000</v>
      </c>
      <c r="BZ62" s="195">
        <f t="shared" si="2"/>
        <v>0</v>
      </c>
      <c r="CA62" s="195">
        <f t="shared" si="2"/>
        <v>0</v>
      </c>
      <c r="CB62" s="195">
        <f t="shared" si="2"/>
        <v>0</v>
      </c>
      <c r="CC62" s="195">
        <f t="shared" si="2"/>
        <v>75007</v>
      </c>
      <c r="CD62" s="249" t="s">
        <v>221</v>
      </c>
      <c r="CE62" s="195">
        <f t="shared" si="0"/>
        <v>4720092</v>
      </c>
      <c r="CF62" s="252"/>
    </row>
    <row r="63" spans="1:84" ht="12.6" customHeight="1" x14ac:dyDescent="0.25">
      <c r="A63" s="171" t="s">
        <v>236</v>
      </c>
      <c r="B63" s="175"/>
      <c r="C63" s="184">
        <v>51087</v>
      </c>
      <c r="D63" s="184"/>
      <c r="E63" s="184">
        <v>90109</v>
      </c>
      <c r="F63" s="185">
        <v>85565</v>
      </c>
      <c r="G63" s="184"/>
      <c r="H63" s="184"/>
      <c r="I63" s="185"/>
      <c r="J63" s="185"/>
      <c r="K63" s="185"/>
      <c r="L63" s="185"/>
      <c r="M63" s="184"/>
      <c r="N63" s="184"/>
      <c r="O63" s="184"/>
      <c r="P63" s="185">
        <v>189129</v>
      </c>
      <c r="Q63" s="185"/>
      <c r="R63" s="185">
        <v>474087</v>
      </c>
      <c r="S63" s="185">
        <v>251517</v>
      </c>
      <c r="T63" s="185"/>
      <c r="U63" s="185"/>
      <c r="V63" s="185"/>
      <c r="W63" s="185"/>
      <c r="X63" s="185"/>
      <c r="Y63" s="185">
        <v>152790</v>
      </c>
      <c r="Z63" s="185"/>
      <c r="AA63" s="185"/>
      <c r="AB63" s="185"/>
      <c r="AC63" s="185">
        <v>21491</v>
      </c>
      <c r="AD63" s="185"/>
      <c r="AE63" s="185"/>
      <c r="AF63" s="185"/>
      <c r="AG63" s="185">
        <v>935511</v>
      </c>
      <c r="AH63" s="185"/>
      <c r="AI63" s="185"/>
      <c r="AJ63" s="185"/>
      <c r="AK63" s="185"/>
      <c r="AL63" s="185"/>
      <c r="AM63" s="185"/>
      <c r="AN63" s="185"/>
      <c r="AO63" s="185"/>
      <c r="AP63" s="185">
        <v>2017236</v>
      </c>
      <c r="AQ63" s="185"/>
      <c r="AR63" s="185"/>
      <c r="AS63" s="185"/>
      <c r="AT63" s="185"/>
      <c r="AU63" s="185"/>
      <c r="AV63" s="185">
        <v>18000</v>
      </c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/>
      <c r="BK63" s="185"/>
      <c r="BL63" s="185"/>
      <c r="BM63" s="185"/>
      <c r="BN63" s="185"/>
      <c r="BO63" s="185"/>
      <c r="BP63" s="185"/>
      <c r="BQ63" s="185"/>
      <c r="BR63" s="185"/>
      <c r="BS63" s="185"/>
      <c r="BT63" s="185"/>
      <c r="BU63" s="185"/>
      <c r="BV63" s="185">
        <v>26190</v>
      </c>
      <c r="BW63" s="185">
        <v>13700</v>
      </c>
      <c r="BX63" s="185">
        <v>207180</v>
      </c>
      <c r="BY63" s="185"/>
      <c r="BZ63" s="185"/>
      <c r="CA63" s="185"/>
      <c r="CB63" s="185"/>
      <c r="CC63" s="185">
        <f>195861-1408+49242</f>
        <v>243695</v>
      </c>
      <c r="CD63" s="249" t="s">
        <v>221</v>
      </c>
      <c r="CE63" s="195">
        <f t="shared" si="0"/>
        <v>4777287</v>
      </c>
      <c r="CF63" s="252"/>
    </row>
    <row r="64" spans="1:84" ht="12.6" customHeight="1" x14ac:dyDescent="0.25">
      <c r="A64" s="171" t="s">
        <v>237</v>
      </c>
      <c r="B64" s="175"/>
      <c r="C64" s="184">
        <v>102140</v>
      </c>
      <c r="D64" s="184"/>
      <c r="E64" s="185">
        <v>167141</v>
      </c>
      <c r="F64" s="185">
        <v>9303</v>
      </c>
      <c r="G64" s="184"/>
      <c r="H64" s="184"/>
      <c r="I64" s="185"/>
      <c r="J64" s="185">
        <v>5898</v>
      </c>
      <c r="K64" s="185"/>
      <c r="L64" s="185"/>
      <c r="M64" s="184"/>
      <c r="N64" s="184"/>
      <c r="O64" s="184">
        <v>44903</v>
      </c>
      <c r="P64" s="185">
        <v>579888</v>
      </c>
      <c r="Q64" s="185">
        <v>11681</v>
      </c>
      <c r="R64" s="267">
        <v>36596</v>
      </c>
      <c r="S64" s="267">
        <v>1462293</v>
      </c>
      <c r="T64" s="185">
        <v>23155</v>
      </c>
      <c r="U64" s="185">
        <v>812379</v>
      </c>
      <c r="V64" s="185">
        <v>3515</v>
      </c>
      <c r="W64" s="185">
        <v>5053</v>
      </c>
      <c r="X64" s="185">
        <v>40281</v>
      </c>
      <c r="Y64" s="267">
        <v>61484</v>
      </c>
      <c r="Z64" s="185"/>
      <c r="AA64" s="185">
        <v>82283</v>
      </c>
      <c r="AB64" s="185">
        <v>896450</v>
      </c>
      <c r="AC64" s="267">
        <v>80347</v>
      </c>
      <c r="AD64" s="185"/>
      <c r="AE64" s="185">
        <v>6571</v>
      </c>
      <c r="AF64" s="185"/>
      <c r="AG64" s="267">
        <v>313287</v>
      </c>
      <c r="AH64" s="185"/>
      <c r="AI64" s="185"/>
      <c r="AJ64" s="185">
        <v>115</v>
      </c>
      <c r="AK64" s="185"/>
      <c r="AL64" s="185"/>
      <c r="AM64" s="185"/>
      <c r="AN64" s="185"/>
      <c r="AO64" s="185">
        <v>28238</v>
      </c>
      <c r="AP64" s="267">
        <v>303770</v>
      </c>
      <c r="AQ64" s="185"/>
      <c r="AR64" s="185"/>
      <c r="AS64" s="185"/>
      <c r="AT64" s="185"/>
      <c r="AU64" s="185"/>
      <c r="AV64" s="267">
        <v>352471</v>
      </c>
      <c r="AW64" s="185"/>
      <c r="AX64" s="185"/>
      <c r="AY64" s="185">
        <v>339838</v>
      </c>
      <c r="AZ64" s="185"/>
      <c r="BA64" s="185">
        <v>2596</v>
      </c>
      <c r="BB64" s="185"/>
      <c r="BC64" s="185"/>
      <c r="BD64" s="185">
        <v>41658</v>
      </c>
      <c r="BE64" s="185">
        <v>37766</v>
      </c>
      <c r="BF64" s="185">
        <v>53996</v>
      </c>
      <c r="BG64" s="185">
        <v>591</v>
      </c>
      <c r="BH64" s="185"/>
      <c r="BI64" s="185">
        <v>920</v>
      </c>
      <c r="BJ64" s="185"/>
      <c r="BK64" s="185">
        <v>4124</v>
      </c>
      <c r="BL64" s="185">
        <v>9190</v>
      </c>
      <c r="BM64" s="185"/>
      <c r="BN64" s="185">
        <v>7107</v>
      </c>
      <c r="BO64" s="185"/>
      <c r="BP64" s="185"/>
      <c r="BQ64" s="185"/>
      <c r="BR64" s="185"/>
      <c r="BS64" s="185"/>
      <c r="BT64" s="185"/>
      <c r="BU64" s="185"/>
      <c r="BV64" s="185">
        <v>5424</v>
      </c>
      <c r="BW64" s="185">
        <v>4558</v>
      </c>
      <c r="BX64" s="185">
        <v>3599</v>
      </c>
      <c r="BY64" s="185">
        <v>216</v>
      </c>
      <c r="BZ64" s="185"/>
      <c r="CA64" s="185"/>
      <c r="CB64" s="185"/>
      <c r="CC64" s="185">
        <f>102142-1</f>
        <v>102141</v>
      </c>
      <c r="CD64" s="249" t="s">
        <v>221</v>
      </c>
      <c r="CE64" s="195">
        <f t="shared" si="0"/>
        <v>6042966</v>
      </c>
      <c r="CF64" s="252"/>
    </row>
    <row r="65" spans="1:84" ht="12.6" customHeight="1" x14ac:dyDescent="0.25">
      <c r="A65" s="171" t="s">
        <v>238</v>
      </c>
      <c r="B65" s="175"/>
      <c r="C65" s="184"/>
      <c r="D65" s="184"/>
      <c r="E65" s="184"/>
      <c r="F65" s="184"/>
      <c r="G65" s="184"/>
      <c r="H65" s="184"/>
      <c r="I65" s="185"/>
      <c r="J65" s="184"/>
      <c r="K65" s="185"/>
      <c r="L65" s="185"/>
      <c r="M65" s="184"/>
      <c r="N65" s="184"/>
      <c r="O65" s="184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/>
      <c r="BF65" s="185"/>
      <c r="BG65" s="185"/>
      <c r="BH65" s="185"/>
      <c r="BI65" s="185"/>
      <c r="BJ65" s="185"/>
      <c r="BK65" s="185"/>
      <c r="BL65" s="185"/>
      <c r="BM65" s="185"/>
      <c r="BN65" s="185"/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>
        <v>810090</v>
      </c>
      <c r="CD65" s="249" t="s">
        <v>221</v>
      </c>
      <c r="CE65" s="195">
        <f t="shared" si="0"/>
        <v>810090</v>
      </c>
      <c r="CF65" s="252"/>
    </row>
    <row r="66" spans="1:84" ht="12.6" customHeight="1" x14ac:dyDescent="0.25">
      <c r="A66" s="171" t="s">
        <v>239</v>
      </c>
      <c r="B66" s="175"/>
      <c r="C66" s="184"/>
      <c r="D66" s="184"/>
      <c r="E66" s="184">
        <v>1845645</v>
      </c>
      <c r="F66" s="184">
        <v>-658</v>
      </c>
      <c r="G66" s="184"/>
      <c r="H66" s="184"/>
      <c r="I66" s="184"/>
      <c r="J66" s="184"/>
      <c r="K66" s="185"/>
      <c r="L66" s="185"/>
      <c r="M66" s="184"/>
      <c r="N66" s="184"/>
      <c r="O66" s="185">
        <v>1218</v>
      </c>
      <c r="P66" s="185">
        <v>80303</v>
      </c>
      <c r="Q66" s="185"/>
      <c r="R66" s="185">
        <v>54866</v>
      </c>
      <c r="S66" s="184">
        <v>25051</v>
      </c>
      <c r="T66" s="184"/>
      <c r="U66" s="185">
        <v>240259</v>
      </c>
      <c r="V66" s="185">
        <v>6359</v>
      </c>
      <c r="W66" s="185">
        <v>192337</v>
      </c>
      <c r="X66" s="185">
        <v>175969</v>
      </c>
      <c r="Y66" s="185">
        <v>451403</v>
      </c>
      <c r="Z66" s="185"/>
      <c r="AA66" s="185">
        <v>22407</v>
      </c>
      <c r="AB66" s="185">
        <v>123577</v>
      </c>
      <c r="AC66" s="185">
        <v>10900</v>
      </c>
      <c r="AD66" s="185"/>
      <c r="AE66" s="185"/>
      <c r="AF66" s="185"/>
      <c r="AG66" s="185">
        <v>217856</v>
      </c>
      <c r="AH66" s="185"/>
      <c r="AI66" s="185"/>
      <c r="AJ66" s="185"/>
      <c r="AK66" s="185"/>
      <c r="AL66" s="185"/>
      <c r="AM66" s="185"/>
      <c r="AN66" s="185"/>
      <c r="AO66" s="185"/>
      <c r="AP66" s="185">
        <v>96644</v>
      </c>
      <c r="AQ66" s="185"/>
      <c r="AR66" s="185"/>
      <c r="AS66" s="185"/>
      <c r="AT66" s="185"/>
      <c r="AU66" s="185"/>
      <c r="AV66" s="185">
        <v>581360</v>
      </c>
      <c r="AW66" s="185"/>
      <c r="AX66" s="185"/>
      <c r="AY66" s="185">
        <v>43476</v>
      </c>
      <c r="AZ66" s="185"/>
      <c r="BA66" s="185">
        <v>147482</v>
      </c>
      <c r="BB66" s="185"/>
      <c r="BC66" s="185">
        <v>4345</v>
      </c>
      <c r="BD66" s="185">
        <v>0</v>
      </c>
      <c r="BE66" s="185">
        <v>476501</v>
      </c>
      <c r="BF66" s="185">
        <v>80975</v>
      </c>
      <c r="BG66" s="185">
        <v>614</v>
      </c>
      <c r="BH66" s="185"/>
      <c r="BI66" s="185">
        <v>60623</v>
      </c>
      <c r="BJ66" s="185"/>
      <c r="BK66" s="185">
        <v>128642</v>
      </c>
      <c r="BL66" s="185"/>
      <c r="BM66" s="185"/>
      <c r="BN66" s="185">
        <v>7322</v>
      </c>
      <c r="BO66" s="185"/>
      <c r="BP66" s="185"/>
      <c r="BQ66" s="185"/>
      <c r="BR66" s="185"/>
      <c r="BS66" s="185"/>
      <c r="BT66" s="185"/>
      <c r="BU66" s="185"/>
      <c r="BV66" s="185">
        <v>98642</v>
      </c>
      <c r="BW66" s="185">
        <v>195</v>
      </c>
      <c r="BX66" s="185">
        <v>211292</v>
      </c>
      <c r="BY66" s="185">
        <v>600</v>
      </c>
      <c r="BZ66" s="185"/>
      <c r="CA66" s="185"/>
      <c r="CB66" s="185"/>
      <c r="CC66" s="185">
        <v>111070</v>
      </c>
      <c r="CD66" s="249" t="s">
        <v>221</v>
      </c>
      <c r="CE66" s="195">
        <f t="shared" si="0"/>
        <v>5497275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6826</v>
      </c>
      <c r="D67" s="195">
        <f>ROUND(D51+D52,0)</f>
        <v>0</v>
      </c>
      <c r="E67" s="195">
        <f t="shared" ref="E67:BP67" si="3">ROUND(E51+E52,0)</f>
        <v>10875</v>
      </c>
      <c r="F67" s="195">
        <f t="shared" si="3"/>
        <v>6645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300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1812</v>
      </c>
      <c r="P67" s="195">
        <f t="shared" si="3"/>
        <v>8991</v>
      </c>
      <c r="Q67" s="195">
        <f t="shared" si="3"/>
        <v>1448</v>
      </c>
      <c r="R67" s="195">
        <f t="shared" si="3"/>
        <v>299</v>
      </c>
      <c r="S67" s="195">
        <f t="shared" si="3"/>
        <v>2740</v>
      </c>
      <c r="T67" s="195">
        <f t="shared" si="3"/>
        <v>455</v>
      </c>
      <c r="U67" s="195">
        <f t="shared" si="3"/>
        <v>3501</v>
      </c>
      <c r="V67" s="195">
        <f t="shared" si="3"/>
        <v>158</v>
      </c>
      <c r="W67" s="195">
        <f t="shared" si="3"/>
        <v>0</v>
      </c>
      <c r="X67" s="195">
        <f t="shared" si="3"/>
        <v>888</v>
      </c>
      <c r="Y67" s="195">
        <f t="shared" si="3"/>
        <v>7307</v>
      </c>
      <c r="Z67" s="195">
        <f t="shared" si="3"/>
        <v>0</v>
      </c>
      <c r="AA67" s="195">
        <f t="shared" si="3"/>
        <v>1030</v>
      </c>
      <c r="AB67" s="195">
        <f t="shared" si="3"/>
        <v>1771</v>
      </c>
      <c r="AC67" s="195">
        <f t="shared" si="3"/>
        <v>1690</v>
      </c>
      <c r="AD67" s="195">
        <f t="shared" si="3"/>
        <v>0</v>
      </c>
      <c r="AE67" s="195">
        <f t="shared" si="3"/>
        <v>3365</v>
      </c>
      <c r="AF67" s="195">
        <f t="shared" si="3"/>
        <v>0</v>
      </c>
      <c r="AG67" s="195">
        <f t="shared" si="3"/>
        <v>16623</v>
      </c>
      <c r="AH67" s="195">
        <f t="shared" si="3"/>
        <v>0</v>
      </c>
      <c r="AI67" s="195">
        <f t="shared" si="3"/>
        <v>0</v>
      </c>
      <c r="AJ67" s="195">
        <f t="shared" si="3"/>
        <v>398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3636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175</v>
      </c>
      <c r="AW67" s="195">
        <f t="shared" si="3"/>
        <v>0</v>
      </c>
      <c r="AX67" s="195">
        <f t="shared" si="3"/>
        <v>0</v>
      </c>
      <c r="AY67" s="195">
        <f t="shared" si="3"/>
        <v>8918</v>
      </c>
      <c r="AZ67" s="195">
        <f>ROUND(AZ51+AZ52,0)</f>
        <v>0</v>
      </c>
      <c r="BA67" s="195">
        <f>ROUND(BA51+BA52,0)</f>
        <v>684</v>
      </c>
      <c r="BB67" s="195">
        <f t="shared" si="3"/>
        <v>0</v>
      </c>
      <c r="BC67" s="195">
        <f t="shared" si="3"/>
        <v>0</v>
      </c>
      <c r="BD67" s="195">
        <f t="shared" si="3"/>
        <v>2958</v>
      </c>
      <c r="BE67" s="195">
        <f t="shared" si="3"/>
        <v>54191</v>
      </c>
      <c r="BF67" s="195">
        <f t="shared" si="3"/>
        <v>735</v>
      </c>
      <c r="BG67" s="195">
        <f t="shared" si="3"/>
        <v>308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1524</v>
      </c>
      <c r="BM67" s="195">
        <f t="shared" si="3"/>
        <v>0</v>
      </c>
      <c r="BN67" s="195">
        <f t="shared" si="3"/>
        <v>6474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3411</v>
      </c>
      <c r="BW67" s="195">
        <f t="shared" si="4"/>
        <v>1010</v>
      </c>
      <c r="BX67" s="195">
        <f t="shared" si="4"/>
        <v>1697</v>
      </c>
      <c r="BY67" s="195">
        <f t="shared" si="4"/>
        <v>551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1297</v>
      </c>
      <c r="CD67" s="249" t="s">
        <v>221</v>
      </c>
      <c r="CE67" s="195">
        <f t="shared" si="0"/>
        <v>164691</v>
      </c>
      <c r="CF67" s="252"/>
    </row>
    <row r="68" spans="1:84" ht="12.6" customHeight="1" x14ac:dyDescent="0.25">
      <c r="A68" s="171" t="s">
        <v>240</v>
      </c>
      <c r="B68" s="175"/>
      <c r="C68" s="184"/>
      <c r="D68" s="184"/>
      <c r="E68" s="184">
        <v>28227</v>
      </c>
      <c r="F68" s="184"/>
      <c r="G68" s="184"/>
      <c r="H68" s="184"/>
      <c r="I68" s="184"/>
      <c r="J68" s="184"/>
      <c r="K68" s="185"/>
      <c r="L68" s="185"/>
      <c r="M68" s="184"/>
      <c r="N68" s="184"/>
      <c r="O68" s="184"/>
      <c r="P68" s="185">
        <v>880</v>
      </c>
      <c r="Q68" s="185"/>
      <c r="R68" s="185"/>
      <c r="S68" s="185"/>
      <c r="T68" s="185"/>
      <c r="U68" s="185"/>
      <c r="V68" s="185"/>
      <c r="W68" s="185">
        <v>44240</v>
      </c>
      <c r="X68" s="185"/>
      <c r="Y68" s="185"/>
      <c r="Z68" s="185"/>
      <c r="AA68" s="185"/>
      <c r="AB68" s="185"/>
      <c r="AC68" s="185">
        <v>18201</v>
      </c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>
        <v>391026</v>
      </c>
      <c r="AQ68" s="185"/>
      <c r="AR68" s="185"/>
      <c r="AS68" s="185"/>
      <c r="AT68" s="185"/>
      <c r="AU68" s="185"/>
      <c r="AV68" s="185">
        <v>122306</v>
      </c>
      <c r="AW68" s="185"/>
      <c r="AX68" s="185"/>
      <c r="AY68" s="185"/>
      <c r="AZ68" s="185"/>
      <c r="BA68" s="185"/>
      <c r="BB68" s="185"/>
      <c r="BC68" s="185"/>
      <c r="BD68" s="185"/>
      <c r="BE68" s="185">
        <v>1909</v>
      </c>
      <c r="BF68" s="185"/>
      <c r="BG68" s="185"/>
      <c r="BH68" s="185"/>
      <c r="BI68" s="185">
        <v>28905</v>
      </c>
      <c r="BJ68" s="185"/>
      <c r="BK68" s="185"/>
      <c r="BL68" s="185"/>
      <c r="BM68" s="185"/>
      <c r="BN68" s="185">
        <v>10</v>
      </c>
      <c r="BO68" s="185"/>
      <c r="BP68" s="185"/>
      <c r="BQ68" s="185"/>
      <c r="BR68" s="185"/>
      <c r="BS68" s="185"/>
      <c r="BT68" s="185"/>
      <c r="BU68" s="185"/>
      <c r="BV68" s="185"/>
      <c r="BW68" s="185"/>
      <c r="BX68" s="185">
        <v>200</v>
      </c>
      <c r="BY68" s="185"/>
      <c r="BZ68" s="185"/>
      <c r="CA68" s="185"/>
      <c r="CB68" s="185"/>
      <c r="CC68" s="185">
        <v>1</v>
      </c>
      <c r="CD68" s="249" t="s">
        <v>221</v>
      </c>
      <c r="CE68" s="195">
        <f t="shared" si="0"/>
        <v>635905</v>
      </c>
      <c r="CF68" s="252"/>
    </row>
    <row r="69" spans="1:84" ht="12.6" customHeight="1" x14ac:dyDescent="0.25">
      <c r="A69" s="171" t="s">
        <v>241</v>
      </c>
      <c r="B69" s="175"/>
      <c r="C69" s="184">
        <v>26</v>
      </c>
      <c r="D69" s="184"/>
      <c r="E69" s="185">
        <v>435</v>
      </c>
      <c r="F69" s="185">
        <v>208</v>
      </c>
      <c r="G69" s="184"/>
      <c r="H69" s="184"/>
      <c r="I69" s="185"/>
      <c r="J69" s="185"/>
      <c r="K69" s="185"/>
      <c r="L69" s="185"/>
      <c r="M69" s="184"/>
      <c r="N69" s="184"/>
      <c r="O69" s="184">
        <v>240</v>
      </c>
      <c r="P69" s="185">
        <v>1427</v>
      </c>
      <c r="Q69" s="185">
        <v>218</v>
      </c>
      <c r="R69" s="224"/>
      <c r="S69" s="185">
        <v>2818</v>
      </c>
      <c r="T69" s="184"/>
      <c r="U69" s="185">
        <v>1405</v>
      </c>
      <c r="V69" s="185"/>
      <c r="W69" s="184"/>
      <c r="X69" s="185">
        <v>222</v>
      </c>
      <c r="Y69" s="185">
        <v>546</v>
      </c>
      <c r="Z69" s="185"/>
      <c r="AA69" s="185"/>
      <c r="AB69" s="185">
        <v>3510</v>
      </c>
      <c r="AC69" s="185">
        <v>226</v>
      </c>
      <c r="AD69" s="185"/>
      <c r="AE69" s="185">
        <v>1746</v>
      </c>
      <c r="AF69" s="185"/>
      <c r="AG69" s="185">
        <v>7082</v>
      </c>
      <c r="AH69" s="185"/>
      <c r="AI69" s="185"/>
      <c r="AJ69" s="185">
        <v>26</v>
      </c>
      <c r="AK69" s="185"/>
      <c r="AL69" s="185"/>
      <c r="AM69" s="185"/>
      <c r="AN69" s="185"/>
      <c r="AO69" s="184">
        <v>103</v>
      </c>
      <c r="AP69" s="185">
        <v>62579</v>
      </c>
      <c r="AQ69" s="184"/>
      <c r="AR69" s="184"/>
      <c r="AS69" s="184"/>
      <c r="AT69" s="184"/>
      <c r="AU69" s="185"/>
      <c r="AV69" s="185">
        <v>127</v>
      </c>
      <c r="AW69" s="185"/>
      <c r="AX69" s="185"/>
      <c r="AY69" s="185">
        <v>816</v>
      </c>
      <c r="AZ69" s="185"/>
      <c r="BA69" s="185"/>
      <c r="BB69" s="185"/>
      <c r="BC69" s="185"/>
      <c r="BD69" s="185">
        <v>1393</v>
      </c>
      <c r="BE69" s="185">
        <v>274</v>
      </c>
      <c r="BF69" s="185">
        <v>92</v>
      </c>
      <c r="BG69" s="185">
        <v>94</v>
      </c>
      <c r="BH69" s="224"/>
      <c r="BI69" s="185"/>
      <c r="BJ69" s="185"/>
      <c r="BK69" s="185">
        <v>270</v>
      </c>
      <c r="BL69" s="185">
        <v>14</v>
      </c>
      <c r="BM69" s="185"/>
      <c r="BN69" s="185">
        <v>63477</v>
      </c>
      <c r="BO69" s="185"/>
      <c r="BP69" s="185"/>
      <c r="BQ69" s="185"/>
      <c r="BR69" s="185"/>
      <c r="BS69" s="185"/>
      <c r="BT69" s="185"/>
      <c r="BU69" s="185"/>
      <c r="BV69" s="185">
        <v>702</v>
      </c>
      <c r="BW69" s="185">
        <v>73740</v>
      </c>
      <c r="BX69" s="185">
        <v>65175</v>
      </c>
      <c r="BY69" s="185">
        <v>17200</v>
      </c>
      <c r="BZ69" s="185"/>
      <c r="CA69" s="185"/>
      <c r="CB69" s="185"/>
      <c r="CC69" s="185">
        <f>29080-2</f>
        <v>29078</v>
      </c>
      <c r="CD69" s="188">
        <v>607407</v>
      </c>
      <c r="CE69" s="195">
        <f t="shared" si="0"/>
        <v>942676</v>
      </c>
      <c r="CF69" s="252"/>
    </row>
    <row r="70" spans="1:84" ht="12.6" customHeight="1" x14ac:dyDescent="0.25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>
        <v>1721855</v>
      </c>
      <c r="CE70" s="195">
        <f t="shared" si="0"/>
        <v>1721855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1394072</v>
      </c>
      <c r="D71" s="195">
        <f t="shared" ref="D71:AI71" si="5">SUM(D61:D69)-D70</f>
        <v>0</v>
      </c>
      <c r="E71" s="195">
        <f t="shared" si="5"/>
        <v>4795893</v>
      </c>
      <c r="F71" s="195">
        <f t="shared" si="5"/>
        <v>1750641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6472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52312</v>
      </c>
      <c r="P71" s="195">
        <f t="shared" si="5"/>
        <v>2362361</v>
      </c>
      <c r="Q71" s="195">
        <f t="shared" si="5"/>
        <v>685630</v>
      </c>
      <c r="R71" s="195">
        <f t="shared" si="5"/>
        <v>632898</v>
      </c>
      <c r="S71" s="195">
        <f t="shared" si="5"/>
        <v>1807629</v>
      </c>
      <c r="T71" s="195">
        <f t="shared" si="5"/>
        <v>55407</v>
      </c>
      <c r="U71" s="195">
        <f t="shared" si="5"/>
        <v>2028384</v>
      </c>
      <c r="V71" s="195">
        <f t="shared" si="5"/>
        <v>10032</v>
      </c>
      <c r="W71" s="195">
        <f t="shared" si="5"/>
        <v>264801</v>
      </c>
      <c r="X71" s="195">
        <f t="shared" si="5"/>
        <v>342663</v>
      </c>
      <c r="Y71" s="195">
        <f t="shared" si="5"/>
        <v>2189620</v>
      </c>
      <c r="Z71" s="195">
        <f t="shared" si="5"/>
        <v>0</v>
      </c>
      <c r="AA71" s="195">
        <f t="shared" si="5"/>
        <v>237778</v>
      </c>
      <c r="AB71" s="195">
        <f t="shared" si="5"/>
        <v>2031551</v>
      </c>
      <c r="AC71" s="195">
        <f t="shared" si="5"/>
        <v>705861</v>
      </c>
      <c r="AD71" s="195">
        <f t="shared" si="5"/>
        <v>0</v>
      </c>
      <c r="AE71" s="195">
        <f t="shared" si="5"/>
        <v>48476</v>
      </c>
      <c r="AF71" s="195">
        <f t="shared" si="5"/>
        <v>0</v>
      </c>
      <c r="AG71" s="195">
        <f t="shared" si="5"/>
        <v>4536945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51252</v>
      </c>
      <c r="AK71" s="195">
        <f t="shared" si="6"/>
        <v>0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362613</v>
      </c>
      <c r="AP71" s="195">
        <f t="shared" si="6"/>
        <v>6668567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1074439</v>
      </c>
      <c r="AW71" s="195">
        <f t="shared" si="6"/>
        <v>0</v>
      </c>
      <c r="AX71" s="195">
        <f t="shared" si="6"/>
        <v>0</v>
      </c>
      <c r="AY71" s="195">
        <f t="shared" si="6"/>
        <v>1066836</v>
      </c>
      <c r="AZ71" s="195">
        <f t="shared" si="6"/>
        <v>0</v>
      </c>
      <c r="BA71" s="195">
        <f t="shared" si="6"/>
        <v>192381</v>
      </c>
      <c r="BB71" s="195">
        <f t="shared" si="6"/>
        <v>0</v>
      </c>
      <c r="BC71" s="195">
        <f t="shared" si="6"/>
        <v>4345</v>
      </c>
      <c r="BD71" s="195">
        <f t="shared" si="6"/>
        <v>256511</v>
      </c>
      <c r="BE71" s="195">
        <f t="shared" si="6"/>
        <v>914916</v>
      </c>
      <c r="BF71" s="195">
        <f t="shared" si="6"/>
        <v>730627</v>
      </c>
      <c r="BG71" s="195">
        <f t="shared" si="6"/>
        <v>147383</v>
      </c>
      <c r="BH71" s="195">
        <f t="shared" si="6"/>
        <v>0</v>
      </c>
      <c r="BI71" s="195">
        <f t="shared" si="6"/>
        <v>90448</v>
      </c>
      <c r="BJ71" s="195">
        <f t="shared" si="6"/>
        <v>0</v>
      </c>
      <c r="BK71" s="195">
        <f t="shared" si="6"/>
        <v>479362</v>
      </c>
      <c r="BL71" s="195">
        <f t="shared" si="6"/>
        <v>429689</v>
      </c>
      <c r="BM71" s="195">
        <f t="shared" si="6"/>
        <v>0</v>
      </c>
      <c r="BN71" s="195">
        <f t="shared" si="6"/>
        <v>437868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0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756316</v>
      </c>
      <c r="BW71" s="195">
        <f t="shared" si="7"/>
        <v>262998</v>
      </c>
      <c r="BX71" s="195">
        <f t="shared" si="7"/>
        <v>1139461</v>
      </c>
      <c r="BY71" s="195">
        <f t="shared" si="7"/>
        <v>1254656</v>
      </c>
      <c r="BZ71" s="195">
        <f t="shared" si="7"/>
        <v>0</v>
      </c>
      <c r="CA71" s="195">
        <f t="shared" si="7"/>
        <v>0</v>
      </c>
      <c r="CB71" s="195">
        <f t="shared" si="7"/>
        <v>0</v>
      </c>
      <c r="CC71" s="195">
        <f t="shared" si="7"/>
        <v>1705807</v>
      </c>
      <c r="CD71" s="245">
        <f>CD69-CD70</f>
        <v>-1114448</v>
      </c>
      <c r="CE71" s="195">
        <f>SUM(CE61:CE69)-CE70</f>
        <v>42851453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 x14ac:dyDescent="0.25">
      <c r="A73" s="171" t="s">
        <v>245</v>
      </c>
      <c r="B73" s="175"/>
      <c r="C73" s="184">
        <v>7070776</v>
      </c>
      <c r="D73" s="184"/>
      <c r="E73" s="185">
        <v>8489329</v>
      </c>
      <c r="F73" s="185">
        <v>892871</v>
      </c>
      <c r="G73" s="184"/>
      <c r="H73" s="184"/>
      <c r="I73" s="185"/>
      <c r="J73" s="185">
        <v>642773</v>
      </c>
      <c r="K73" s="185"/>
      <c r="L73" s="185"/>
      <c r="M73" s="184"/>
      <c r="N73" s="184"/>
      <c r="O73" s="184">
        <v>660501</v>
      </c>
      <c r="P73" s="185">
        <v>4904983</v>
      </c>
      <c r="Q73" s="185">
        <v>509326</v>
      </c>
      <c r="R73" s="185">
        <v>358252</v>
      </c>
      <c r="S73" s="185">
        <v>1448205</v>
      </c>
      <c r="T73" s="185">
        <v>649823</v>
      </c>
      <c r="U73" s="185">
        <v>3137631</v>
      </c>
      <c r="V73" s="185">
        <v>20784</v>
      </c>
      <c r="W73" s="185">
        <v>182345</v>
      </c>
      <c r="X73" s="185">
        <v>1698003</v>
      </c>
      <c r="Y73" s="185">
        <v>1161955</v>
      </c>
      <c r="Z73" s="185"/>
      <c r="AA73" s="185">
        <v>127846</v>
      </c>
      <c r="AB73" s="185">
        <v>2726067</v>
      </c>
      <c r="AC73" s="185">
        <v>1814933</v>
      </c>
      <c r="AD73" s="185"/>
      <c r="AE73" s="185">
        <v>109573</v>
      </c>
      <c r="AF73" s="185"/>
      <c r="AG73" s="185">
        <v>3132435</v>
      </c>
      <c r="AH73" s="185"/>
      <c r="AI73" s="185"/>
      <c r="AJ73" s="185"/>
      <c r="AK73" s="185"/>
      <c r="AL73" s="185"/>
      <c r="AM73" s="185"/>
      <c r="AN73" s="185"/>
      <c r="AO73" s="185">
        <v>179148</v>
      </c>
      <c r="AP73" s="185"/>
      <c r="AQ73" s="185"/>
      <c r="AR73" s="185"/>
      <c r="AS73" s="185"/>
      <c r="AT73" s="185"/>
      <c r="AU73" s="185"/>
      <c r="AV73" s="185">
        <f>4681-1</f>
        <v>4680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39922239</v>
      </c>
      <c r="CF73" s="252"/>
    </row>
    <row r="74" spans="1:84" ht="12.6" customHeight="1" x14ac:dyDescent="0.25">
      <c r="A74" s="171" t="s">
        <v>246</v>
      </c>
      <c r="B74" s="175"/>
      <c r="C74" s="184">
        <v>440873</v>
      </c>
      <c r="D74" s="184"/>
      <c r="E74" s="185">
        <v>1883040</v>
      </c>
      <c r="F74" s="185">
        <v>66052</v>
      </c>
      <c r="G74" s="184"/>
      <c r="H74" s="184"/>
      <c r="I74" s="184"/>
      <c r="J74" s="185">
        <v>2446</v>
      </c>
      <c r="K74" s="185"/>
      <c r="L74" s="185"/>
      <c r="M74" s="184"/>
      <c r="N74" s="184"/>
      <c r="O74" s="184">
        <v>299355</v>
      </c>
      <c r="P74" s="185">
        <v>9308270</v>
      </c>
      <c r="Q74" s="185">
        <v>1024613</v>
      </c>
      <c r="R74" s="185">
        <v>536268</v>
      </c>
      <c r="S74" s="185">
        <v>2031226</v>
      </c>
      <c r="T74" s="185">
        <v>240376</v>
      </c>
      <c r="U74" s="185">
        <v>8906381</v>
      </c>
      <c r="V74" s="185">
        <v>365625</v>
      </c>
      <c r="W74" s="185">
        <v>3023551</v>
      </c>
      <c r="X74" s="185">
        <v>14023218</v>
      </c>
      <c r="Y74" s="185">
        <v>9877932</v>
      </c>
      <c r="Z74" s="185"/>
      <c r="AA74" s="185">
        <v>857340</v>
      </c>
      <c r="AB74" s="185">
        <v>2422731</v>
      </c>
      <c r="AC74" s="185">
        <v>625424</v>
      </c>
      <c r="AD74" s="185"/>
      <c r="AE74" s="185">
        <v>8971</v>
      </c>
      <c r="AF74" s="185"/>
      <c r="AG74" s="185">
        <v>30555471</v>
      </c>
      <c r="AH74" s="185"/>
      <c r="AI74" s="185"/>
      <c r="AJ74" s="185">
        <v>79228</v>
      </c>
      <c r="AK74" s="185"/>
      <c r="AL74" s="185"/>
      <c r="AM74" s="185"/>
      <c r="AN74" s="185"/>
      <c r="AO74" s="185">
        <v>456141</v>
      </c>
      <c r="AP74" s="185">
        <v>6533232</v>
      </c>
      <c r="AQ74" s="185"/>
      <c r="AR74" s="185"/>
      <c r="AS74" s="185"/>
      <c r="AT74" s="185"/>
      <c r="AU74" s="185"/>
      <c r="AV74" s="185">
        <v>4099543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97667307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7511649</v>
      </c>
      <c r="D75" s="195">
        <f t="shared" si="9"/>
        <v>0</v>
      </c>
      <c r="E75" s="195">
        <f t="shared" si="9"/>
        <v>10372369</v>
      </c>
      <c r="F75" s="195">
        <f t="shared" si="9"/>
        <v>958923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645219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959856</v>
      </c>
      <c r="P75" s="195">
        <f t="shared" si="9"/>
        <v>14213253</v>
      </c>
      <c r="Q75" s="195">
        <f t="shared" si="9"/>
        <v>1533939</v>
      </c>
      <c r="R75" s="195">
        <f t="shared" si="9"/>
        <v>894520</v>
      </c>
      <c r="S75" s="195">
        <f t="shared" si="9"/>
        <v>3479431</v>
      </c>
      <c r="T75" s="195">
        <f t="shared" si="9"/>
        <v>890199</v>
      </c>
      <c r="U75" s="195">
        <f t="shared" si="9"/>
        <v>12044012</v>
      </c>
      <c r="V75" s="195">
        <f t="shared" si="9"/>
        <v>386409</v>
      </c>
      <c r="W75" s="195">
        <f t="shared" si="9"/>
        <v>3205896</v>
      </c>
      <c r="X75" s="195">
        <f t="shared" si="9"/>
        <v>15721221</v>
      </c>
      <c r="Y75" s="195">
        <f t="shared" si="9"/>
        <v>11039887</v>
      </c>
      <c r="Z75" s="195">
        <f t="shared" si="9"/>
        <v>0</v>
      </c>
      <c r="AA75" s="195">
        <f t="shared" si="9"/>
        <v>985186</v>
      </c>
      <c r="AB75" s="195">
        <f t="shared" si="9"/>
        <v>5148798</v>
      </c>
      <c r="AC75" s="195">
        <f t="shared" si="9"/>
        <v>2440357</v>
      </c>
      <c r="AD75" s="195">
        <f t="shared" si="9"/>
        <v>0</v>
      </c>
      <c r="AE75" s="195">
        <f t="shared" si="9"/>
        <v>118544</v>
      </c>
      <c r="AF75" s="195">
        <f t="shared" si="9"/>
        <v>0</v>
      </c>
      <c r="AG75" s="195">
        <f t="shared" si="9"/>
        <v>33687906</v>
      </c>
      <c r="AH75" s="195">
        <f t="shared" si="9"/>
        <v>0</v>
      </c>
      <c r="AI75" s="195">
        <f t="shared" si="9"/>
        <v>0</v>
      </c>
      <c r="AJ75" s="195">
        <f t="shared" si="9"/>
        <v>79228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635289</v>
      </c>
      <c r="AP75" s="195">
        <f t="shared" si="9"/>
        <v>6533232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4104223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137589546</v>
      </c>
      <c r="CF75" s="252"/>
    </row>
    <row r="76" spans="1:84" ht="12.6" customHeight="1" x14ac:dyDescent="0.25">
      <c r="A76" s="171" t="s">
        <v>248</v>
      </c>
      <c r="B76" s="175"/>
      <c r="C76" s="184">
        <v>3704</v>
      </c>
      <c r="D76" s="184"/>
      <c r="E76" s="185">
        <v>5901</v>
      </c>
      <c r="F76" s="185">
        <v>3606</v>
      </c>
      <c r="G76" s="184"/>
      <c r="H76" s="184"/>
      <c r="I76" s="185"/>
      <c r="J76" s="185">
        <v>163</v>
      </c>
      <c r="K76" s="185"/>
      <c r="L76" s="185"/>
      <c r="M76" s="185"/>
      <c r="N76" s="185"/>
      <c r="O76" s="185">
        <v>983</v>
      </c>
      <c r="P76" s="185">
        <v>4879</v>
      </c>
      <c r="Q76" s="185">
        <v>786</v>
      </c>
      <c r="R76" s="185">
        <v>162</v>
      </c>
      <c r="S76" s="185">
        <v>1487</v>
      </c>
      <c r="T76" s="185">
        <v>247</v>
      </c>
      <c r="U76" s="185">
        <v>1900</v>
      </c>
      <c r="V76" s="185">
        <v>86</v>
      </c>
      <c r="W76" s="185"/>
      <c r="X76" s="185">
        <v>482</v>
      </c>
      <c r="Y76" s="185">
        <v>3965</v>
      </c>
      <c r="Z76" s="185"/>
      <c r="AA76" s="185">
        <v>559</v>
      </c>
      <c r="AB76" s="185">
        <v>961</v>
      </c>
      <c r="AC76" s="185">
        <v>917</v>
      </c>
      <c r="AD76" s="185"/>
      <c r="AE76" s="185">
        <v>1826</v>
      </c>
      <c r="AF76" s="185"/>
      <c r="AG76" s="185">
        <v>9020</v>
      </c>
      <c r="AH76" s="185"/>
      <c r="AI76" s="185"/>
      <c r="AJ76" s="185">
        <v>216</v>
      </c>
      <c r="AK76" s="185"/>
      <c r="AL76" s="185"/>
      <c r="AM76" s="185"/>
      <c r="AN76" s="185"/>
      <c r="AO76" s="185">
        <v>1973</v>
      </c>
      <c r="AP76" s="185"/>
      <c r="AQ76" s="185"/>
      <c r="AR76" s="185"/>
      <c r="AS76" s="185"/>
      <c r="AT76" s="185"/>
      <c r="AU76" s="185"/>
      <c r="AV76" s="185">
        <v>95</v>
      </c>
      <c r="AW76" s="185"/>
      <c r="AX76" s="185"/>
      <c r="AY76" s="185">
        <v>4839</v>
      </c>
      <c r="AZ76" s="185"/>
      <c r="BA76" s="185">
        <v>371</v>
      </c>
      <c r="BB76" s="185"/>
      <c r="BC76" s="185"/>
      <c r="BD76" s="185">
        <v>1605</v>
      </c>
      <c r="BE76" s="185">
        <f>29411-5</f>
        <v>29406</v>
      </c>
      <c r="BF76" s="185">
        <v>399</v>
      </c>
      <c r="BG76" s="185">
        <v>167</v>
      </c>
      <c r="BH76" s="185"/>
      <c r="BI76" s="185"/>
      <c r="BJ76" s="185"/>
      <c r="BK76" s="185"/>
      <c r="BL76" s="185">
        <v>827</v>
      </c>
      <c r="BM76" s="185"/>
      <c r="BN76" s="185">
        <v>3513</v>
      </c>
      <c r="BO76" s="185"/>
      <c r="BP76" s="185"/>
      <c r="BQ76" s="185"/>
      <c r="BR76" s="185"/>
      <c r="BS76" s="185"/>
      <c r="BT76" s="185"/>
      <c r="BU76" s="185"/>
      <c r="BV76" s="185">
        <v>1851</v>
      </c>
      <c r="BW76" s="185">
        <v>548</v>
      </c>
      <c r="BX76" s="185">
        <v>921</v>
      </c>
      <c r="BY76" s="185">
        <v>299</v>
      </c>
      <c r="BZ76" s="185"/>
      <c r="CA76" s="185"/>
      <c r="CB76" s="185"/>
      <c r="CC76" s="185">
        <v>704</v>
      </c>
      <c r="CD76" s="249" t="s">
        <v>221</v>
      </c>
      <c r="CE76" s="195">
        <f t="shared" si="8"/>
        <v>89368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>
        <f>C59*2.8</f>
        <v>1800.3999999999999</v>
      </c>
      <c r="D77" s="184"/>
      <c r="E77" s="184">
        <f>E59*2.8</f>
        <v>10175.199999999999</v>
      </c>
      <c r="F77" s="184">
        <f>F59*2.8</f>
        <v>812</v>
      </c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12787.599999999999</v>
      </c>
      <c r="CF77" s="195">
        <f>AY59-CE77</f>
        <v>-12787.599999999999</v>
      </c>
    </row>
    <row r="78" spans="1:84" ht="12.6" customHeight="1" x14ac:dyDescent="0.25">
      <c r="A78" s="171" t="s">
        <v>250</v>
      </c>
      <c r="B78" s="175"/>
      <c r="C78" s="184">
        <v>2026</v>
      </c>
      <c r="D78" s="184"/>
      <c r="E78" s="184">
        <v>3228</v>
      </c>
      <c r="F78" s="184">
        <v>1972</v>
      </c>
      <c r="G78" s="184"/>
      <c r="H78" s="184"/>
      <c r="I78" s="184"/>
      <c r="J78" s="184">
        <v>89</v>
      </c>
      <c r="K78" s="184"/>
      <c r="L78" s="184"/>
      <c r="M78" s="184"/>
      <c r="N78" s="184"/>
      <c r="O78" s="184">
        <v>538</v>
      </c>
      <c r="P78" s="184">
        <v>2669</v>
      </c>
      <c r="Q78" s="184">
        <v>430</v>
      </c>
      <c r="R78" s="184">
        <v>89</v>
      </c>
      <c r="S78" s="184">
        <v>813</v>
      </c>
      <c r="T78" s="184">
        <v>135</v>
      </c>
      <c r="U78" s="184">
        <v>1039</v>
      </c>
      <c r="V78" s="184">
        <v>47</v>
      </c>
      <c r="W78" s="184"/>
      <c r="X78" s="184">
        <v>264</v>
      </c>
      <c r="Y78" s="184">
        <v>2169</v>
      </c>
      <c r="Z78" s="184"/>
      <c r="AA78" s="184">
        <v>306</v>
      </c>
      <c r="AB78" s="184">
        <v>526</v>
      </c>
      <c r="AC78" s="184">
        <v>502</v>
      </c>
      <c r="AD78" s="184"/>
      <c r="AE78" s="184">
        <v>999</v>
      </c>
      <c r="AF78" s="184"/>
      <c r="AG78" s="184">
        <v>4933</v>
      </c>
      <c r="AH78" s="184"/>
      <c r="AI78" s="184"/>
      <c r="AJ78" s="184">
        <v>118</v>
      </c>
      <c r="AK78" s="184"/>
      <c r="AL78" s="184"/>
      <c r="AM78" s="184"/>
      <c r="AN78" s="184"/>
      <c r="AO78" s="184">
        <v>1079</v>
      </c>
      <c r="AP78" s="184"/>
      <c r="AQ78" s="184"/>
      <c r="AR78" s="184"/>
      <c r="AS78" s="184"/>
      <c r="AT78" s="184"/>
      <c r="AU78" s="184"/>
      <c r="AV78" s="184">
        <v>52</v>
      </c>
      <c r="AW78" s="184"/>
      <c r="AX78" s="249" t="s">
        <v>221</v>
      </c>
      <c r="AY78" s="249" t="s">
        <v>221</v>
      </c>
      <c r="AZ78" s="249" t="s">
        <v>221</v>
      </c>
      <c r="BA78" s="184">
        <v>203</v>
      </c>
      <c r="BB78" s="184"/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/>
      <c r="BJ78" s="249" t="s">
        <v>221</v>
      </c>
      <c r="BK78" s="184"/>
      <c r="BL78" s="184">
        <v>452</v>
      </c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/>
      <c r="BT78" s="184"/>
      <c r="BU78" s="184"/>
      <c r="BV78" s="184">
        <v>1012</v>
      </c>
      <c r="BW78" s="184">
        <v>300</v>
      </c>
      <c r="BX78" s="184">
        <v>504</v>
      </c>
      <c r="BY78" s="184">
        <f>164-3</f>
        <v>161</v>
      </c>
      <c r="BZ78" s="184"/>
      <c r="CA78" s="184"/>
      <c r="CB78" s="184"/>
      <c r="CC78" s="249" t="s">
        <v>221</v>
      </c>
      <c r="CD78" s="249" t="s">
        <v>221</v>
      </c>
      <c r="CE78" s="195">
        <f t="shared" si="8"/>
        <v>26655</v>
      </c>
      <c r="CF78" s="195"/>
    </row>
    <row r="79" spans="1:84" ht="12.6" customHeight="1" x14ac:dyDescent="0.25">
      <c r="A79" s="171" t="s">
        <v>251</v>
      </c>
      <c r="B79" s="175"/>
      <c r="C79" s="225">
        <v>21251</v>
      </c>
      <c r="D79" s="225"/>
      <c r="E79" s="184">
        <v>46834</v>
      </c>
      <c r="F79" s="184">
        <v>8741</v>
      </c>
      <c r="G79" s="184"/>
      <c r="H79" s="184"/>
      <c r="I79" s="184"/>
      <c r="J79" s="184"/>
      <c r="K79" s="184"/>
      <c r="L79" s="184"/>
      <c r="M79" s="184"/>
      <c r="N79" s="184"/>
      <c r="O79" s="184"/>
      <c r="P79" s="184">
        <v>30178</v>
      </c>
      <c r="Q79" s="184"/>
      <c r="R79" s="184"/>
      <c r="S79" s="184">
        <v>2967</v>
      </c>
      <c r="T79" s="184"/>
      <c r="U79" s="184">
        <v>172</v>
      </c>
      <c r="V79" s="184"/>
      <c r="W79" s="184">
        <v>1958</v>
      </c>
      <c r="X79" s="184"/>
      <c r="Y79" s="184">
        <v>37783</v>
      </c>
      <c r="Z79" s="184"/>
      <c r="AA79" s="184"/>
      <c r="AB79" s="184"/>
      <c r="AC79" s="184">
        <v>937</v>
      </c>
      <c r="AD79" s="184"/>
      <c r="AE79" s="184"/>
      <c r="AF79" s="184"/>
      <c r="AG79" s="184">
        <v>90997</v>
      </c>
      <c r="AH79" s="184"/>
      <c r="AI79" s="184"/>
      <c r="AJ79" s="184">
        <v>17</v>
      </c>
      <c r="AK79" s="184"/>
      <c r="AL79" s="184"/>
      <c r="AM79" s="184"/>
      <c r="AN79" s="184"/>
      <c r="AO79" s="184"/>
      <c r="AP79" s="184">
        <v>9323</v>
      </c>
      <c r="AQ79" s="184"/>
      <c r="AR79" s="184"/>
      <c r="AS79" s="184"/>
      <c r="AT79" s="184"/>
      <c r="AU79" s="184"/>
      <c r="AV79" s="184">
        <v>3432</v>
      </c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>
        <v>395</v>
      </c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254985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v>9.3800000000000008</v>
      </c>
      <c r="D80" s="187"/>
      <c r="E80" s="187">
        <v>15.76</v>
      </c>
      <c r="F80" s="187">
        <v>11.46</v>
      </c>
      <c r="G80" s="187"/>
      <c r="H80" s="187">
        <v>0.05</v>
      </c>
      <c r="I80" s="187"/>
      <c r="J80" s="187">
        <v>0.02</v>
      </c>
      <c r="K80" s="187"/>
      <c r="L80" s="187"/>
      <c r="M80" s="187"/>
      <c r="N80" s="187"/>
      <c r="O80" s="187">
        <v>0.08</v>
      </c>
      <c r="P80" s="187">
        <v>6.44</v>
      </c>
      <c r="Q80" s="187">
        <v>4.76</v>
      </c>
      <c r="R80" s="187"/>
      <c r="S80" s="187"/>
      <c r="T80" s="187">
        <v>0.02</v>
      </c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>
        <v>19.12</v>
      </c>
      <c r="AH80" s="187"/>
      <c r="AI80" s="187"/>
      <c r="AJ80" s="187">
        <v>0.08</v>
      </c>
      <c r="AK80" s="187"/>
      <c r="AL80" s="187"/>
      <c r="AM80" s="187"/>
      <c r="AN80" s="187"/>
      <c r="AO80" s="187">
        <v>2.0699999999999998</v>
      </c>
      <c r="AP80" s="187">
        <v>1.83</v>
      </c>
      <c r="AQ80" s="187"/>
      <c r="AR80" s="187"/>
      <c r="AS80" s="187"/>
      <c r="AT80" s="187"/>
      <c r="AU80" s="187"/>
      <c r="AV80" s="187"/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71.069999999999993</v>
      </c>
      <c r="CF80" s="255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2" t="s">
        <v>1276</v>
      </c>
      <c r="D82" s="256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1266</v>
      </c>
      <c r="D83" s="256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1267</v>
      </c>
      <c r="D84" s="205"/>
      <c r="E84" s="204"/>
    </row>
    <row r="85" spans="1:5" ht="12.6" customHeight="1" x14ac:dyDescent="0.25">
      <c r="A85" s="173" t="s">
        <v>1251</v>
      </c>
      <c r="B85" s="172"/>
      <c r="C85" s="271" t="s">
        <v>1268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71" t="s">
        <v>1268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1269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1270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1271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1272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1273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1274</v>
      </c>
      <c r="D92" s="256"/>
      <c r="E92" s="175"/>
    </row>
    <row r="93" spans="1:5" ht="12.6" customHeight="1" x14ac:dyDescent="0.25">
      <c r="A93" s="173" t="s">
        <v>264</v>
      </c>
      <c r="B93" s="172" t="s">
        <v>256</v>
      </c>
      <c r="C93" s="270" t="s">
        <v>1275</v>
      </c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>
        <v>1</v>
      </c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1107</v>
      </c>
      <c r="D111" s="174">
        <v>4567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/>
      <c r="D114" s="174"/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6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>
        <v>0</v>
      </c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38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>
        <v>0</v>
      </c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>
        <v>4</v>
      </c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>
        <v>0</v>
      </c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>
        <v>0</v>
      </c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>
        <v>0</v>
      </c>
      <c r="D123" s="175"/>
      <c r="E123" s="175"/>
    </row>
    <row r="124" spans="1:5" ht="12.6" customHeight="1" x14ac:dyDescent="0.25">
      <c r="A124" s="173" t="s">
        <v>289</v>
      </c>
      <c r="B124" s="172"/>
      <c r="C124" s="189">
        <v>0</v>
      </c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>
        <v>0</v>
      </c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>
        <v>0</v>
      </c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48</v>
      </c>
    </row>
    <row r="128" spans="1:5" ht="12.6" customHeight="1" x14ac:dyDescent="0.25">
      <c r="A128" s="173" t="s">
        <v>292</v>
      </c>
      <c r="B128" s="172" t="s">
        <v>256</v>
      </c>
      <c r="C128" s="189">
        <v>48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>
        <v>5</v>
      </c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>
        <v>0</v>
      </c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457</v>
      </c>
      <c r="C138" s="189">
        <v>312</v>
      </c>
      <c r="D138" s="174">
        <f>28+310</f>
        <v>338</v>
      </c>
      <c r="E138" s="175">
        <f>SUM(B138:D138)</f>
        <v>1107</v>
      </c>
    </row>
    <row r="139" spans="1:6" ht="12.6" customHeight="1" x14ac:dyDescent="0.25">
      <c r="A139" s="173" t="s">
        <v>215</v>
      </c>
      <c r="B139" s="174">
        <v>2236</v>
      </c>
      <c r="C139" s="189">
        <v>1245</v>
      </c>
      <c r="D139" s="174">
        <f>120+966</f>
        <v>1086</v>
      </c>
      <c r="E139" s="175">
        <f>SUM(B139:D139)</f>
        <v>4567</v>
      </c>
    </row>
    <row r="140" spans="1:6" ht="12.6" customHeight="1" x14ac:dyDescent="0.25">
      <c r="A140" s="173" t="s">
        <v>298</v>
      </c>
      <c r="B140" s="174">
        <v>14973</v>
      </c>
      <c r="C140" s="174">
        <v>17696</v>
      </c>
      <c r="D140" s="174">
        <v>19946</v>
      </c>
      <c r="E140" s="175">
        <f>SUM(B140:D140)</f>
        <v>52615</v>
      </c>
    </row>
    <row r="141" spans="1:6" ht="12.6" customHeight="1" x14ac:dyDescent="0.25">
      <c r="A141" s="173" t="s">
        <v>245</v>
      </c>
      <c r="B141" s="174">
        <v>19967898</v>
      </c>
      <c r="C141" s="189">
        <v>9057756</v>
      </c>
      <c r="D141" s="174">
        <v>10896585</v>
      </c>
      <c r="E141" s="175">
        <f>SUM(B141:D141)</f>
        <v>39922239</v>
      </c>
      <c r="F141" s="199"/>
    </row>
    <row r="142" spans="1:6" ht="12.6" customHeight="1" x14ac:dyDescent="0.25">
      <c r="A142" s="173" t="s">
        <v>246</v>
      </c>
      <c r="B142" s="174">
        <v>26628774</v>
      </c>
      <c r="C142" s="189">
        <v>29732769</v>
      </c>
      <c r="D142" s="174">
        <v>41305764</v>
      </c>
      <c r="E142" s="175">
        <f>SUM(B142:D142)</f>
        <v>97667307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1.4" customHeight="1" x14ac:dyDescent="0.25">
      <c r="A165" s="173" t="s">
        <v>307</v>
      </c>
      <c r="B165" s="172" t="s">
        <v>256</v>
      </c>
      <c r="C165" s="189">
        <v>1516812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13389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/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1944016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34758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1037179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f>173939-1</f>
        <v>173938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/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4720092</v>
      </c>
      <c r="E173" s="175"/>
    </row>
    <row r="174" spans="1:5" ht="11.4" customHeight="1" x14ac:dyDescent="0.25">
      <c r="A174" s="257" t="s">
        <v>314</v>
      </c>
      <c r="B174" s="257"/>
      <c r="C174" s="257"/>
      <c r="D174" s="257"/>
      <c r="E174" s="257"/>
    </row>
    <row r="175" spans="1:5" ht="11.4" customHeight="1" x14ac:dyDescent="0.25">
      <c r="A175" s="173" t="s">
        <v>315</v>
      </c>
      <c r="B175" s="172" t="s">
        <v>256</v>
      </c>
      <c r="C175" s="189">
        <v>492325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143580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635905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1.4" customHeight="1" x14ac:dyDescent="0.25">
      <c r="A179" s="173" t="s">
        <v>318</v>
      </c>
      <c r="B179" s="172" t="s">
        <v>256</v>
      </c>
      <c r="C179" s="189"/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-1311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-1311</v>
      </c>
      <c r="E181" s="175"/>
    </row>
    <row r="182" spans="1:5" ht="11.4" customHeight="1" x14ac:dyDescent="0.25">
      <c r="A182" s="257" t="s">
        <v>320</v>
      </c>
      <c r="B182" s="257"/>
      <c r="C182" s="257"/>
      <c r="D182" s="257"/>
      <c r="E182" s="257"/>
    </row>
    <row r="183" spans="1:5" ht="11.4" customHeight="1" x14ac:dyDescent="0.25">
      <c r="A183" s="173" t="s">
        <v>321</v>
      </c>
      <c r="B183" s="172" t="s">
        <v>256</v>
      </c>
      <c r="C183" s="189">
        <v>25908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534846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560754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189"/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47964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47964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/>
      <c r="C195" s="189"/>
      <c r="D195" s="174"/>
      <c r="E195" s="175">
        <f t="shared" ref="E195:E203" si="10">SUM(B195:C195)-D195</f>
        <v>0</v>
      </c>
    </row>
    <row r="196" spans="1:8" ht="12.6" customHeight="1" x14ac:dyDescent="0.25">
      <c r="A196" s="173" t="s">
        <v>333</v>
      </c>
      <c r="B196" s="174">
        <v>20184</v>
      </c>
      <c r="C196" s="189"/>
      <c r="D196" s="174"/>
      <c r="E196" s="175">
        <f t="shared" si="10"/>
        <v>20184</v>
      </c>
    </row>
    <row r="197" spans="1:8" ht="12.6" customHeight="1" x14ac:dyDescent="0.25">
      <c r="A197" s="173" t="s">
        <v>334</v>
      </c>
      <c r="B197" s="174"/>
      <c r="C197" s="189">
        <v>30339</v>
      </c>
      <c r="D197" s="174"/>
      <c r="E197" s="175">
        <f t="shared" si="10"/>
        <v>30339</v>
      </c>
    </row>
    <row r="198" spans="1:8" ht="12.6" customHeight="1" x14ac:dyDescent="0.25">
      <c r="A198" s="173" t="s">
        <v>335</v>
      </c>
      <c r="B198" s="174"/>
      <c r="C198" s="189"/>
      <c r="D198" s="174"/>
      <c r="E198" s="175">
        <f t="shared" si="10"/>
        <v>0</v>
      </c>
    </row>
    <row r="199" spans="1:8" ht="12.6" customHeight="1" x14ac:dyDescent="0.25">
      <c r="A199" s="173" t="s">
        <v>336</v>
      </c>
      <c r="B199" s="174"/>
      <c r="C199" s="189">
        <v>43188</v>
      </c>
      <c r="D199" s="174"/>
      <c r="E199" s="175">
        <f t="shared" si="10"/>
        <v>43188</v>
      </c>
    </row>
    <row r="200" spans="1:8" ht="12.6" customHeight="1" x14ac:dyDescent="0.25">
      <c r="A200" s="173" t="s">
        <v>337</v>
      </c>
      <c r="B200" s="174">
        <v>397400</v>
      </c>
      <c r="C200" s="189">
        <v>1973300</v>
      </c>
      <c r="D200" s="174"/>
      <c r="E200" s="175">
        <f t="shared" si="10"/>
        <v>2370700</v>
      </c>
    </row>
    <row r="201" spans="1:8" ht="12.6" customHeight="1" x14ac:dyDescent="0.25">
      <c r="A201" s="173" t="s">
        <v>338</v>
      </c>
      <c r="B201" s="174"/>
      <c r="C201" s="189"/>
      <c r="D201" s="174"/>
      <c r="E201" s="175">
        <f t="shared" si="10"/>
        <v>0</v>
      </c>
    </row>
    <row r="202" spans="1:8" ht="12.6" customHeight="1" x14ac:dyDescent="0.25">
      <c r="A202" s="173" t="s">
        <v>339</v>
      </c>
      <c r="B202" s="174"/>
      <c r="C202" s="189"/>
      <c r="D202" s="174"/>
      <c r="E202" s="175">
        <f t="shared" si="10"/>
        <v>0</v>
      </c>
    </row>
    <row r="203" spans="1:8" ht="12.6" customHeight="1" x14ac:dyDescent="0.25">
      <c r="A203" s="173" t="s">
        <v>340</v>
      </c>
      <c r="B203" s="174"/>
      <c r="C203" s="189"/>
      <c r="D203" s="174"/>
      <c r="E203" s="175">
        <f t="shared" si="10"/>
        <v>0</v>
      </c>
    </row>
    <row r="204" spans="1:8" ht="12.6" customHeight="1" x14ac:dyDescent="0.25">
      <c r="A204" s="173" t="s">
        <v>203</v>
      </c>
      <c r="B204" s="175">
        <f>SUM(B195:B203)</f>
        <v>417584</v>
      </c>
      <c r="C204" s="191">
        <f>SUM(C195:C203)</f>
        <v>2046827</v>
      </c>
      <c r="D204" s="175">
        <f>SUM(D195:D203)</f>
        <v>0</v>
      </c>
      <c r="E204" s="175">
        <f>SUM(E195:E203)</f>
        <v>2464411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>
        <v>336</v>
      </c>
      <c r="C209" s="189">
        <v>1346</v>
      </c>
      <c r="D209" s="174"/>
      <c r="E209" s="175">
        <f t="shared" ref="E209:E216" si="11">SUM(B209:C209)-D209</f>
        <v>1682</v>
      </c>
      <c r="H209" s="259"/>
    </row>
    <row r="210" spans="1:8" ht="12.6" customHeight="1" x14ac:dyDescent="0.25">
      <c r="A210" s="173" t="s">
        <v>334</v>
      </c>
      <c r="B210" s="174"/>
      <c r="C210" s="189">
        <v>1053</v>
      </c>
      <c r="D210" s="174"/>
      <c r="E210" s="175">
        <f t="shared" si="11"/>
        <v>1053</v>
      </c>
      <c r="H210" s="259"/>
    </row>
    <row r="211" spans="1:8" ht="12.6" customHeight="1" x14ac:dyDescent="0.25">
      <c r="A211" s="173" t="s">
        <v>335</v>
      </c>
      <c r="B211" s="174"/>
      <c r="C211" s="189"/>
      <c r="D211" s="174"/>
      <c r="E211" s="175">
        <f t="shared" si="11"/>
        <v>0</v>
      </c>
      <c r="H211" s="259"/>
    </row>
    <row r="212" spans="1:8" ht="12.6" customHeight="1" x14ac:dyDescent="0.25">
      <c r="A212" s="173" t="s">
        <v>336</v>
      </c>
      <c r="B212" s="174"/>
      <c r="C212" s="189">
        <v>1783</v>
      </c>
      <c r="D212" s="174"/>
      <c r="E212" s="175">
        <f t="shared" si="11"/>
        <v>1783</v>
      </c>
      <c r="H212" s="259"/>
    </row>
    <row r="213" spans="1:8" ht="12.6" customHeight="1" x14ac:dyDescent="0.25">
      <c r="A213" s="173" t="s">
        <v>337</v>
      </c>
      <c r="B213" s="174">
        <v>10364</v>
      </c>
      <c r="C213" s="189">
        <v>160511</v>
      </c>
      <c r="D213" s="174"/>
      <c r="E213" s="175">
        <f t="shared" si="11"/>
        <v>170875</v>
      </c>
      <c r="H213" s="259"/>
    </row>
    <row r="214" spans="1:8" ht="12.6" customHeight="1" x14ac:dyDescent="0.25">
      <c r="A214" s="173" t="s">
        <v>338</v>
      </c>
      <c r="B214" s="174"/>
      <c r="C214" s="189"/>
      <c r="D214" s="174"/>
      <c r="E214" s="175">
        <f t="shared" si="11"/>
        <v>0</v>
      </c>
      <c r="H214" s="259"/>
    </row>
    <row r="215" spans="1:8" ht="12.6" customHeight="1" x14ac:dyDescent="0.25">
      <c r="A215" s="173" t="s">
        <v>339</v>
      </c>
      <c r="B215" s="174"/>
      <c r="C215" s="189"/>
      <c r="D215" s="174"/>
      <c r="E215" s="175">
        <f t="shared" si="11"/>
        <v>0</v>
      </c>
      <c r="H215" s="259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10700</v>
      </c>
      <c r="C217" s="191">
        <f>SUM(C208:C216)</f>
        <v>164693</v>
      </c>
      <c r="D217" s="175">
        <f>SUM(D208:D216)</f>
        <v>0</v>
      </c>
      <c r="E217" s="175">
        <f>SUM(E208:E216)</f>
        <v>175393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7" t="s">
        <v>1255</v>
      </c>
      <c r="C220" s="287"/>
      <c r="D220" s="208"/>
      <c r="E220" s="208"/>
    </row>
    <row r="221" spans="1:8" ht="12.6" customHeight="1" x14ac:dyDescent="0.25">
      <c r="A221" s="272" t="s">
        <v>1255</v>
      </c>
      <c r="B221" s="208"/>
      <c r="C221" s="189">
        <v>6712066</v>
      </c>
      <c r="D221" s="172">
        <f>C221</f>
        <v>6712066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v>29240984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26957670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1060485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v>3713369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v>15968449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f>11534987-4</f>
        <v>11534983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88475940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189"/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-480026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/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-480026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/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94707980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>
        <v>-10616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>
        <v>12337605</v>
      </c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26447875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19101037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>
        <v>139850</v>
      </c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1073993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1357968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/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>
        <v>51681</v>
      </c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22297319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>
        <v>14093300</v>
      </c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14093300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/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20184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30339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/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43188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2370700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/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/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2464411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175393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2289018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/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0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38679637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28976657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/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/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>
        <v>854505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4699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>
        <v>168760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30004621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/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>
        <f>682315</f>
        <v>682315</v>
      </c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/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/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/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682315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168760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513555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8161461</v>
      </c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38679637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38679637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v>39922239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97667307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137589546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1255</v>
      </c>
      <c r="B363" s="257"/>
      <c r="C363" s="189">
        <v>6712066</v>
      </c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v>88475940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-480026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/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94707980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42881566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>
        <v>1721855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1721855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44603421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v>20982326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4720092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4777287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6042966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810090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5497275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164693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635905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-1311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560754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47964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335269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44573310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30111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304796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334907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334907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CASCADE VALLEY HOSPITAL   H-0     FYE 12/31/2017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1107</v>
      </c>
      <c r="C414" s="194">
        <f>E138</f>
        <v>1107</v>
      </c>
      <c r="D414" s="179"/>
    </row>
    <row r="415" spans="1:5" ht="12.6" customHeight="1" x14ac:dyDescent="0.25">
      <c r="A415" s="179" t="s">
        <v>464</v>
      </c>
      <c r="B415" s="179">
        <f>D111</f>
        <v>4567</v>
      </c>
      <c r="C415" s="179">
        <f>E139</f>
        <v>4567</v>
      </c>
      <c r="D415" s="194">
        <f>SUM(C59:H59)+N59</f>
        <v>4567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0</v>
      </c>
    </row>
    <row r="424" spans="1:7" ht="12.6" customHeight="1" x14ac:dyDescent="0.25">
      <c r="A424" s="179" t="s">
        <v>1244</v>
      </c>
      <c r="B424" s="179">
        <f>D114</f>
        <v>0</v>
      </c>
      <c r="D424" s="179">
        <f>J59</f>
        <v>375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20982326</v>
      </c>
      <c r="C427" s="179">
        <f t="shared" ref="C427:C434" si="13">CE61</f>
        <v>20982326</v>
      </c>
      <c r="D427" s="179"/>
    </row>
    <row r="428" spans="1:7" ht="12.6" customHeight="1" x14ac:dyDescent="0.25">
      <c r="A428" s="179" t="s">
        <v>3</v>
      </c>
      <c r="B428" s="179">
        <f t="shared" si="12"/>
        <v>4720092</v>
      </c>
      <c r="C428" s="179">
        <f t="shared" si="13"/>
        <v>4720092</v>
      </c>
      <c r="D428" s="179">
        <f>D173</f>
        <v>4720092</v>
      </c>
    </row>
    <row r="429" spans="1:7" ht="12.6" customHeight="1" x14ac:dyDescent="0.25">
      <c r="A429" s="179" t="s">
        <v>236</v>
      </c>
      <c r="B429" s="179">
        <f t="shared" si="12"/>
        <v>4777287</v>
      </c>
      <c r="C429" s="179">
        <f t="shared" si="13"/>
        <v>4777287</v>
      </c>
      <c r="D429" s="179"/>
    </row>
    <row r="430" spans="1:7" ht="12.6" customHeight="1" x14ac:dyDescent="0.25">
      <c r="A430" s="179" t="s">
        <v>237</v>
      </c>
      <c r="B430" s="179">
        <f t="shared" si="12"/>
        <v>6042966</v>
      </c>
      <c r="C430" s="179">
        <f t="shared" si="13"/>
        <v>6042966</v>
      </c>
      <c r="D430" s="179"/>
    </row>
    <row r="431" spans="1:7" ht="12.6" customHeight="1" x14ac:dyDescent="0.25">
      <c r="A431" s="179" t="s">
        <v>444</v>
      </c>
      <c r="B431" s="179">
        <f t="shared" si="12"/>
        <v>810090</v>
      </c>
      <c r="C431" s="179">
        <f t="shared" si="13"/>
        <v>810090</v>
      </c>
      <c r="D431" s="179"/>
    </row>
    <row r="432" spans="1:7" ht="12.6" customHeight="1" x14ac:dyDescent="0.25">
      <c r="A432" s="179" t="s">
        <v>445</v>
      </c>
      <c r="B432" s="179">
        <f t="shared" si="12"/>
        <v>5497275</v>
      </c>
      <c r="C432" s="179">
        <f t="shared" si="13"/>
        <v>5497275</v>
      </c>
      <c r="D432" s="179"/>
    </row>
    <row r="433" spans="1:7" ht="12.6" customHeight="1" x14ac:dyDescent="0.25">
      <c r="A433" s="179" t="s">
        <v>6</v>
      </c>
      <c r="B433" s="179">
        <f t="shared" si="12"/>
        <v>164693</v>
      </c>
      <c r="C433" s="179">
        <f t="shared" si="13"/>
        <v>164691</v>
      </c>
      <c r="D433" s="179">
        <f>C217</f>
        <v>164693</v>
      </c>
    </row>
    <row r="434" spans="1:7" ht="12.6" customHeight="1" x14ac:dyDescent="0.25">
      <c r="A434" s="179" t="s">
        <v>474</v>
      </c>
      <c r="B434" s="179">
        <f t="shared" si="12"/>
        <v>635905</v>
      </c>
      <c r="C434" s="179">
        <f t="shared" si="13"/>
        <v>635905</v>
      </c>
      <c r="D434" s="179">
        <f>D177</f>
        <v>635905</v>
      </c>
    </row>
    <row r="435" spans="1:7" ht="12.6" customHeight="1" x14ac:dyDescent="0.25">
      <c r="A435" s="179" t="s">
        <v>447</v>
      </c>
      <c r="B435" s="179">
        <f t="shared" si="12"/>
        <v>-1311</v>
      </c>
      <c r="C435" s="179"/>
      <c r="D435" s="179">
        <f>D181</f>
        <v>-1311</v>
      </c>
    </row>
    <row r="436" spans="1:7" ht="12.6" customHeight="1" x14ac:dyDescent="0.25">
      <c r="A436" s="179" t="s">
        <v>475</v>
      </c>
      <c r="B436" s="179">
        <f t="shared" si="12"/>
        <v>560754</v>
      </c>
      <c r="C436" s="179"/>
      <c r="D436" s="179">
        <f>D186</f>
        <v>560754</v>
      </c>
    </row>
    <row r="437" spans="1:7" ht="12.6" customHeight="1" x14ac:dyDescent="0.25">
      <c r="A437" s="194" t="s">
        <v>449</v>
      </c>
      <c r="B437" s="194">
        <f t="shared" si="12"/>
        <v>47964</v>
      </c>
      <c r="C437" s="194"/>
      <c r="D437" s="194">
        <f>D190</f>
        <v>47964</v>
      </c>
    </row>
    <row r="438" spans="1:7" ht="12.6" customHeight="1" x14ac:dyDescent="0.25">
      <c r="A438" s="194" t="s">
        <v>476</v>
      </c>
      <c r="B438" s="194">
        <f>C386+C387+C388</f>
        <v>607407</v>
      </c>
      <c r="C438" s="194">
        <f>CD69</f>
        <v>607407</v>
      </c>
      <c r="D438" s="194">
        <f>D181+D186+D190</f>
        <v>607407</v>
      </c>
    </row>
    <row r="439" spans="1:7" ht="12.6" customHeight="1" x14ac:dyDescent="0.25">
      <c r="A439" s="179" t="s">
        <v>451</v>
      </c>
      <c r="B439" s="194">
        <f>C389</f>
        <v>335269</v>
      </c>
      <c r="C439" s="194">
        <f>SUM(C69:CC69)</f>
        <v>335269</v>
      </c>
      <c r="D439" s="179"/>
    </row>
    <row r="440" spans="1:7" ht="12.6" customHeight="1" x14ac:dyDescent="0.25">
      <c r="A440" s="179" t="s">
        <v>477</v>
      </c>
      <c r="B440" s="194">
        <f>B438+B439</f>
        <v>942676</v>
      </c>
      <c r="C440" s="194">
        <f>CE69</f>
        <v>942676</v>
      </c>
      <c r="D440" s="179"/>
    </row>
    <row r="441" spans="1:7" ht="12.6" customHeight="1" x14ac:dyDescent="0.25">
      <c r="A441" s="179" t="s">
        <v>478</v>
      </c>
      <c r="B441" s="179">
        <f>D390</f>
        <v>44573310</v>
      </c>
      <c r="C441" s="179">
        <f>SUM(C427:C437)+C440</f>
        <v>44573308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6712066</v>
      </c>
      <c r="C444" s="179">
        <f>C363</f>
        <v>6712066</v>
      </c>
      <c r="D444" s="179"/>
    </row>
    <row r="445" spans="1:7" ht="12.6" customHeight="1" x14ac:dyDescent="0.25">
      <c r="A445" s="179" t="s">
        <v>343</v>
      </c>
      <c r="B445" s="179">
        <f>D229</f>
        <v>88475940</v>
      </c>
      <c r="C445" s="179">
        <f>C364</f>
        <v>88475940</v>
      </c>
      <c r="D445" s="179"/>
    </row>
    <row r="446" spans="1:7" ht="12.6" customHeight="1" x14ac:dyDescent="0.25">
      <c r="A446" s="179" t="s">
        <v>351</v>
      </c>
      <c r="B446" s="179">
        <f>D236</f>
        <v>-480026</v>
      </c>
      <c r="C446" s="179">
        <f>C365</f>
        <v>-480026</v>
      </c>
      <c r="D446" s="179"/>
    </row>
    <row r="447" spans="1:7" ht="12.6" customHeight="1" x14ac:dyDescent="0.25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" customHeight="1" x14ac:dyDescent="0.25">
      <c r="A448" s="179" t="s">
        <v>358</v>
      </c>
      <c r="B448" s="179">
        <f>D242</f>
        <v>94707980</v>
      </c>
      <c r="C448" s="179">
        <f>D367</f>
        <v>94707980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0</v>
      </c>
    </row>
    <row r="454" spans="1:7" ht="12.6" customHeight="1" x14ac:dyDescent="0.25">
      <c r="A454" s="179" t="s">
        <v>168</v>
      </c>
      <c r="B454" s="179">
        <f>C233</f>
        <v>-480026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0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1721855</v>
      </c>
      <c r="C458" s="194">
        <f>CE70</f>
        <v>1721855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39922239</v>
      </c>
      <c r="C463" s="194">
        <f>CE73</f>
        <v>39922239</v>
      </c>
      <c r="D463" s="194">
        <f>E141+E147+E153</f>
        <v>39922239</v>
      </c>
    </row>
    <row r="464" spans="1:7" ht="12.6" customHeight="1" x14ac:dyDescent="0.25">
      <c r="A464" s="179" t="s">
        <v>246</v>
      </c>
      <c r="B464" s="194">
        <f>C360</f>
        <v>97667307</v>
      </c>
      <c r="C464" s="194">
        <f>CE74</f>
        <v>97667307</v>
      </c>
      <c r="D464" s="194">
        <f>E142+E148+E154</f>
        <v>97667307</v>
      </c>
    </row>
    <row r="465" spans="1:7" ht="12.6" customHeight="1" x14ac:dyDescent="0.25">
      <c r="A465" s="179" t="s">
        <v>247</v>
      </c>
      <c r="B465" s="194">
        <f>D361</f>
        <v>137589546</v>
      </c>
      <c r="C465" s="194">
        <f>CE75</f>
        <v>137589546</v>
      </c>
      <c r="D465" s="194">
        <f>D463+D464</f>
        <v>137589546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0</v>
      </c>
      <c r="C468" s="179">
        <f>E195</f>
        <v>0</v>
      </c>
      <c r="D468" s="179"/>
    </row>
    <row r="469" spans="1:7" ht="12.6" customHeight="1" x14ac:dyDescent="0.25">
      <c r="A469" s="179" t="s">
        <v>333</v>
      </c>
      <c r="B469" s="179">
        <f t="shared" si="14"/>
        <v>20184</v>
      </c>
      <c r="C469" s="179">
        <f>E196</f>
        <v>20184</v>
      </c>
      <c r="D469" s="179"/>
    </row>
    <row r="470" spans="1:7" ht="12.6" customHeight="1" x14ac:dyDescent="0.25">
      <c r="A470" s="179" t="s">
        <v>334</v>
      </c>
      <c r="B470" s="179">
        <f t="shared" si="14"/>
        <v>30339</v>
      </c>
      <c r="C470" s="179">
        <f>E197</f>
        <v>30339</v>
      </c>
      <c r="D470" s="179"/>
    </row>
    <row r="471" spans="1:7" ht="12.6" customHeight="1" x14ac:dyDescent="0.2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5">
      <c r="A472" s="179" t="s">
        <v>377</v>
      </c>
      <c r="B472" s="179">
        <f t="shared" si="14"/>
        <v>43188</v>
      </c>
      <c r="C472" s="179">
        <f>E199</f>
        <v>43188</v>
      </c>
      <c r="D472" s="179"/>
    </row>
    <row r="473" spans="1:7" ht="12.6" customHeight="1" x14ac:dyDescent="0.25">
      <c r="A473" s="179" t="s">
        <v>495</v>
      </c>
      <c r="B473" s="179">
        <f t="shared" si="14"/>
        <v>2370700</v>
      </c>
      <c r="C473" s="179">
        <f>SUM(E200:E201)</f>
        <v>2370700</v>
      </c>
      <c r="D473" s="179"/>
    </row>
    <row r="474" spans="1:7" ht="12.6" customHeight="1" x14ac:dyDescent="0.25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" customHeight="1" x14ac:dyDescent="0.25">
      <c r="A475" s="179" t="s">
        <v>340</v>
      </c>
      <c r="B475" s="179">
        <f t="shared" si="14"/>
        <v>0</v>
      </c>
      <c r="C475" s="179">
        <f>E203</f>
        <v>0</v>
      </c>
      <c r="D475" s="179"/>
    </row>
    <row r="476" spans="1:7" ht="12.6" customHeight="1" x14ac:dyDescent="0.25">
      <c r="A476" s="179" t="s">
        <v>203</v>
      </c>
      <c r="B476" s="179">
        <f>D275</f>
        <v>2464411</v>
      </c>
      <c r="C476" s="179">
        <f>E204</f>
        <v>2464411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175393</v>
      </c>
      <c r="C478" s="179">
        <f>E217</f>
        <v>175393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38679637</v>
      </c>
    </row>
    <row r="482" spans="1:12" ht="12.6" customHeight="1" x14ac:dyDescent="0.25">
      <c r="A482" s="180" t="s">
        <v>499</v>
      </c>
      <c r="C482" s="180">
        <f>D339</f>
        <v>38679637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79" t="str">
        <f>C84&amp;"   "&amp;"H-"&amp;FIXED(C82,0,TRUE)&amp;"     FYE "&amp;C82</f>
        <v>CASCADE VALLEY HOSPITAL   H-0     FYE 12/31/2017</v>
      </c>
      <c r="B493" s="261" t="s">
        <v>1282</v>
      </c>
      <c r="C493" s="261" t="str">
        <f>RIGHT(C82,4)</f>
        <v>2017</v>
      </c>
      <c r="D493" s="261" t="s">
        <v>1282</v>
      </c>
      <c r="E493" s="261" t="str">
        <f>RIGHT(C82,4)</f>
        <v>2017</v>
      </c>
      <c r="F493" s="261" t="s">
        <v>1282</v>
      </c>
      <c r="G493" s="261" t="str">
        <f>RIGHT(C82,4)</f>
        <v>2017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v>916770</v>
      </c>
      <c r="C496" s="240">
        <f>C71</f>
        <v>1394072</v>
      </c>
      <c r="D496" s="240">
        <v>936</v>
      </c>
      <c r="E496" s="180">
        <f>C59</f>
        <v>643</v>
      </c>
      <c r="F496" s="263">
        <f t="shared" ref="F496:G511" si="15">IF(B496=0,"",IF(D496=0,"",B496/D496))</f>
        <v>979.45512820512818</v>
      </c>
      <c r="G496" s="264">
        <f t="shared" si="15"/>
        <v>2168.0746500777605</v>
      </c>
      <c r="H496" s="265">
        <f>IF(B496=0,"",IF(C496=0,"",IF(D496=0,"",IF(E496=0,"",IF(G496/F496-1&lt;-0.25,G496/F496-1,IF(G496/F496-1&gt;0.25,G496/F496-1,""))))))</f>
        <v>1.2135517877687794</v>
      </c>
      <c r="I496" s="267" t="s">
        <v>1277</v>
      </c>
      <c r="K496" s="261"/>
      <c r="L496" s="261"/>
    </row>
    <row r="497" spans="1:12" ht="12.6" customHeight="1" x14ac:dyDescent="0.25">
      <c r="A497" s="180" t="s">
        <v>513</v>
      </c>
      <c r="B497" s="240">
        <v>0</v>
      </c>
      <c r="C497" s="240">
        <f>D71</f>
        <v>0</v>
      </c>
      <c r="D497" s="240"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v>2593282</v>
      </c>
      <c r="C498" s="240">
        <f>E71</f>
        <v>4795893</v>
      </c>
      <c r="D498" s="240">
        <v>1813</v>
      </c>
      <c r="E498" s="180">
        <f>E59</f>
        <v>3634</v>
      </c>
      <c r="F498" s="263">
        <f t="shared" si="15"/>
        <v>1430.3816878102593</v>
      </c>
      <c r="G498" s="263">
        <f t="shared" si="15"/>
        <v>1319.7283984589983</v>
      </c>
      <c r="H498" s="265" t="str">
        <f t="shared" si="16"/>
        <v/>
      </c>
      <c r="I498" s="267"/>
      <c r="K498" s="261"/>
      <c r="L498" s="261"/>
    </row>
    <row r="499" spans="1:12" ht="12.6" customHeight="1" x14ac:dyDescent="0.25">
      <c r="A499" s="180" t="s">
        <v>515</v>
      </c>
      <c r="B499" s="240">
        <v>1014335</v>
      </c>
      <c r="C499" s="240">
        <f>F71</f>
        <v>1750641</v>
      </c>
      <c r="D499" s="240">
        <v>178</v>
      </c>
      <c r="E499" s="180">
        <f>F59</f>
        <v>290</v>
      </c>
      <c r="F499" s="263">
        <f t="shared" si="15"/>
        <v>5698.5112359550558</v>
      </c>
      <c r="G499" s="263">
        <f t="shared" si="15"/>
        <v>6036.6931034482759</v>
      </c>
      <c r="H499" s="265" t="str">
        <f t="shared" si="16"/>
        <v/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v>0</v>
      </c>
      <c r="C500" s="240">
        <f>G71</f>
        <v>0</v>
      </c>
      <c r="D500" s="240"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v>0</v>
      </c>
      <c r="C501" s="240">
        <f>H71</f>
        <v>0</v>
      </c>
      <c r="D501" s="240"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v>0</v>
      </c>
      <c r="C502" s="240">
        <f>I71</f>
        <v>0</v>
      </c>
      <c r="D502" s="240"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v>7297</v>
      </c>
      <c r="C503" s="240">
        <f>J71</f>
        <v>6472</v>
      </c>
      <c r="D503" s="240">
        <v>268</v>
      </c>
      <c r="E503" s="180">
        <f>J59</f>
        <v>375</v>
      </c>
      <c r="F503" s="263">
        <f t="shared" si="15"/>
        <v>27.227611940298509</v>
      </c>
      <c r="G503" s="263">
        <f t="shared" si="15"/>
        <v>17.258666666666667</v>
      </c>
      <c r="H503" s="265">
        <f t="shared" si="16"/>
        <v>-0.36613366223562194</v>
      </c>
      <c r="I503" s="267" t="s">
        <v>1277</v>
      </c>
      <c r="K503" s="261"/>
      <c r="L503" s="261"/>
    </row>
    <row r="504" spans="1:12" ht="12.6" customHeight="1" x14ac:dyDescent="0.25">
      <c r="A504" s="180" t="s">
        <v>520</v>
      </c>
      <c r="B504" s="240">
        <v>0</v>
      </c>
      <c r="C504" s="240">
        <f>K71</f>
        <v>0</v>
      </c>
      <c r="D504" s="240"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v>0</v>
      </c>
      <c r="C505" s="240">
        <f>L71</f>
        <v>0</v>
      </c>
      <c r="D505" s="240"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v>0</v>
      </c>
      <c r="C506" s="240">
        <f>M71</f>
        <v>0</v>
      </c>
      <c r="D506" s="240"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v>0</v>
      </c>
      <c r="C507" s="240">
        <f>N71</f>
        <v>0</v>
      </c>
      <c r="D507" s="240"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v>52838</v>
      </c>
      <c r="C508" s="240">
        <f>O71</f>
        <v>52312</v>
      </c>
      <c r="D508" s="240">
        <v>0</v>
      </c>
      <c r="E508" s="180">
        <f>O59</f>
        <v>291</v>
      </c>
      <c r="F508" s="263" t="str">
        <f t="shared" si="15"/>
        <v/>
      </c>
      <c r="G508" s="263">
        <f t="shared" si="15"/>
        <v>179.76632302405497</v>
      </c>
      <c r="H508" s="265" t="str">
        <f t="shared" si="16"/>
        <v/>
      </c>
      <c r="I508" s="267"/>
      <c r="K508" s="261"/>
      <c r="L508" s="261"/>
    </row>
    <row r="509" spans="1:12" ht="12.6" customHeight="1" x14ac:dyDescent="0.25">
      <c r="A509" s="180" t="s">
        <v>525</v>
      </c>
      <c r="B509" s="240">
        <v>1110729</v>
      </c>
      <c r="C509" s="240">
        <f>P71</f>
        <v>2362361</v>
      </c>
      <c r="D509" s="240">
        <v>69688</v>
      </c>
      <c r="E509" s="180">
        <f>P59</f>
        <v>0</v>
      </c>
      <c r="F509" s="263">
        <f t="shared" si="15"/>
        <v>15.938597749971301</v>
      </c>
      <c r="G509" s="263" t="str">
        <f t="shared" si="15"/>
        <v/>
      </c>
      <c r="H509" s="265" t="str">
        <f t="shared" si="16"/>
        <v/>
      </c>
      <c r="I509" s="267"/>
      <c r="K509" s="261"/>
      <c r="L509" s="261"/>
    </row>
    <row r="510" spans="1:12" ht="12.6" customHeight="1" x14ac:dyDescent="0.25">
      <c r="A510" s="180" t="s">
        <v>526</v>
      </c>
      <c r="B510" s="240">
        <v>455489</v>
      </c>
      <c r="C510" s="240">
        <f>Q71</f>
        <v>685630</v>
      </c>
      <c r="D510" s="240">
        <v>40798</v>
      </c>
      <c r="E510" s="180">
        <f>Q59</f>
        <v>0</v>
      </c>
      <c r="F510" s="263">
        <f t="shared" si="15"/>
        <v>11.164493357517525</v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" customHeight="1" x14ac:dyDescent="0.25">
      <c r="A511" s="180" t="s">
        <v>527</v>
      </c>
      <c r="B511" s="240">
        <v>84773</v>
      </c>
      <c r="C511" s="240">
        <f>R71</f>
        <v>632898</v>
      </c>
      <c r="D511" s="240">
        <v>0</v>
      </c>
      <c r="E511" s="180">
        <f>R59</f>
        <v>0</v>
      </c>
      <c r="F511" s="263" t="str">
        <f t="shared" si="15"/>
        <v/>
      </c>
      <c r="G511" s="263" t="str">
        <f t="shared" si="15"/>
        <v/>
      </c>
      <c r="H511" s="265" t="str">
        <f t="shared" si="16"/>
        <v/>
      </c>
      <c r="I511" s="267"/>
      <c r="K511" s="261"/>
      <c r="L511" s="261"/>
    </row>
    <row r="512" spans="1:12" ht="12.6" customHeight="1" x14ac:dyDescent="0.25">
      <c r="A512" s="180" t="s">
        <v>528</v>
      </c>
      <c r="B512" s="240">
        <v>1329213</v>
      </c>
      <c r="C512" s="240">
        <f>S71</f>
        <v>1807629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5">
      <c r="A513" s="180" t="s">
        <v>1246</v>
      </c>
      <c r="B513" s="240">
        <v>56820</v>
      </c>
      <c r="C513" s="240">
        <f>T71</f>
        <v>55407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v>1387226</v>
      </c>
      <c r="C514" s="240">
        <f>U71</f>
        <v>2028384</v>
      </c>
      <c r="D514" s="240">
        <v>0</v>
      </c>
      <c r="E514" s="180">
        <f>U59</f>
        <v>151904</v>
      </c>
      <c r="F514" s="263" t="str">
        <f t="shared" si="17"/>
        <v/>
      </c>
      <c r="G514" s="263">
        <f t="shared" si="17"/>
        <v>13.353065093743417</v>
      </c>
      <c r="H514" s="265" t="str">
        <f t="shared" si="16"/>
        <v/>
      </c>
      <c r="I514" s="267"/>
      <c r="K514" s="261"/>
      <c r="L514" s="261"/>
    </row>
    <row r="515" spans="1:12" ht="12.6" customHeight="1" x14ac:dyDescent="0.25">
      <c r="A515" s="180" t="s">
        <v>531</v>
      </c>
      <c r="B515" s="240">
        <v>2683</v>
      </c>
      <c r="C515" s="240">
        <f>V71</f>
        <v>10032</v>
      </c>
      <c r="D515" s="240">
        <v>0</v>
      </c>
      <c r="E515" s="180">
        <f>V59</f>
        <v>1232</v>
      </c>
      <c r="F515" s="263" t="str">
        <f t="shared" si="17"/>
        <v/>
      </c>
      <c r="G515" s="263">
        <f t="shared" si="17"/>
        <v>8.1428571428571423</v>
      </c>
      <c r="H515" s="265" t="str">
        <f t="shared" si="16"/>
        <v/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v>270895</v>
      </c>
      <c r="C516" s="240">
        <f>W71</f>
        <v>264801</v>
      </c>
      <c r="D516" s="240">
        <v>886</v>
      </c>
      <c r="E516" s="180">
        <f>W59</f>
        <v>3003.74</v>
      </c>
      <c r="F516" s="263">
        <f t="shared" si="17"/>
        <v>305.75056433408577</v>
      </c>
      <c r="G516" s="263">
        <f t="shared" si="17"/>
        <v>88.15709748513521</v>
      </c>
      <c r="H516" s="265">
        <f t="shared" si="16"/>
        <v>-0.71166987810099935</v>
      </c>
      <c r="I516" s="267" t="s">
        <v>1278</v>
      </c>
      <c r="K516" s="261"/>
      <c r="L516" s="261"/>
    </row>
    <row r="517" spans="1:12" ht="12.6" customHeight="1" x14ac:dyDescent="0.25">
      <c r="A517" s="180" t="s">
        <v>533</v>
      </c>
      <c r="B517" s="240">
        <v>209403</v>
      </c>
      <c r="C517" s="240">
        <f>X71</f>
        <v>342663</v>
      </c>
      <c r="D517" s="240">
        <v>8088</v>
      </c>
      <c r="E517" s="180">
        <f>X59</f>
        <v>23180.25</v>
      </c>
      <c r="F517" s="263">
        <f t="shared" si="17"/>
        <v>25.890578635014837</v>
      </c>
      <c r="G517" s="263">
        <f t="shared" si="17"/>
        <v>14.782541171902805</v>
      </c>
      <c r="H517" s="265">
        <f t="shared" si="16"/>
        <v>-0.42903782181559058</v>
      </c>
      <c r="I517" s="267" t="s">
        <v>1279</v>
      </c>
      <c r="K517" s="261"/>
      <c r="L517" s="261"/>
    </row>
    <row r="518" spans="1:12" ht="12.6" customHeight="1" x14ac:dyDescent="0.25">
      <c r="A518" s="180" t="s">
        <v>534</v>
      </c>
      <c r="B518" s="240">
        <v>1237643</v>
      </c>
      <c r="C518" s="240">
        <f>Y71</f>
        <v>2189620</v>
      </c>
      <c r="D518" s="240">
        <v>46657</v>
      </c>
      <c r="E518" s="180">
        <f>Y59</f>
        <v>13174.87</v>
      </c>
      <c r="F518" s="263">
        <f t="shared" si="17"/>
        <v>26.52641618621</v>
      </c>
      <c r="G518" s="263">
        <f t="shared" si="17"/>
        <v>166.19670630526144</v>
      </c>
      <c r="H518" s="265">
        <f t="shared" si="16"/>
        <v>5.2653283104130866</v>
      </c>
      <c r="I518" s="267" t="s">
        <v>1279</v>
      </c>
      <c r="K518" s="261"/>
      <c r="L518" s="261"/>
    </row>
    <row r="519" spans="1:12" ht="12.6" customHeight="1" x14ac:dyDescent="0.25">
      <c r="A519" s="180" t="s">
        <v>535</v>
      </c>
      <c r="B519" s="240">
        <v>0</v>
      </c>
      <c r="C519" s="240">
        <f>Z71</f>
        <v>0</v>
      </c>
      <c r="D519" s="240"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v>166947</v>
      </c>
      <c r="C520" s="240">
        <f>AA71</f>
        <v>237778</v>
      </c>
      <c r="D520" s="240">
        <v>8375</v>
      </c>
      <c r="E520" s="180">
        <f>AA59</f>
        <v>584.11</v>
      </c>
      <c r="F520" s="263">
        <f t="shared" si="17"/>
        <v>19.933970149253732</v>
      </c>
      <c r="G520" s="263">
        <f t="shared" si="17"/>
        <v>407.07743404495727</v>
      </c>
      <c r="H520" s="265">
        <f t="shared" si="16"/>
        <v>19.421292446863479</v>
      </c>
      <c r="I520" s="267" t="s">
        <v>1279</v>
      </c>
      <c r="K520" s="261"/>
      <c r="L520" s="261"/>
    </row>
    <row r="521" spans="1:12" ht="12.6" customHeight="1" x14ac:dyDescent="0.25">
      <c r="A521" s="180" t="s">
        <v>537</v>
      </c>
      <c r="B521" s="240">
        <v>1183743</v>
      </c>
      <c r="C521" s="240">
        <f>AB71</f>
        <v>2031551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v>486562</v>
      </c>
      <c r="C522" s="240">
        <f>AC71</f>
        <v>705861</v>
      </c>
      <c r="D522" s="240">
        <v>0</v>
      </c>
      <c r="E522" s="180">
        <f>AC59</f>
        <v>9819</v>
      </c>
      <c r="F522" s="263" t="str">
        <f t="shared" si="17"/>
        <v/>
      </c>
      <c r="G522" s="263">
        <f t="shared" si="17"/>
        <v>71.887259395050407</v>
      </c>
      <c r="H522" s="265" t="str">
        <f t="shared" si="16"/>
        <v/>
      </c>
      <c r="I522" s="267"/>
      <c r="K522" s="261"/>
      <c r="L522" s="261"/>
    </row>
    <row r="523" spans="1:12" ht="12.6" customHeight="1" x14ac:dyDescent="0.25">
      <c r="A523" s="180" t="s">
        <v>539</v>
      </c>
      <c r="B523" s="240">
        <v>0</v>
      </c>
      <c r="C523" s="240">
        <f>AD71</f>
        <v>0</v>
      </c>
      <c r="D523" s="240"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" customHeight="1" x14ac:dyDescent="0.25">
      <c r="A524" s="180" t="s">
        <v>540</v>
      </c>
      <c r="B524" s="240">
        <v>53337</v>
      </c>
      <c r="C524" s="240">
        <f>AE71</f>
        <v>48476</v>
      </c>
      <c r="D524" s="240">
        <v>0</v>
      </c>
      <c r="E524" s="180">
        <f>AE59</f>
        <v>887</v>
      </c>
      <c r="F524" s="263" t="str">
        <f t="shared" si="17"/>
        <v/>
      </c>
      <c r="G524" s="263">
        <f t="shared" si="17"/>
        <v>54.65163472378805</v>
      </c>
      <c r="H524" s="265" t="str">
        <f t="shared" si="16"/>
        <v/>
      </c>
      <c r="I524" s="267"/>
      <c r="K524" s="261"/>
      <c r="L524" s="261"/>
    </row>
    <row r="525" spans="1:12" ht="12.6" customHeight="1" x14ac:dyDescent="0.25">
      <c r="A525" s="180" t="s">
        <v>541</v>
      </c>
      <c r="B525" s="240">
        <v>0</v>
      </c>
      <c r="C525" s="240">
        <f>AF71</f>
        <v>0</v>
      </c>
      <c r="D525" s="240"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v>2211700</v>
      </c>
      <c r="C526" s="240">
        <f>AG71</f>
        <v>4536945</v>
      </c>
      <c r="D526" s="240">
        <v>10911</v>
      </c>
      <c r="E526" s="180">
        <f>AG59</f>
        <v>18225</v>
      </c>
      <c r="F526" s="263">
        <f t="shared" si="17"/>
        <v>202.70369352030062</v>
      </c>
      <c r="G526" s="263">
        <f t="shared" si="17"/>
        <v>248.94074074074075</v>
      </c>
      <c r="H526" s="265" t="str">
        <f t="shared" si="16"/>
        <v/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v>0</v>
      </c>
      <c r="C527" s="240">
        <f>AH71</f>
        <v>0</v>
      </c>
      <c r="D527" s="240"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v>298</v>
      </c>
      <c r="C528" s="240">
        <f>AI71</f>
        <v>0</v>
      </c>
      <c r="D528" s="240"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" customHeight="1" x14ac:dyDescent="0.25">
      <c r="A529" s="180" t="s">
        <v>545</v>
      </c>
      <c r="B529" s="240">
        <v>61462</v>
      </c>
      <c r="C529" s="240">
        <f>AJ71</f>
        <v>51252</v>
      </c>
      <c r="D529" s="240">
        <v>3262</v>
      </c>
      <c r="E529" s="180">
        <f>AJ59</f>
        <v>13587</v>
      </c>
      <c r="F529" s="263">
        <f t="shared" si="18"/>
        <v>18.841814837522993</v>
      </c>
      <c r="G529" s="263">
        <f t="shared" si="18"/>
        <v>3.7721351291675869</v>
      </c>
      <c r="H529" s="265">
        <f t="shared" si="16"/>
        <v>-0.79979979839014892</v>
      </c>
      <c r="I529" s="267" t="s">
        <v>1280</v>
      </c>
      <c r="K529" s="261"/>
      <c r="L529" s="261"/>
    </row>
    <row r="530" spans="1:12" ht="12.6" customHeight="1" x14ac:dyDescent="0.25">
      <c r="A530" s="180" t="s">
        <v>546</v>
      </c>
      <c r="B530" s="240">
        <v>0</v>
      </c>
      <c r="C530" s="240">
        <f>AK71</f>
        <v>0</v>
      </c>
      <c r="D530" s="240"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" customHeight="1" x14ac:dyDescent="0.25">
      <c r="A531" s="180" t="s">
        <v>547</v>
      </c>
      <c r="B531" s="240">
        <v>0</v>
      </c>
      <c r="C531" s="240">
        <f>AL71</f>
        <v>0</v>
      </c>
      <c r="D531" s="240"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" customHeight="1" x14ac:dyDescent="0.25">
      <c r="A532" s="180" t="s">
        <v>548</v>
      </c>
      <c r="B532" s="240">
        <v>0</v>
      </c>
      <c r="C532" s="240">
        <f>AM71</f>
        <v>0</v>
      </c>
      <c r="D532" s="240"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5">
      <c r="A533" s="180" t="s">
        <v>1247</v>
      </c>
      <c r="B533" s="240">
        <v>0</v>
      </c>
      <c r="C533" s="240">
        <f>AN71</f>
        <v>0</v>
      </c>
      <c r="D533" s="240"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v>200906</v>
      </c>
      <c r="C534" s="240">
        <f>AO71</f>
        <v>362613</v>
      </c>
      <c r="D534" s="240"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v>4032923</v>
      </c>
      <c r="C535" s="240">
        <f>AP71</f>
        <v>6668567</v>
      </c>
      <c r="D535" s="240">
        <v>0</v>
      </c>
      <c r="E535" s="180">
        <f>AP59</f>
        <v>20802</v>
      </c>
      <c r="F535" s="263" t="str">
        <f t="shared" si="18"/>
        <v/>
      </c>
      <c r="G535" s="263">
        <f t="shared" si="18"/>
        <v>320.57335833092969</v>
      </c>
      <c r="H535" s="265" t="str">
        <f t="shared" si="16"/>
        <v/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v>0</v>
      </c>
      <c r="C536" s="240">
        <f>AQ71</f>
        <v>0</v>
      </c>
      <c r="D536" s="240"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v>0</v>
      </c>
      <c r="C537" s="240">
        <f>AR71</f>
        <v>0</v>
      </c>
      <c r="D537" s="240"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v>0</v>
      </c>
      <c r="C538" s="240">
        <f>AS71</f>
        <v>0</v>
      </c>
      <c r="D538" s="240"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v>0</v>
      </c>
      <c r="C539" s="240">
        <f>AT71</f>
        <v>0</v>
      </c>
      <c r="D539" s="240"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v>0</v>
      </c>
      <c r="C540" s="240">
        <f>AU71</f>
        <v>0</v>
      </c>
      <c r="D540" s="240"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v>601215</v>
      </c>
      <c r="C541" s="240">
        <f>AV71</f>
        <v>1074439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>
        <v>0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v>607177</v>
      </c>
      <c r="C544" s="240">
        <f>AY71</f>
        <v>1066836</v>
      </c>
      <c r="D544" s="240">
        <v>8195.5999999999985</v>
      </c>
      <c r="E544" s="180">
        <f>AY59</f>
        <v>0</v>
      </c>
      <c r="F544" s="263">
        <f t="shared" ref="F544:G550" si="19">IF(B544=0,"",IF(D544=0,"",B544/D544))</f>
        <v>74.085728927717327</v>
      </c>
      <c r="G544" s="263" t="str">
        <f t="shared" si="19"/>
        <v/>
      </c>
      <c r="H544" s="265" t="str">
        <f t="shared" si="16"/>
        <v/>
      </c>
      <c r="I544" s="267"/>
      <c r="K544" s="261"/>
      <c r="L544" s="261"/>
    </row>
    <row r="545" spans="1:13" ht="12.6" customHeight="1" x14ac:dyDescent="0.25">
      <c r="A545" s="180" t="s">
        <v>559</v>
      </c>
      <c r="B545" s="240">
        <v>0</v>
      </c>
      <c r="C545" s="240">
        <f>AZ71</f>
        <v>0</v>
      </c>
      <c r="D545" s="240"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" customHeight="1" x14ac:dyDescent="0.25">
      <c r="A546" s="180" t="s">
        <v>560</v>
      </c>
      <c r="B546" s="240">
        <v>115466</v>
      </c>
      <c r="C546" s="240">
        <f>BA71</f>
        <v>192381</v>
      </c>
      <c r="D546" s="240"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v>0</v>
      </c>
      <c r="C547" s="240">
        <f>BB71</f>
        <v>0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v>0</v>
      </c>
      <c r="C548" s="240">
        <f>BC71</f>
        <v>4345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v>85834</v>
      </c>
      <c r="C549" s="240">
        <f>BD71</f>
        <v>256511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v>434672</v>
      </c>
      <c r="C550" s="240">
        <f>BE71</f>
        <v>914916</v>
      </c>
      <c r="D550" s="240">
        <v>85129</v>
      </c>
      <c r="E550" s="180">
        <f>BE59</f>
        <v>89368</v>
      </c>
      <c r="F550" s="263">
        <f t="shared" si="19"/>
        <v>5.1060390701171166</v>
      </c>
      <c r="G550" s="263">
        <f t="shared" si="19"/>
        <v>10.237624205532182</v>
      </c>
      <c r="H550" s="265">
        <f t="shared" si="16"/>
        <v>1.0050031080740167</v>
      </c>
      <c r="I550" s="286" t="s">
        <v>1281</v>
      </c>
      <c r="K550" s="261"/>
      <c r="L550" s="261"/>
    </row>
    <row r="551" spans="1:13" ht="12.6" customHeight="1" x14ac:dyDescent="0.25">
      <c r="A551" s="180" t="s">
        <v>565</v>
      </c>
      <c r="B551" s="240">
        <v>423823</v>
      </c>
      <c r="C551" s="240">
        <f>BF71</f>
        <v>730627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v>86818</v>
      </c>
      <c r="C552" s="240">
        <f>BG71</f>
        <v>147383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v>0</v>
      </c>
      <c r="C553" s="240">
        <f>BH71</f>
        <v>0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v>42494</v>
      </c>
      <c r="C554" s="240">
        <f>BI71</f>
        <v>90448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v>0</v>
      </c>
      <c r="C555" s="240">
        <f>BJ71</f>
        <v>0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v>456938</v>
      </c>
      <c r="C556" s="240">
        <f>BK71</f>
        <v>479362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v>243932</v>
      </c>
      <c r="C557" s="240">
        <f>BL71</f>
        <v>429689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v>237535</v>
      </c>
      <c r="C559" s="240">
        <f>BN71</f>
        <v>437868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v>0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v>0</v>
      </c>
      <c r="C561" s="240">
        <f>BP71</f>
        <v>0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v>0</v>
      </c>
      <c r="C563" s="240">
        <f>BR71</f>
        <v>0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>
        <v>0</v>
      </c>
      <c r="C564" s="240">
        <f>BS71</f>
        <v>0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v>496271</v>
      </c>
      <c r="C567" s="240">
        <f>BV71</f>
        <v>756316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v>112878</v>
      </c>
      <c r="C568" s="240">
        <f>BW71</f>
        <v>262998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v>531553</v>
      </c>
      <c r="C569" s="240">
        <f>BX71</f>
        <v>1139461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v>714848</v>
      </c>
      <c r="C570" s="240">
        <f>BY71</f>
        <v>1254656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v>48</v>
      </c>
      <c r="C572" s="240">
        <f>CA71</f>
        <v>0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v>467213</v>
      </c>
      <c r="C574" s="240">
        <f>CC71</f>
        <v>1705807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v>110146</v>
      </c>
      <c r="C575" s="240">
        <f>CD71</f>
        <v>-1114448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59962</v>
      </c>
      <c r="E612" s="180">
        <f>SUM(C624:D647)+SUM(C668:D713)</f>
        <v>40574983.377439037</v>
      </c>
      <c r="F612" s="180">
        <f>CE64-(AX64+BD64+BE64+BG64+BJ64+BN64+BP64+BQ64+CB64+CC64+CD64)</f>
        <v>5853703</v>
      </c>
      <c r="G612" s="180">
        <f>CE77-(AX77+AY77+BD77+BE77+BG77+BJ77+BN77+BP77+BQ77+CB77+CC77+CD77)</f>
        <v>12787.599999999999</v>
      </c>
      <c r="H612" s="197">
        <f>CE60-(AX60+AY60+AZ60+BD60+BE60+BG60+BJ60+BN60+BO60+BP60+BQ60+BR60+CB60+CC60+CD60)</f>
        <v>232.58999999999997</v>
      </c>
      <c r="I612" s="180">
        <f>CE78-(AX78+AY78+AZ78+BD78+BE78+BF78+BG78+BJ78+BN78+BO78+BP78+BQ78+BR78+CB78+CC78+CD78)</f>
        <v>26655</v>
      </c>
      <c r="J612" s="180">
        <f>CE79-(AX79+AY79+AZ79+BA79+BD79+BE79+BF79+BG79+BJ79+BN79+BO79+BP79+BQ79+BR79+CB79+CC79+CD79)</f>
        <v>254985</v>
      </c>
      <c r="K612" s="180">
        <f>CE75-(AW75+AX75+AY75+AZ75+BA75+BB75+BC75+BD75+BE75+BF75+BG75+BH75+BI75+BJ75+BK75+BL75+BM75+BN75+BO75+BP75+BQ75+BR75+BS75+BT75+BU75+BV75+BW75+BX75+CB75+CC75+CD75)</f>
        <v>137589546</v>
      </c>
      <c r="L612" s="197">
        <f>CE80-(AW80+AX80+AY80+AZ80+BA80+BB80+BC80+BD80+BE80+BF80+BG80+BH80+BI80+BJ80+BK80+BL80+BM80+BN80+BO80+BP80+BQ80+BR80+BS80+BT80+BU80+BV80+BW80+BX80+BY80+BZ80+CA80+CB80+CC80+CD80)</f>
        <v>71.069999999999993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914916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3">
        <f>CD69-CD70</f>
        <v>-1114448</v>
      </c>
      <c r="D615" s="266">
        <f>SUM(C614:C615)</f>
        <v>-199532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147383</v>
      </c>
      <c r="D618" s="180">
        <f>(D615/D612)*BG76</f>
        <v>-555.71602014609255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437868</v>
      </c>
      <c r="D619" s="180">
        <f>(D615/D612)*BN76</f>
        <v>-11690.002268103131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1705807</v>
      </c>
      <c r="D620" s="180">
        <f>(D615/D612)*CC76</f>
        <v>-2342.6591507955036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2276469.6225609551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256511</v>
      </c>
      <c r="D624" s="180">
        <f>(D615/D612)*BD76</f>
        <v>-5340.863546913045</v>
      </c>
      <c r="E624" s="180">
        <f>(E623/E612)*SUM(C624:D624)</f>
        <v>14091.963523708324</v>
      </c>
      <c r="F624" s="180">
        <f>SUM(C624:E624)</f>
        <v>265262.09997679526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1066836</v>
      </c>
      <c r="D625" s="180">
        <f>(D615/D612)*AY76</f>
        <v>-16102.45402087989</v>
      </c>
      <c r="E625" s="180">
        <f>(E623/E612)*SUM(C625:D625)</f>
        <v>58951.669223781566</v>
      </c>
      <c r="F625" s="180">
        <f>(F624/F612)*AY64</f>
        <v>15399.848870349955</v>
      </c>
      <c r="G625" s="180">
        <f>SUM(C625:F625)</f>
        <v>1125085.0640732518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0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730627</v>
      </c>
      <c r="D629" s="180">
        <f>(D615/D612)*BF76</f>
        <v>-1327.7286948400654</v>
      </c>
      <c r="E629" s="180">
        <f>(E623/E612)*SUM(C629:D629)</f>
        <v>40917.518596080947</v>
      </c>
      <c r="F629" s="180">
        <f>(F624/F612)*BF64</f>
        <v>2446.8430240391485</v>
      </c>
      <c r="G629" s="180">
        <f>(G625/G612)*BF77</f>
        <v>0</v>
      </c>
      <c r="H629" s="180">
        <f>(H628/H612)*BF60</f>
        <v>0</v>
      </c>
      <c r="I629" s="180">
        <f>SUM(C629:H629)</f>
        <v>772663.63292528002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192381</v>
      </c>
      <c r="D630" s="180">
        <f>(D615/D612)*BA76</f>
        <v>-1234.554751342517</v>
      </c>
      <c r="E630" s="180">
        <f>(E623/E612)*SUM(C630:D630)</f>
        <v>10724.319268878138</v>
      </c>
      <c r="F630" s="180">
        <f>(F624/F612)*BA64</f>
        <v>117.63842674282594</v>
      </c>
      <c r="G630" s="180">
        <f>(G625/G612)*BA77</f>
        <v>0</v>
      </c>
      <c r="H630" s="180">
        <f>(H628/H612)*BA60</f>
        <v>0</v>
      </c>
      <c r="I630" s="180">
        <f>(I629/I612)*BA78</f>
        <v>5884.4763640529673</v>
      </c>
      <c r="J630" s="180">
        <f>SUM(C630:I630)</f>
        <v>207872.87930833144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4345</v>
      </c>
      <c r="D633" s="180">
        <f>(D615/D612)*BC76</f>
        <v>0</v>
      </c>
      <c r="E633" s="180">
        <f>(E623/E612)*SUM(C633:D633)</f>
        <v>243.7773151504777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90448</v>
      </c>
      <c r="D634" s="180">
        <f>(D615/D612)*BI76</f>
        <v>0</v>
      </c>
      <c r="E634" s="180">
        <f>(E623/E612)*SUM(C634:D634)</f>
        <v>5074.6077331945698</v>
      </c>
      <c r="F634" s="180">
        <f>(F624/F612)*BI64</f>
        <v>41.690043375731847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479362</v>
      </c>
      <c r="D635" s="180">
        <f>(D615/D612)*BK76</f>
        <v>0</v>
      </c>
      <c r="E635" s="180">
        <f>(E623/E612)*SUM(C635:D635)</f>
        <v>26894.72528082009</v>
      </c>
      <c r="F635" s="180">
        <f>(F624/F612)*BK64</f>
        <v>186.88015095817187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0</v>
      </c>
      <c r="D636" s="180">
        <f>(D615/D612)*BH76</f>
        <v>0</v>
      </c>
      <c r="E636" s="180">
        <f>(E623/E612)*SUM(C636:D636)</f>
        <v>0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429689</v>
      </c>
      <c r="D637" s="180">
        <f>(D615/D612)*BL76</f>
        <v>-2751.9589740168772</v>
      </c>
      <c r="E637" s="180">
        <f>(E623/E612)*SUM(C637:D637)</f>
        <v>23953.409804281593</v>
      </c>
      <c r="F637" s="180">
        <f>(F624/F612)*BL64</f>
        <v>416.44728111193007</v>
      </c>
      <c r="G637" s="180">
        <f>(G625/G612)*BL77</f>
        <v>0</v>
      </c>
      <c r="H637" s="180">
        <f>(H628/H612)*BL60</f>
        <v>0</v>
      </c>
      <c r="I637" s="180">
        <f>(I629/I612)*BL78</f>
        <v>13102.380869713996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756316</v>
      </c>
      <c r="D642" s="180">
        <f>(D615/D612)*BV76</f>
        <v>-6159.4631933557921</v>
      </c>
      <c r="E642" s="180">
        <f>(E623/E612)*SUM(C642:D642)</f>
        <v>42087.720710081529</v>
      </c>
      <c r="F642" s="180">
        <f>(F624/F612)*BV64</f>
        <v>245.78999485866251</v>
      </c>
      <c r="G642" s="180">
        <f>(G625/G612)*BV77</f>
        <v>0</v>
      </c>
      <c r="H642" s="180">
        <f>(H628/H612)*BV60</f>
        <v>0</v>
      </c>
      <c r="I642" s="180">
        <f>(I629/I612)*BV78</f>
        <v>29335.419115377354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262998</v>
      </c>
      <c r="D643" s="180">
        <f>(D615/D612)*BW76</f>
        <v>-1823.5471798805909</v>
      </c>
      <c r="E643" s="180">
        <f>(E623/E612)*SUM(C643:D643)</f>
        <v>14653.258203540581</v>
      </c>
      <c r="F643" s="180">
        <f>(F624/F612)*BW64</f>
        <v>206.54697576802798</v>
      </c>
      <c r="G643" s="180">
        <f>(G625/G612)*BW77</f>
        <v>0</v>
      </c>
      <c r="H643" s="180">
        <f>(H628/H612)*BW60</f>
        <v>0</v>
      </c>
      <c r="I643" s="180">
        <f>(I629/I612)*BW78</f>
        <v>8696.2704887482287</v>
      </c>
      <c r="J643" s="180">
        <f>(J630/J612)*BW79</f>
        <v>322.01810822907589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1139461</v>
      </c>
      <c r="D644" s="180">
        <f>(D615/D612)*BX76</f>
        <v>-3064.7572129015043</v>
      </c>
      <c r="E644" s="180">
        <f>(E623/E612)*SUM(C644:D644)</f>
        <v>63757.796320766232</v>
      </c>
      <c r="F644" s="180">
        <f>(F624/F612)*BX64</f>
        <v>163.08963707528142</v>
      </c>
      <c r="G644" s="180">
        <f>(G625/G612)*BX77</f>
        <v>0</v>
      </c>
      <c r="H644" s="180">
        <f>(H628/H612)*BX60</f>
        <v>0</v>
      </c>
      <c r="I644" s="180">
        <f>(I629/I612)*BX78</f>
        <v>14609.734421097022</v>
      </c>
      <c r="J644" s="180">
        <f>(J630/J612)*BX79</f>
        <v>0</v>
      </c>
      <c r="K644" s="180">
        <f>SUM(C631:J644)</f>
        <v>3392810.8358939942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1254656</v>
      </c>
      <c r="D645" s="180">
        <f>(D615/D612)*BY76</f>
        <v>-994.96461092024947</v>
      </c>
      <c r="E645" s="180">
        <f>(E623/E612)*SUM(C645:D645)</f>
        <v>70336.966931166375</v>
      </c>
      <c r="F645" s="180">
        <f>(F624/F612)*BY64</f>
        <v>9.7880971403892154</v>
      </c>
      <c r="G645" s="180">
        <f>(G625/G612)*BY77</f>
        <v>0</v>
      </c>
      <c r="H645" s="180">
        <f>(H628/H612)*BY60</f>
        <v>0</v>
      </c>
      <c r="I645" s="180">
        <f>(I629/I612)*BY78</f>
        <v>4666.998495628216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1328674.7889130146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8755156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1394072</v>
      </c>
      <c r="D668" s="180">
        <f>(D615/D612)*C76</f>
        <v>-12325.581668389979</v>
      </c>
      <c r="E668" s="180">
        <f>(E623/E612)*SUM(C668:D668)</f>
        <v>77523.229477484172</v>
      </c>
      <c r="F668" s="180">
        <f>(F624/F612)*C64</f>
        <v>4628.5011199970113</v>
      </c>
      <c r="G668" s="180">
        <f>(G625/G612)*C77</f>
        <v>158403.69962756755</v>
      </c>
      <c r="H668" s="180">
        <f>(H628/H612)*C60</f>
        <v>0</v>
      </c>
      <c r="I668" s="180">
        <f>(I629/I612)*C78</f>
        <v>58728.813367346367</v>
      </c>
      <c r="J668" s="180">
        <f>(J630/J612)*C79</f>
        <v>17324.574222724281</v>
      </c>
      <c r="K668" s="180">
        <f>(K644/K612)*C75</f>
        <v>185229.21881457683</v>
      </c>
      <c r="L668" s="180">
        <f>(L647/L612)*C80</f>
        <v>175361.88996769494</v>
      </c>
      <c r="M668" s="180">
        <f t="shared" ref="M668:M713" si="20">ROUND(SUM(D668:L668),0)</f>
        <v>664874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4795893</v>
      </c>
      <c r="D670" s="180">
        <f>(D615/D612)*E76</f>
        <v>-19636.408592108335</v>
      </c>
      <c r="E670" s="180">
        <f>(E623/E612)*SUM(C670:D670)</f>
        <v>267973.07441270148</v>
      </c>
      <c r="F670" s="180">
        <f>(F624/F612)*E64</f>
        <v>7574.0386302860825</v>
      </c>
      <c r="G670" s="180">
        <f>(G625/G612)*E77</f>
        <v>895239.57145657914</v>
      </c>
      <c r="H670" s="180">
        <f>(H628/H612)*E60</f>
        <v>0</v>
      </c>
      <c r="I670" s="180">
        <f>(I629/I612)*E78</f>
        <v>93571.870458930935</v>
      </c>
      <c r="J670" s="180">
        <f>(J630/J612)*E79</f>
        <v>38180.749571646935</v>
      </c>
      <c r="K670" s="180">
        <f>(K644/K612)*E75</f>
        <v>255771.5099742458</v>
      </c>
      <c r="L670" s="180">
        <f>(L647/L612)*E80</f>
        <v>294637.88762162812</v>
      </c>
      <c r="M670" s="180">
        <f t="shared" si="20"/>
        <v>1833312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1750641</v>
      </c>
      <c r="D671" s="180">
        <f>(D615/D612)*F76</f>
        <v>-11999.472866148561</v>
      </c>
      <c r="E671" s="180">
        <f>(E623/E612)*SUM(C671:D671)</f>
        <v>97546.919100993502</v>
      </c>
      <c r="F671" s="180">
        <f>(F624/F612)*F64</f>
        <v>421.56790600481884</v>
      </c>
      <c r="G671" s="180">
        <f>(G625/G612)*F77</f>
        <v>71441.792989105117</v>
      </c>
      <c r="H671" s="180">
        <f>(H628/H612)*F60</f>
        <v>0</v>
      </c>
      <c r="I671" s="180">
        <f>(I629/I612)*F78</f>
        <v>57163.484679371686</v>
      </c>
      <c r="J671" s="180">
        <f>(J630/J612)*F79</f>
        <v>7125.9754026084865</v>
      </c>
      <c r="K671" s="180">
        <f>(K644/K612)*F75</f>
        <v>23646.014103338755</v>
      </c>
      <c r="L671" s="180">
        <f>(L647/L612)*F80</f>
        <v>214248.10863856971</v>
      </c>
      <c r="M671" s="180">
        <f t="shared" si="20"/>
        <v>459594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934.76487189602835</v>
      </c>
      <c r="M673" s="180">
        <f t="shared" si="20"/>
        <v>935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6472</v>
      </c>
      <c r="D675" s="180">
        <f>(D615/D612)*J76</f>
        <v>-542.40545678929982</v>
      </c>
      <c r="E675" s="180">
        <f>(E623/E612)*SUM(C675:D675)</f>
        <v>332.68138956842984</v>
      </c>
      <c r="F675" s="180">
        <f>(F624/F612)*J64</f>
        <v>267.26943025007216</v>
      </c>
      <c r="G675" s="180">
        <f>(G625/G612)*J77</f>
        <v>0</v>
      </c>
      <c r="H675" s="180">
        <f>(H628/H612)*J60</f>
        <v>0</v>
      </c>
      <c r="I675" s="180">
        <f>(I629/I612)*J78</f>
        <v>2579.8935783286411</v>
      </c>
      <c r="J675" s="180">
        <f>(J630/J612)*J79</f>
        <v>0</v>
      </c>
      <c r="K675" s="180">
        <f>(K644/K612)*J75</f>
        <v>15910.40946326465</v>
      </c>
      <c r="L675" s="180">
        <f>(L647/L612)*J80</f>
        <v>373.90594875841134</v>
      </c>
      <c r="M675" s="180">
        <f t="shared" si="20"/>
        <v>18922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52312</v>
      </c>
      <c r="D680" s="180">
        <f>(D615/D612)*O76</f>
        <v>-3271.0709449317901</v>
      </c>
      <c r="E680" s="180">
        <f>(E623/E612)*SUM(C680:D680)</f>
        <v>2751.4536288905829</v>
      </c>
      <c r="F680" s="180">
        <f>(F624/F612)*O64</f>
        <v>2034.7913235874857</v>
      </c>
      <c r="G680" s="180">
        <f>(G625/G612)*O77</f>
        <v>0</v>
      </c>
      <c r="H680" s="180">
        <f>(H628/H612)*O60</f>
        <v>0</v>
      </c>
      <c r="I680" s="180">
        <f>(I629/I612)*O78</f>
        <v>15595.311743155155</v>
      </c>
      <c r="J680" s="180">
        <f>(J630/J612)*O79</f>
        <v>0</v>
      </c>
      <c r="K680" s="180">
        <f>(K644/K612)*O75</f>
        <v>23669.020884027523</v>
      </c>
      <c r="L680" s="180">
        <f>(L647/L612)*O80</f>
        <v>1495.6237950336454</v>
      </c>
      <c r="M680" s="180">
        <f t="shared" si="20"/>
        <v>42275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2362361</v>
      </c>
      <c r="D681" s="180">
        <f>(D615/D612)*P76</f>
        <v>-16235.559654447816</v>
      </c>
      <c r="E681" s="180">
        <f>(E623/E612)*SUM(C681:D681)</f>
        <v>131629.95646804856</v>
      </c>
      <c r="F681" s="180">
        <f>(F624/F612)*P64</f>
        <v>26277.778122898246</v>
      </c>
      <c r="G681" s="180">
        <f>(G625/G612)*P77</f>
        <v>0</v>
      </c>
      <c r="H681" s="180">
        <f>(H628/H612)*P60</f>
        <v>0</v>
      </c>
      <c r="I681" s="180">
        <f>(I629/I612)*P78</f>
        <v>77367.819781563405</v>
      </c>
      <c r="J681" s="180">
        <f>(J630/J612)*P79</f>
        <v>24602.183468701398</v>
      </c>
      <c r="K681" s="180">
        <f>(K644/K612)*P75</f>
        <v>350483.59554658912</v>
      </c>
      <c r="L681" s="180">
        <f>(L647/L612)*P80</f>
        <v>120397.71550020845</v>
      </c>
      <c r="M681" s="180">
        <f t="shared" si="20"/>
        <v>714523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685630</v>
      </c>
      <c r="D682" s="180">
        <f>(D615/D612)*Q76</f>
        <v>-2615.5256996097528</v>
      </c>
      <c r="E682" s="180">
        <f>(E623/E612)*SUM(C682:D682)</f>
        <v>38320.698447379538</v>
      </c>
      <c r="F682" s="180">
        <f>(F624/F612)*Q64</f>
        <v>529.32760507817795</v>
      </c>
      <c r="G682" s="180">
        <f>(G625/G612)*Q77</f>
        <v>0</v>
      </c>
      <c r="H682" s="180">
        <f>(H628/H612)*Q60</f>
        <v>0</v>
      </c>
      <c r="I682" s="180">
        <f>(I629/I612)*Q78</f>
        <v>12464.654367205792</v>
      </c>
      <c r="J682" s="180">
        <f>(J630/J612)*Q79</f>
        <v>0</v>
      </c>
      <c r="K682" s="180">
        <f>(K644/K612)*Q75</f>
        <v>37825.292779150514</v>
      </c>
      <c r="L682" s="180">
        <f>(L647/L612)*Q80</f>
        <v>88989.615804501896</v>
      </c>
      <c r="M682" s="180">
        <f t="shared" si="20"/>
        <v>175514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632898</v>
      </c>
      <c r="D683" s="180">
        <f>(D615/D612)*R76</f>
        <v>-539.07781595010169</v>
      </c>
      <c r="E683" s="180">
        <f>(E623/E612)*SUM(C683:D683)</f>
        <v>35478.655986531077</v>
      </c>
      <c r="F683" s="180">
        <f>(F624/F612)*R63</f>
        <v>21483.377819424546</v>
      </c>
      <c r="G683" s="180">
        <f>(G625/G612)*R77</f>
        <v>0</v>
      </c>
      <c r="H683" s="180">
        <f>(H628/H612)*R60</f>
        <v>0</v>
      </c>
      <c r="I683" s="180">
        <f>(I629/I612)*R78</f>
        <v>2579.8935783286411</v>
      </c>
      <c r="J683" s="180">
        <f>(J630/J612)*R79</f>
        <v>0</v>
      </c>
      <c r="K683" s="180">
        <f>(K644/K612)*R75</f>
        <v>22057.905103661695</v>
      </c>
      <c r="L683" s="180">
        <f>(L647/L612)*R80</f>
        <v>0</v>
      </c>
      <c r="M683" s="180">
        <f t="shared" si="20"/>
        <v>81061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1807629</v>
      </c>
      <c r="D684" s="180">
        <f>(D615/D612)*S76</f>
        <v>-4948.2019278876624</v>
      </c>
      <c r="E684" s="180">
        <f>(E623/E612)*SUM(C684:D684)</f>
        <v>101139.85846428998</v>
      </c>
      <c r="F684" s="180">
        <f>(F624/F612)*S63</f>
        <v>11397.559391015158</v>
      </c>
      <c r="G684" s="180">
        <f>(G625/G612)*S77</f>
        <v>0</v>
      </c>
      <c r="H684" s="180">
        <f>(H628/H612)*S60</f>
        <v>0</v>
      </c>
      <c r="I684" s="180">
        <f>(I629/I612)*S78</f>
        <v>23566.893024507699</v>
      </c>
      <c r="J684" s="180">
        <f>(J630/J612)*S79</f>
        <v>2418.8043724447293</v>
      </c>
      <c r="K684" s="180">
        <f>(K644/K612)*S75</f>
        <v>85799.041734940212</v>
      </c>
      <c r="L684" s="180">
        <f>(L647/L612)*S80</f>
        <v>0</v>
      </c>
      <c r="M684" s="180">
        <f t="shared" si="20"/>
        <v>219374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55407</v>
      </c>
      <c r="D685" s="180">
        <f>(D615/D612)*T76</f>
        <v>-821.92728728194515</v>
      </c>
      <c r="E685" s="180">
        <f>(E623/E612)*SUM(C685:D685)</f>
        <v>3062.5091998158828</v>
      </c>
      <c r="F685" s="180">
        <f>(F624/F612)*T64</f>
        <v>1049.2749503968162</v>
      </c>
      <c r="G685" s="180">
        <f>(G625/G612)*T77</f>
        <v>0</v>
      </c>
      <c r="H685" s="180">
        <f>(H628/H612)*T60</f>
        <v>0</v>
      </c>
      <c r="I685" s="180">
        <f>(I629/I612)*T78</f>
        <v>3913.3217199367027</v>
      </c>
      <c r="J685" s="180">
        <f>(J630/J612)*T79</f>
        <v>0</v>
      </c>
      <c r="K685" s="180">
        <f>(K644/K612)*T75</f>
        <v>21951.353871768701</v>
      </c>
      <c r="L685" s="180">
        <f>(L647/L612)*T80</f>
        <v>373.90594875841134</v>
      </c>
      <c r="M685" s="180">
        <f t="shared" si="20"/>
        <v>29528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2028384</v>
      </c>
      <c r="D686" s="180">
        <f>(D615/D612)*U76</f>
        <v>-6322.5175944765015</v>
      </c>
      <c r="E686" s="180">
        <f>(E623/E612)*SUM(C686:D686)</f>
        <v>113448.26680092369</v>
      </c>
      <c r="F686" s="180">
        <f>(F624/F612)*U64</f>
        <v>36813.169290797458</v>
      </c>
      <c r="G686" s="180">
        <f>(G625/G612)*U77</f>
        <v>0</v>
      </c>
      <c r="H686" s="180">
        <f>(H628/H612)*U60</f>
        <v>0</v>
      </c>
      <c r="I686" s="180">
        <f>(I629/I612)*U78</f>
        <v>30118.083459364694</v>
      </c>
      <c r="J686" s="180">
        <f>(J630/J612)*U79</f>
        <v>140.22054333012923</v>
      </c>
      <c r="K686" s="180">
        <f>(K644/K612)*U75</f>
        <v>296992.43590234173</v>
      </c>
      <c r="L686" s="180">
        <f>(L647/L612)*U80</f>
        <v>0</v>
      </c>
      <c r="M686" s="180">
        <f t="shared" si="20"/>
        <v>471190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10032</v>
      </c>
      <c r="D687" s="180">
        <f>(D615/D612)*V76</f>
        <v>-286.17711217104164</v>
      </c>
      <c r="E687" s="180">
        <f>(E623/E612)*SUM(C687:D687)</f>
        <v>546.79183832612637</v>
      </c>
      <c r="F687" s="180">
        <f>(F624/F612)*V64</f>
        <v>159.28315485401896</v>
      </c>
      <c r="G687" s="180">
        <f>(G625/G612)*V77</f>
        <v>0</v>
      </c>
      <c r="H687" s="180">
        <f>(H628/H612)*V60</f>
        <v>0</v>
      </c>
      <c r="I687" s="180">
        <f>(I629/I612)*V78</f>
        <v>1362.4157099038891</v>
      </c>
      <c r="J687" s="180">
        <f>(J630/J612)*V79</f>
        <v>0</v>
      </c>
      <c r="K687" s="180">
        <f>(K644/K612)*V75</f>
        <v>9528.4320677020205</v>
      </c>
      <c r="L687" s="180">
        <f>(L647/L612)*V80</f>
        <v>0</v>
      </c>
      <c r="M687" s="180">
        <f t="shared" si="20"/>
        <v>11311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264801</v>
      </c>
      <c r="D688" s="180">
        <f>(D615/D612)*W76</f>
        <v>0</v>
      </c>
      <c r="E688" s="180">
        <f>(E623/E612)*SUM(C688:D688)</f>
        <v>14856.726542960103</v>
      </c>
      <c r="F688" s="180">
        <f>(F624/F612)*W64</f>
        <v>228.97803171475326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1596.2315339557736</v>
      </c>
      <c r="K688" s="180">
        <f>(K644/K612)*W75</f>
        <v>79053.961610929458</v>
      </c>
      <c r="L688" s="180">
        <f>(L647/L612)*W80</f>
        <v>0</v>
      </c>
      <c r="M688" s="180">
        <f t="shared" si="20"/>
        <v>95736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342663</v>
      </c>
      <c r="D689" s="180">
        <f>(D615/D612)*X76</f>
        <v>-1603.9228844935126</v>
      </c>
      <c r="E689" s="180">
        <f>(E623/E612)*SUM(C689:D689)</f>
        <v>19135.205092501245</v>
      </c>
      <c r="F689" s="180">
        <f>(F624/F612)*X64</f>
        <v>1825.3441708889723</v>
      </c>
      <c r="G689" s="180">
        <f>(G625/G612)*X77</f>
        <v>0</v>
      </c>
      <c r="H689" s="180">
        <f>(H628/H612)*X60</f>
        <v>0</v>
      </c>
      <c r="I689" s="180">
        <f>(I629/I612)*X78</f>
        <v>7652.7180300984401</v>
      </c>
      <c r="J689" s="180">
        <f>(J630/J612)*X79</f>
        <v>0</v>
      </c>
      <c r="K689" s="180">
        <f>(K644/K612)*X75</f>
        <v>387668.47128257994</v>
      </c>
      <c r="L689" s="180">
        <f>(L647/L612)*X80</f>
        <v>0</v>
      </c>
      <c r="M689" s="180">
        <f t="shared" si="20"/>
        <v>414678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2189620</v>
      </c>
      <c r="D690" s="180">
        <f>(D615/D612)*Y76</f>
        <v>-13194.0959274207</v>
      </c>
      <c r="E690" s="180">
        <f>(E623/E612)*SUM(C690:D690)</f>
        <v>122108.9214082312</v>
      </c>
      <c r="F690" s="180">
        <f>(F624/F612)*Y63</f>
        <v>6923.7192688892046</v>
      </c>
      <c r="G690" s="180">
        <f>(G625/G612)*Y77</f>
        <v>0</v>
      </c>
      <c r="H690" s="180">
        <f>(H628/H612)*Y60</f>
        <v>0</v>
      </c>
      <c r="I690" s="180">
        <f>(I629/I612)*Y78</f>
        <v>62874.035633649684</v>
      </c>
      <c r="J690" s="180">
        <f>(J630/J612)*Y79</f>
        <v>30802.051096757401</v>
      </c>
      <c r="K690" s="180">
        <f>(K644/K612)*Y75</f>
        <v>272231.78889365069</v>
      </c>
      <c r="L690" s="180">
        <f>(L647/L612)*Y80</f>
        <v>0</v>
      </c>
      <c r="M690" s="180">
        <f t="shared" si="20"/>
        <v>481746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237778</v>
      </c>
      <c r="D692" s="180">
        <f>(D615/D612)*AA76</f>
        <v>-1860.1512291117706</v>
      </c>
      <c r="E692" s="180">
        <f>(E623/E612)*SUM(C692:D692)</f>
        <v>13236.230096534766</v>
      </c>
      <c r="F692" s="180">
        <f>(F624/F612)*AA64</f>
        <v>3728.6759120492861</v>
      </c>
      <c r="G692" s="180">
        <f>(G625/G612)*AA77</f>
        <v>0</v>
      </c>
      <c r="H692" s="180">
        <f>(H628/H612)*AA60</f>
        <v>0</v>
      </c>
      <c r="I692" s="180">
        <f>(I629/I612)*AA78</f>
        <v>8870.1958985231922</v>
      </c>
      <c r="J692" s="180">
        <f>(J630/J612)*AA79</f>
        <v>0</v>
      </c>
      <c r="K692" s="180">
        <f>(K644/K612)*AA75</f>
        <v>24293.631553745083</v>
      </c>
      <c r="L692" s="180">
        <f>(L647/L612)*AA80</f>
        <v>0</v>
      </c>
      <c r="M692" s="180">
        <f t="shared" si="20"/>
        <v>48269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2031551</v>
      </c>
      <c r="D693" s="180">
        <f>(D615/D612)*AB76</f>
        <v>-3197.8628464694307</v>
      </c>
      <c r="E693" s="180">
        <f>(E623/E612)*SUM(C693:D693)</f>
        <v>113801.26166912229</v>
      </c>
      <c r="F693" s="180">
        <f>(F624/F612)*AB64</f>
        <v>40622.868895842184</v>
      </c>
      <c r="G693" s="180">
        <f>(G625/G612)*AB77</f>
        <v>0</v>
      </c>
      <c r="H693" s="180">
        <f>(H628/H612)*AB60</f>
        <v>0</v>
      </c>
      <c r="I693" s="180">
        <f>(I629/I612)*AB78</f>
        <v>15247.460923605226</v>
      </c>
      <c r="J693" s="180">
        <f>(J630/J612)*AB79</f>
        <v>0</v>
      </c>
      <c r="K693" s="180">
        <f>(K644/K612)*AB75</f>
        <v>126963.84394079856</v>
      </c>
      <c r="L693" s="180">
        <f>(L647/L612)*AB80</f>
        <v>0</v>
      </c>
      <c r="M693" s="180">
        <f t="shared" si="20"/>
        <v>293438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705861</v>
      </c>
      <c r="D694" s="180">
        <f>(D615/D612)*AC76</f>
        <v>-3051.4466495447114</v>
      </c>
      <c r="E694" s="180">
        <f>(E623/E612)*SUM(C694:D694)</f>
        <v>39431.306324023106</v>
      </c>
      <c r="F694" s="180">
        <f>(F624/F612)*AC63</f>
        <v>973.87035020418807</v>
      </c>
      <c r="G694" s="180">
        <f>(G625/G612)*AC77</f>
        <v>0</v>
      </c>
      <c r="H694" s="180">
        <f>(H628/H612)*AC60</f>
        <v>0</v>
      </c>
      <c r="I694" s="180">
        <f>(I629/I612)*AC78</f>
        <v>14551.759284505368</v>
      </c>
      <c r="J694" s="180">
        <f>(J630/J612)*AC79</f>
        <v>763.87586686239013</v>
      </c>
      <c r="K694" s="180">
        <f>(K644/K612)*AC75</f>
        <v>60176.589819184082</v>
      </c>
      <c r="L694" s="180">
        <f>(L647/L612)*AC80</f>
        <v>0</v>
      </c>
      <c r="M694" s="180">
        <f t="shared" si="20"/>
        <v>112846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48476</v>
      </c>
      <c r="D696" s="180">
        <f>(D615/D612)*AE76</f>
        <v>-6076.2721723758377</v>
      </c>
      <c r="E696" s="180">
        <f>(E623/E612)*SUM(C696:D696)</f>
        <v>2378.8473677627653</v>
      </c>
      <c r="F696" s="180">
        <f>(F624/F612)*AE64</f>
        <v>297.76660328471081</v>
      </c>
      <c r="G696" s="180">
        <f>(G625/G612)*AE77</f>
        <v>0</v>
      </c>
      <c r="H696" s="180">
        <f>(H628/H612)*AE60</f>
        <v>0</v>
      </c>
      <c r="I696" s="180">
        <f>(I629/I612)*AE78</f>
        <v>28958.5807275316</v>
      </c>
      <c r="J696" s="180">
        <f>(J630/J612)*AE79</f>
        <v>0</v>
      </c>
      <c r="K696" s="180">
        <f>(K644/K612)*AE75</f>
        <v>2923.1680707066048</v>
      </c>
      <c r="L696" s="180">
        <f>(L647/L612)*AE80</f>
        <v>0</v>
      </c>
      <c r="M696" s="180">
        <f t="shared" si="20"/>
        <v>28482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4536945</v>
      </c>
      <c r="D698" s="180">
        <f>(D615/D612)*AG76</f>
        <v>-30015.320369567391</v>
      </c>
      <c r="E698" s="180">
        <f>(E623/E612)*SUM(C698:D698)</f>
        <v>252862.42045392623</v>
      </c>
      <c r="F698" s="180">
        <f>(F624/F612)*AG63</f>
        <v>42392.928443993776</v>
      </c>
      <c r="G698" s="180">
        <f>(G625/G612)*AG77</f>
        <v>0</v>
      </c>
      <c r="H698" s="180">
        <f>(H628/H612)*AG60</f>
        <v>0</v>
      </c>
      <c r="I698" s="180">
        <f>(I629/I612)*AG78</f>
        <v>142995.67440331669</v>
      </c>
      <c r="J698" s="180">
        <f>(J630/J612)*AG79</f>
        <v>74184.004543091694</v>
      </c>
      <c r="K698" s="180">
        <f>(K644/K612)*AG75</f>
        <v>830707.679749</v>
      </c>
      <c r="L698" s="180">
        <f>(L647/L612)*AG80</f>
        <v>357454.08701304125</v>
      </c>
      <c r="M698" s="180">
        <f t="shared" si="20"/>
        <v>1670581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51252</v>
      </c>
      <c r="D701" s="180">
        <f>(D615/D612)*AJ76</f>
        <v>-718.77042126680226</v>
      </c>
      <c r="E701" s="180">
        <f>(E623/E612)*SUM(C701:D701)</f>
        <v>2835.1795241855662</v>
      </c>
      <c r="F701" s="180">
        <f>(F624/F612)*AJ64</f>
        <v>5.2112554219664808</v>
      </c>
      <c r="G701" s="180">
        <f>(G625/G612)*AJ77</f>
        <v>0</v>
      </c>
      <c r="H701" s="180">
        <f>(H628/H612)*AJ60</f>
        <v>0</v>
      </c>
      <c r="I701" s="180">
        <f>(I629/I612)*AJ78</f>
        <v>3420.5330589076361</v>
      </c>
      <c r="J701" s="180">
        <f>(J630/J612)*AJ79</f>
        <v>13.859007189605798</v>
      </c>
      <c r="K701" s="180">
        <f>(K644/K612)*AJ75</f>
        <v>1953.6776210178741</v>
      </c>
      <c r="L701" s="180">
        <f>(L647/L612)*AJ80</f>
        <v>1495.6237950336454</v>
      </c>
      <c r="M701" s="180">
        <f t="shared" si="20"/>
        <v>9005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" customHeight="1" x14ac:dyDescent="0.25">
      <c r="A706" s="196">
        <v>7350</v>
      </c>
      <c r="B706" s="198" t="s">
        <v>727</v>
      </c>
      <c r="C706" s="180">
        <f>AO71</f>
        <v>362613</v>
      </c>
      <c r="D706" s="180">
        <f>(D615/D612)*AO76</f>
        <v>-6565.4353757379668</v>
      </c>
      <c r="E706" s="180">
        <f>(E623/E612)*SUM(C706:D706)</f>
        <v>19976.137944756916</v>
      </c>
      <c r="F706" s="180">
        <f>(F624/F612)*AO64</f>
        <v>1279.6124400477345</v>
      </c>
      <c r="G706" s="180">
        <f>(G625/G612)*AO77</f>
        <v>0</v>
      </c>
      <c r="H706" s="180">
        <f>(H628/H612)*AO60</f>
        <v>0</v>
      </c>
      <c r="I706" s="180">
        <f>(I629/I612)*AO78</f>
        <v>31277.586191197792</v>
      </c>
      <c r="J706" s="180">
        <f>(J630/J612)*AO79</f>
        <v>0</v>
      </c>
      <c r="K706" s="180">
        <f>(K644/K612)*AO75</f>
        <v>15665.546299020854</v>
      </c>
      <c r="L706" s="180">
        <f>(L647/L612)*AO80</f>
        <v>38699.265696495568</v>
      </c>
      <c r="M706" s="180">
        <f t="shared" si="20"/>
        <v>100333</v>
      </c>
      <c r="N706" s="198" t="s">
        <v>728</v>
      </c>
    </row>
    <row r="707" spans="1:83" ht="12.6" customHeight="1" x14ac:dyDescent="0.25">
      <c r="A707" s="196">
        <v>7380</v>
      </c>
      <c r="B707" s="198" t="s">
        <v>729</v>
      </c>
      <c r="C707" s="180">
        <f>AP71</f>
        <v>6668567</v>
      </c>
      <c r="D707" s="180">
        <f>(D615/D612)*AP76</f>
        <v>0</v>
      </c>
      <c r="E707" s="180">
        <f>(E623/E612)*SUM(C707:D707)</f>
        <v>374141.6246630784</v>
      </c>
      <c r="F707" s="180">
        <f>(F624/F612)*AP63</f>
        <v>91411.582977269354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7600.4425899232265</v>
      </c>
      <c r="K707" s="180">
        <f>(K644/K612)*AP75</f>
        <v>161102.50355073772</v>
      </c>
      <c r="L707" s="180">
        <f>(L647/L612)*AP80</f>
        <v>34212.394311394637</v>
      </c>
      <c r="M707" s="180">
        <f t="shared" si="20"/>
        <v>668469</v>
      </c>
      <c r="N707" s="198" t="s">
        <v>730</v>
      </c>
    </row>
    <row r="708" spans="1:83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83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" customHeight="1" x14ac:dyDescent="0.25">
      <c r="A713" s="196">
        <v>7490</v>
      </c>
      <c r="B713" s="198" t="s">
        <v>740</v>
      </c>
      <c r="C713" s="180">
        <f>AV71</f>
        <v>1074439</v>
      </c>
      <c r="D713" s="180">
        <f>(D615/D612)*AV76</f>
        <v>-316.12587972382505</v>
      </c>
      <c r="E713" s="180">
        <f>(E623/E612)*SUM(C713:D713)</f>
        <v>60263.93334746961</v>
      </c>
      <c r="F713" s="180">
        <f>(F624/F612)*AV63</f>
        <v>815.67476169910128</v>
      </c>
      <c r="G713" s="180">
        <f>(G625/G612)*AV77</f>
        <v>0</v>
      </c>
      <c r="H713" s="180">
        <f>(H628/H612)*AV60</f>
        <v>0</v>
      </c>
      <c r="I713" s="180">
        <f>(I629/I612)*AV78</f>
        <v>1507.3535513830261</v>
      </c>
      <c r="J713" s="180">
        <f>(J630/J612)*AV79</f>
        <v>2797.8889808662998</v>
      </c>
      <c r="K713" s="180">
        <f>(K644/K612)*AV75</f>
        <v>101205.74325701574</v>
      </c>
      <c r="L713" s="180">
        <f>(L647/L612)*AV80</f>
        <v>0</v>
      </c>
      <c r="M713" s="180">
        <f t="shared" si="20"/>
        <v>166274</v>
      </c>
      <c r="N713" s="199" t="s">
        <v>741</v>
      </c>
    </row>
    <row r="715" spans="1:83" ht="12.6" customHeight="1" x14ac:dyDescent="0.25">
      <c r="C715" s="180">
        <f>SUM(C614:C647)+SUM(C668:C713)</f>
        <v>42851453</v>
      </c>
      <c r="D715" s="180">
        <f>SUM(D616:D647)+SUM(D668:D713)</f>
        <v>-199532</v>
      </c>
      <c r="E715" s="180">
        <f>SUM(E624:E647)+SUM(E668:E713)</f>
        <v>2276469.622560956</v>
      </c>
      <c r="F715" s="180">
        <f>SUM(F625:F648)+SUM(F668:F713)</f>
        <v>322376.73435731529</v>
      </c>
      <c r="G715" s="180">
        <f>SUM(G626:G647)+SUM(G668:G713)</f>
        <v>1125085.0640732518</v>
      </c>
      <c r="H715" s="180">
        <f>SUM(H629:H647)+SUM(H668:H713)</f>
        <v>0</v>
      </c>
      <c r="I715" s="180">
        <f>SUM(I630:I647)+SUM(I668:I713)</f>
        <v>772663.6329252799</v>
      </c>
      <c r="J715" s="180">
        <f>SUM(J631:J647)+SUM(J668:J713)</f>
        <v>207872.87930833141</v>
      </c>
      <c r="K715" s="180">
        <f>SUM(K668:K713)</f>
        <v>3392810.8358939937</v>
      </c>
      <c r="L715" s="180">
        <f>SUM(L668:L713)</f>
        <v>1328674.7889130143</v>
      </c>
      <c r="M715" s="180">
        <f>SUM(M668:M713)</f>
        <v>8812270</v>
      </c>
      <c r="N715" s="198" t="s">
        <v>742</v>
      </c>
    </row>
    <row r="716" spans="1:83" ht="12.6" customHeight="1" x14ac:dyDescent="0.25">
      <c r="C716" s="180">
        <f>CE71</f>
        <v>42851453</v>
      </c>
      <c r="D716" s="180">
        <f>D615</f>
        <v>-199532</v>
      </c>
      <c r="E716" s="180">
        <f>E623</f>
        <v>2276469.6225609551</v>
      </c>
      <c r="F716" s="180">
        <f>F624</f>
        <v>265262.09997679526</v>
      </c>
      <c r="G716" s="180">
        <f>G625</f>
        <v>1125085.0640732518</v>
      </c>
      <c r="H716" s="180">
        <f>H628</f>
        <v>0</v>
      </c>
      <c r="I716" s="180">
        <f>I629</f>
        <v>772663.63292528002</v>
      </c>
      <c r="J716" s="180">
        <f>J630</f>
        <v>207872.87930833144</v>
      </c>
      <c r="K716" s="180">
        <f>K644</f>
        <v>3392810.8358939942</v>
      </c>
      <c r="L716" s="180">
        <f>L647</f>
        <v>1328674.7889130146</v>
      </c>
      <c r="M716" s="180">
        <f>C648</f>
        <v>8755156</v>
      </c>
      <c r="N716" s="198" t="s">
        <v>743</v>
      </c>
    </row>
    <row r="717" spans="1:83" ht="12.6" customHeight="1" x14ac:dyDescent="0.25">
      <c r="O717" s="198"/>
    </row>
    <row r="718" spans="1:83" ht="12.6" customHeight="1" x14ac:dyDescent="0.25">
      <c r="O718" s="198"/>
    </row>
    <row r="719" spans="1:83" ht="12.6" customHeight="1" x14ac:dyDescent="0.25">
      <c r="O719" s="198"/>
    </row>
    <row r="720" spans="1:83" s="201" customFormat="1" ht="12.6" customHeight="1" x14ac:dyDescent="0.25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" customHeight="1" x14ac:dyDescent="0.2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" customHeight="1" x14ac:dyDescent="0.25">
      <c r="A722" s="202" t="str">
        <f>RIGHT(C83,3)&amp;"*"&amp;RIGHT(C82,4)&amp;"*"&amp;"A"</f>
        <v>106*2017*A</v>
      </c>
      <c r="B722" s="276">
        <f>ROUND(C165,0)</f>
        <v>1516812</v>
      </c>
      <c r="C722" s="276">
        <f>ROUND(C166,0)</f>
        <v>13389</v>
      </c>
      <c r="D722" s="276">
        <f>ROUND(C167,0)</f>
        <v>0</v>
      </c>
      <c r="E722" s="276">
        <f>ROUND(C168,0)</f>
        <v>1944016</v>
      </c>
      <c r="F722" s="276">
        <f>ROUND(C169,0)</f>
        <v>34758</v>
      </c>
      <c r="G722" s="276">
        <f>ROUND(C170,0)</f>
        <v>1037179</v>
      </c>
      <c r="H722" s="276">
        <f>ROUND(C171+C172,0)</f>
        <v>173938</v>
      </c>
      <c r="I722" s="276">
        <f>ROUND(C175,0)</f>
        <v>492325</v>
      </c>
      <c r="J722" s="276">
        <f>ROUND(C176,0)</f>
        <v>143580</v>
      </c>
      <c r="K722" s="276">
        <f>ROUND(C179,0)</f>
        <v>0</v>
      </c>
      <c r="L722" s="276">
        <f>ROUND(C180,0)</f>
        <v>-1311</v>
      </c>
      <c r="M722" s="276">
        <f>ROUND(C183,0)</f>
        <v>25908</v>
      </c>
      <c r="N722" s="276">
        <f>ROUND(C184,0)</f>
        <v>534846</v>
      </c>
      <c r="O722" s="276">
        <f>ROUND(C185,0)</f>
        <v>0</v>
      </c>
      <c r="P722" s="276">
        <f>ROUND(C188,0)</f>
        <v>0</v>
      </c>
      <c r="Q722" s="276">
        <f>ROUND(C189,0)</f>
        <v>47964</v>
      </c>
      <c r="R722" s="276">
        <f>ROUND(B195,0)</f>
        <v>0</v>
      </c>
      <c r="S722" s="276">
        <f>ROUND(C195,0)</f>
        <v>0</v>
      </c>
      <c r="T722" s="276">
        <f>ROUND(D195,0)</f>
        <v>0</v>
      </c>
      <c r="U722" s="276">
        <f>ROUND(B196,0)</f>
        <v>20184</v>
      </c>
      <c r="V722" s="276">
        <f>ROUND(C196,0)</f>
        <v>0</v>
      </c>
      <c r="W722" s="276">
        <f>ROUND(D196,0)</f>
        <v>0</v>
      </c>
      <c r="X722" s="276">
        <f>ROUND(B197,0)</f>
        <v>0</v>
      </c>
      <c r="Y722" s="276">
        <f>ROUND(C197,0)</f>
        <v>30339</v>
      </c>
      <c r="Z722" s="276">
        <f>ROUND(D197,0)</f>
        <v>0</v>
      </c>
      <c r="AA722" s="276">
        <f>ROUND(B198,0)</f>
        <v>0</v>
      </c>
      <c r="AB722" s="276">
        <f>ROUND(C198,0)</f>
        <v>0</v>
      </c>
      <c r="AC722" s="276">
        <f>ROUND(D198,0)</f>
        <v>0</v>
      </c>
      <c r="AD722" s="276">
        <f>ROUND(B199,0)</f>
        <v>0</v>
      </c>
      <c r="AE722" s="276">
        <f>ROUND(C199,0)</f>
        <v>43188</v>
      </c>
      <c r="AF722" s="276">
        <f>ROUND(D199,0)</f>
        <v>0</v>
      </c>
      <c r="AG722" s="276">
        <f>ROUND(B200,0)</f>
        <v>397400</v>
      </c>
      <c r="AH722" s="276">
        <f>ROUND(C200,0)</f>
        <v>1973300</v>
      </c>
      <c r="AI722" s="276">
        <f>ROUND(D200,0)</f>
        <v>0</v>
      </c>
      <c r="AJ722" s="276">
        <f>ROUND(B201,0)</f>
        <v>0</v>
      </c>
      <c r="AK722" s="276">
        <f>ROUND(C201,0)</f>
        <v>0</v>
      </c>
      <c r="AL722" s="276">
        <f>ROUND(D201,0)</f>
        <v>0</v>
      </c>
      <c r="AM722" s="276">
        <f>ROUND(B202,0)</f>
        <v>0</v>
      </c>
      <c r="AN722" s="276">
        <f>ROUND(C202,0)</f>
        <v>0</v>
      </c>
      <c r="AO722" s="276">
        <f>ROUND(D202,0)</f>
        <v>0</v>
      </c>
      <c r="AP722" s="276">
        <f>ROUND(B203,0)</f>
        <v>0</v>
      </c>
      <c r="AQ722" s="276">
        <f>ROUND(C203,0)</f>
        <v>0</v>
      </c>
      <c r="AR722" s="276">
        <f>ROUND(D203,0)</f>
        <v>0</v>
      </c>
      <c r="AS722" s="276"/>
      <c r="AT722" s="276"/>
      <c r="AU722" s="276"/>
      <c r="AV722" s="276">
        <f>ROUND(B209,0)</f>
        <v>336</v>
      </c>
      <c r="AW722" s="276">
        <f>ROUND(C209,0)</f>
        <v>1346</v>
      </c>
      <c r="AX722" s="276">
        <f>ROUND(D209,0)</f>
        <v>0</v>
      </c>
      <c r="AY722" s="276">
        <f>ROUND(B210,0)</f>
        <v>0</v>
      </c>
      <c r="AZ722" s="276">
        <f>ROUND(C210,0)</f>
        <v>1053</v>
      </c>
      <c r="BA722" s="276">
        <f>ROUND(D210,0)</f>
        <v>0</v>
      </c>
      <c r="BB722" s="276">
        <f>ROUND(B211,0)</f>
        <v>0</v>
      </c>
      <c r="BC722" s="276">
        <f>ROUND(C211,0)</f>
        <v>0</v>
      </c>
      <c r="BD722" s="276">
        <f>ROUND(D211,0)</f>
        <v>0</v>
      </c>
      <c r="BE722" s="276">
        <f>ROUND(B212,0)</f>
        <v>0</v>
      </c>
      <c r="BF722" s="276">
        <f>ROUND(C212,0)</f>
        <v>1783</v>
      </c>
      <c r="BG722" s="276">
        <f>ROUND(D212,0)</f>
        <v>0</v>
      </c>
      <c r="BH722" s="276">
        <f>ROUND(B213,0)</f>
        <v>10364</v>
      </c>
      <c r="BI722" s="276">
        <f>ROUND(C213,0)</f>
        <v>160511</v>
      </c>
      <c r="BJ722" s="276">
        <f>ROUND(D213,0)</f>
        <v>0</v>
      </c>
      <c r="BK722" s="276">
        <f>ROUND(B214,0)</f>
        <v>0</v>
      </c>
      <c r="BL722" s="276">
        <f>ROUND(C214,0)</f>
        <v>0</v>
      </c>
      <c r="BM722" s="276">
        <f>ROUND(D214,0)</f>
        <v>0</v>
      </c>
      <c r="BN722" s="276">
        <f>ROUND(B215,0)</f>
        <v>0</v>
      </c>
      <c r="BO722" s="276">
        <f>ROUND(C215,0)</f>
        <v>0</v>
      </c>
      <c r="BP722" s="276">
        <f>ROUND(D215,0)</f>
        <v>0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29240984</v>
      </c>
      <c r="BU722" s="276">
        <f>ROUND(C224,0)</f>
        <v>26957670</v>
      </c>
      <c r="BV722" s="276">
        <f>ROUND(C225,0)</f>
        <v>1060485</v>
      </c>
      <c r="BW722" s="276">
        <f>ROUND(C226,0)</f>
        <v>3713369</v>
      </c>
      <c r="BX722" s="276">
        <f>ROUND(C227,0)</f>
        <v>15968449</v>
      </c>
      <c r="BY722" s="276">
        <f>ROUND(C228,0)</f>
        <v>11534983</v>
      </c>
      <c r="BZ722" s="276">
        <f>ROUND(C231,0)</f>
        <v>0</v>
      </c>
      <c r="CA722" s="276">
        <f>ROUND(C233,0)</f>
        <v>-480026</v>
      </c>
      <c r="CB722" s="276">
        <f>ROUND(C234,0)</f>
        <v>0</v>
      </c>
      <c r="CC722" s="276">
        <f>ROUND(C238+C239,0)</f>
        <v>0</v>
      </c>
      <c r="CD722" s="276">
        <f>D221</f>
        <v>6712066</v>
      </c>
      <c r="CE722" s="276"/>
    </row>
    <row r="723" spans="1:84" ht="12.6" customHeight="1" x14ac:dyDescent="0.25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" customHeight="1" x14ac:dyDescent="0.25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" customHeight="1" x14ac:dyDescent="0.2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" customHeight="1" x14ac:dyDescent="0.25">
      <c r="A726" s="202" t="str">
        <f>RIGHT(C83,3)&amp;"*"&amp;RIGHT(C82,4)&amp;"*"&amp;"A"</f>
        <v>106*2017*A</v>
      </c>
      <c r="B726" s="276">
        <f>ROUND(C111,0)</f>
        <v>1107</v>
      </c>
      <c r="C726" s="276">
        <f>ROUND(C112,0)</f>
        <v>0</v>
      </c>
      <c r="D726" s="276">
        <f>ROUND(C113,0)</f>
        <v>0</v>
      </c>
      <c r="E726" s="276">
        <f>ROUND(C114,0)</f>
        <v>0</v>
      </c>
      <c r="F726" s="276">
        <f>ROUND(D111,0)</f>
        <v>4567</v>
      </c>
      <c r="G726" s="276">
        <f>ROUND(D112,0)</f>
        <v>0</v>
      </c>
      <c r="H726" s="276">
        <f>ROUND(D113,0)</f>
        <v>0</v>
      </c>
      <c r="I726" s="276">
        <f>ROUND(D114,0)</f>
        <v>0</v>
      </c>
      <c r="J726" s="276">
        <f>ROUND(C116,0)</f>
        <v>6</v>
      </c>
      <c r="K726" s="276">
        <f>ROUND(C117,0)</f>
        <v>0</v>
      </c>
      <c r="L726" s="276">
        <f>ROUND(C118,0)</f>
        <v>38</v>
      </c>
      <c r="M726" s="276">
        <f>ROUND(C119,0)</f>
        <v>0</v>
      </c>
      <c r="N726" s="276">
        <f>ROUND(C120,0)</f>
        <v>4</v>
      </c>
      <c r="O726" s="276">
        <f>ROUND(C121,0)</f>
        <v>0</v>
      </c>
      <c r="P726" s="276">
        <f>ROUND(C122,0)</f>
        <v>0</v>
      </c>
      <c r="Q726" s="276">
        <f>ROUND(C123,0)</f>
        <v>0</v>
      </c>
      <c r="R726" s="276">
        <f>ROUND(C124,0)</f>
        <v>0</v>
      </c>
      <c r="S726" s="276">
        <f>ROUND(C125,0)</f>
        <v>0</v>
      </c>
      <c r="T726" s="276"/>
      <c r="U726" s="276">
        <f>ROUND(C126,0)</f>
        <v>0</v>
      </c>
      <c r="V726" s="276">
        <f>ROUND(C128,0)</f>
        <v>48</v>
      </c>
      <c r="W726" s="276">
        <f>ROUND(C129,0)</f>
        <v>5</v>
      </c>
      <c r="X726" s="276">
        <f>ROUND(B138,0)</f>
        <v>457</v>
      </c>
      <c r="Y726" s="276">
        <f>ROUND(B139,0)</f>
        <v>2236</v>
      </c>
      <c r="Z726" s="276">
        <f>ROUND(B140,0)</f>
        <v>14973</v>
      </c>
      <c r="AA726" s="276">
        <f>ROUND(B141,0)</f>
        <v>19967898</v>
      </c>
      <c r="AB726" s="276">
        <f>ROUND(B142,0)</f>
        <v>26628774</v>
      </c>
      <c r="AC726" s="276">
        <f>ROUND(C138,0)</f>
        <v>312</v>
      </c>
      <c r="AD726" s="276">
        <f>ROUND(C139,0)</f>
        <v>1245</v>
      </c>
      <c r="AE726" s="276">
        <f>ROUND(C140,0)</f>
        <v>17696</v>
      </c>
      <c r="AF726" s="276">
        <f>ROUND(C141,0)</f>
        <v>9057756</v>
      </c>
      <c r="AG726" s="276">
        <f>ROUND(C142,0)</f>
        <v>29732769</v>
      </c>
      <c r="AH726" s="276">
        <f>ROUND(D138,0)</f>
        <v>338</v>
      </c>
      <c r="AI726" s="276">
        <f>ROUND(D139,0)</f>
        <v>1086</v>
      </c>
      <c r="AJ726" s="276">
        <f>ROUND(D140,0)</f>
        <v>19946</v>
      </c>
      <c r="AK726" s="276">
        <f>ROUND(D141,0)</f>
        <v>10896585</v>
      </c>
      <c r="AL726" s="276">
        <f>ROUND(D142,0)</f>
        <v>41305764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0</v>
      </c>
      <c r="BR726" s="276">
        <f>ROUND(C157,0)</f>
        <v>0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" customHeight="1" x14ac:dyDescent="0.25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" customHeight="1" x14ac:dyDescent="0.25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" customHeight="1" x14ac:dyDescent="0.2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" customHeight="1" x14ac:dyDescent="0.25">
      <c r="A730" s="202" t="str">
        <f>RIGHT(C83,3)&amp;"*"&amp;RIGHT(C82,4)&amp;"*"&amp;"A"</f>
        <v>106*2017*A</v>
      </c>
      <c r="B730" s="276">
        <f>ROUND(C250,0)</f>
        <v>-10616</v>
      </c>
      <c r="C730" s="276">
        <f>ROUND(C251,0)</f>
        <v>12337605</v>
      </c>
      <c r="D730" s="276">
        <f>ROUND(C252,0)</f>
        <v>26447875</v>
      </c>
      <c r="E730" s="276">
        <f>ROUND(C253,0)</f>
        <v>19101037</v>
      </c>
      <c r="F730" s="276">
        <f>ROUND(C254,0)</f>
        <v>139850</v>
      </c>
      <c r="G730" s="276">
        <f>ROUND(C255,0)</f>
        <v>1073993</v>
      </c>
      <c r="H730" s="276">
        <f>ROUND(C256,0)</f>
        <v>0</v>
      </c>
      <c r="I730" s="276">
        <f>ROUND(C257,0)</f>
        <v>1357968</v>
      </c>
      <c r="J730" s="276">
        <f>ROUND(C258,0)</f>
        <v>0</v>
      </c>
      <c r="K730" s="276">
        <f>ROUND(C259,0)</f>
        <v>51681</v>
      </c>
      <c r="L730" s="276">
        <f>ROUND(C262,0)</f>
        <v>14093300</v>
      </c>
      <c r="M730" s="276">
        <f>ROUND(C263,0)</f>
        <v>0</v>
      </c>
      <c r="N730" s="276">
        <f>ROUND(C264,0)</f>
        <v>0</v>
      </c>
      <c r="O730" s="276">
        <f>ROUND(C267,0)</f>
        <v>0</v>
      </c>
      <c r="P730" s="276">
        <f>ROUND(C268,0)</f>
        <v>20184</v>
      </c>
      <c r="Q730" s="276">
        <f>ROUND(C269,0)</f>
        <v>30339</v>
      </c>
      <c r="R730" s="276">
        <f>ROUND(C270,0)</f>
        <v>0</v>
      </c>
      <c r="S730" s="276">
        <f>ROUND(C271,0)</f>
        <v>43188</v>
      </c>
      <c r="T730" s="276">
        <f>ROUND(C272,0)</f>
        <v>2370700</v>
      </c>
      <c r="U730" s="276">
        <f>ROUND(C273,0)</f>
        <v>0</v>
      </c>
      <c r="V730" s="276">
        <f>ROUND(C274,0)</f>
        <v>0</v>
      </c>
      <c r="W730" s="276">
        <f>ROUND(C275,0)</f>
        <v>0</v>
      </c>
      <c r="X730" s="276">
        <f>ROUND(C276,0)</f>
        <v>175393</v>
      </c>
      <c r="Y730" s="276">
        <f>ROUND(C279,0)</f>
        <v>0</v>
      </c>
      <c r="Z730" s="276">
        <f>ROUND(C280,0)</f>
        <v>0</v>
      </c>
      <c r="AA730" s="276">
        <f>ROUND(C281,0)</f>
        <v>0</v>
      </c>
      <c r="AB730" s="276">
        <f>ROUND(C282,0)</f>
        <v>0</v>
      </c>
      <c r="AC730" s="276">
        <f>ROUND(C286,0)</f>
        <v>0</v>
      </c>
      <c r="AD730" s="276">
        <f>ROUND(C287,0)</f>
        <v>0</v>
      </c>
      <c r="AE730" s="276">
        <f>ROUND(C288,0)</f>
        <v>0</v>
      </c>
      <c r="AF730" s="276">
        <f>ROUND(C289,0)</f>
        <v>0</v>
      </c>
      <c r="AG730" s="276">
        <f>ROUND(C304,0)</f>
        <v>0</v>
      </c>
      <c r="AH730" s="276">
        <f>ROUND(C305,0)</f>
        <v>28976657</v>
      </c>
      <c r="AI730" s="276">
        <f>ROUND(C306,0)</f>
        <v>0</v>
      </c>
      <c r="AJ730" s="276">
        <f>ROUND(C307,0)</f>
        <v>0</v>
      </c>
      <c r="AK730" s="276">
        <f>ROUND(C308,0)</f>
        <v>0</v>
      </c>
      <c r="AL730" s="276">
        <f>ROUND(C309,0)</f>
        <v>854505</v>
      </c>
      <c r="AM730" s="276">
        <f>ROUND(C310,0)</f>
        <v>0</v>
      </c>
      <c r="AN730" s="276">
        <f>ROUND(C311,0)</f>
        <v>0</v>
      </c>
      <c r="AO730" s="276">
        <f>ROUND(C312,0)</f>
        <v>4699</v>
      </c>
      <c r="AP730" s="276">
        <f>ROUND(C313,0)</f>
        <v>168760</v>
      </c>
      <c r="AQ730" s="276">
        <f>ROUND(C316,0)</f>
        <v>0</v>
      </c>
      <c r="AR730" s="276">
        <f>ROUND(C317,0)</f>
        <v>0</v>
      </c>
      <c r="AS730" s="276">
        <f>ROUND(C318,0)</f>
        <v>0</v>
      </c>
      <c r="AT730" s="276">
        <f>ROUND(C321,0)</f>
        <v>0</v>
      </c>
      <c r="AU730" s="276">
        <f>ROUND(C322,0)</f>
        <v>0</v>
      </c>
      <c r="AV730" s="276">
        <f>ROUND(C323,0)</f>
        <v>0</v>
      </c>
      <c r="AW730" s="276">
        <f>ROUND(C324,0)</f>
        <v>682315</v>
      </c>
      <c r="AX730" s="276">
        <f>ROUND(C325,0)</f>
        <v>0</v>
      </c>
      <c r="AY730" s="276">
        <f>ROUND(C326,0)</f>
        <v>0</v>
      </c>
      <c r="AZ730" s="276">
        <f>ROUND(C327,0)</f>
        <v>0</v>
      </c>
      <c r="BA730" s="276">
        <f>ROUND(C328,0)</f>
        <v>0</v>
      </c>
      <c r="BB730" s="276">
        <f>ROUND(C332,0)</f>
        <v>8161461</v>
      </c>
      <c r="BC730" s="276"/>
      <c r="BD730" s="276"/>
      <c r="BE730" s="276">
        <f>ROUND(C337,0)</f>
        <v>0</v>
      </c>
      <c r="BF730" s="276">
        <f>ROUND(C336,0)</f>
        <v>0</v>
      </c>
      <c r="BG730" s="276"/>
      <c r="BH730" s="276"/>
      <c r="BI730" s="276">
        <f>ROUND(CE60,2)</f>
        <v>260.27999999999997</v>
      </c>
      <c r="BJ730" s="276">
        <f>ROUND(C359,0)</f>
        <v>39922239</v>
      </c>
      <c r="BK730" s="276">
        <f>ROUND(C360,0)</f>
        <v>97667307</v>
      </c>
      <c r="BL730" s="276">
        <f>ROUND(C364,0)</f>
        <v>88475940</v>
      </c>
      <c r="BM730" s="276">
        <f>ROUND(C365,0)</f>
        <v>-480026</v>
      </c>
      <c r="BN730" s="276">
        <f>ROUND(C366,0)</f>
        <v>0</v>
      </c>
      <c r="BO730" s="276">
        <f>ROUND(C370,0)</f>
        <v>1721855</v>
      </c>
      <c r="BP730" s="276">
        <f>ROUND(C371,0)</f>
        <v>0</v>
      </c>
      <c r="BQ730" s="276">
        <f>ROUND(C378,0)</f>
        <v>20982326</v>
      </c>
      <c r="BR730" s="276">
        <f>ROUND(C379,0)</f>
        <v>4720092</v>
      </c>
      <c r="BS730" s="276">
        <f>ROUND(C380,0)</f>
        <v>4777287</v>
      </c>
      <c r="BT730" s="276">
        <f>ROUND(C381,0)</f>
        <v>6042966</v>
      </c>
      <c r="BU730" s="276">
        <f>ROUND(C382,0)</f>
        <v>810090</v>
      </c>
      <c r="BV730" s="276">
        <f>ROUND(C383,0)</f>
        <v>5497275</v>
      </c>
      <c r="BW730" s="276">
        <f>ROUND(C384,0)</f>
        <v>164693</v>
      </c>
      <c r="BX730" s="276">
        <f>ROUND(C385,0)</f>
        <v>635905</v>
      </c>
      <c r="BY730" s="276">
        <f>ROUND(C386,0)</f>
        <v>-1311</v>
      </c>
      <c r="BZ730" s="276">
        <f>ROUND(C387,0)</f>
        <v>560754</v>
      </c>
      <c r="CA730" s="276">
        <f>ROUND(C388,0)</f>
        <v>47964</v>
      </c>
      <c r="CB730" s="276">
        <f>C363</f>
        <v>6712066</v>
      </c>
      <c r="CC730" s="276">
        <f>ROUND(C389,0)</f>
        <v>335269</v>
      </c>
      <c r="CD730" s="276">
        <f>ROUND(C392,0)</f>
        <v>304796</v>
      </c>
      <c r="CE730" s="276">
        <f>ROUND(C394,0)</f>
        <v>0</v>
      </c>
      <c r="CF730" s="201">
        <f>ROUND(C395,0)</f>
        <v>0</v>
      </c>
    </row>
    <row r="731" spans="1:84" ht="12.6" customHeight="1" x14ac:dyDescent="0.25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" customHeight="1" x14ac:dyDescent="0.25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" customHeight="1" x14ac:dyDescent="0.2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" customHeight="1" x14ac:dyDescent="0.25">
      <c r="A734" s="202" t="str">
        <f>RIGHT($C$83,3)&amp;"*"&amp;RIGHT($C$82,4)&amp;"*"&amp;C$55&amp;"*"&amp;"A"</f>
        <v>106*2017*6010*A</v>
      </c>
      <c r="B734" s="276">
        <f>ROUND(C59,0)</f>
        <v>643</v>
      </c>
      <c r="C734" s="276">
        <f>ROUND(C60,2)</f>
        <v>9.48</v>
      </c>
      <c r="D734" s="276">
        <f>ROUND(C61,0)</f>
        <v>1007378</v>
      </c>
      <c r="E734" s="276">
        <f>ROUND(C62,0)</f>
        <v>226615</v>
      </c>
      <c r="F734" s="276">
        <f>ROUND(C63,0)</f>
        <v>51087</v>
      </c>
      <c r="G734" s="276">
        <f>ROUND(C64,0)</f>
        <v>102140</v>
      </c>
      <c r="H734" s="276">
        <f>ROUND(C65,0)</f>
        <v>0</v>
      </c>
      <c r="I734" s="276">
        <f>ROUND(C66,0)</f>
        <v>0</v>
      </c>
      <c r="J734" s="276">
        <f>ROUND(C67,0)</f>
        <v>6826</v>
      </c>
      <c r="K734" s="276">
        <f>ROUND(C68,0)</f>
        <v>0</v>
      </c>
      <c r="L734" s="276">
        <f>ROUND(C69,0)</f>
        <v>26</v>
      </c>
      <c r="M734" s="276">
        <f>ROUND(C70,0)</f>
        <v>0</v>
      </c>
      <c r="N734" s="276">
        <f>ROUND(C75,0)</f>
        <v>7511649</v>
      </c>
      <c r="O734" s="276">
        <f>ROUND(C73,0)</f>
        <v>7070776</v>
      </c>
      <c r="P734" s="276">
        <f>IF(C76&gt;0,ROUND(C76,0),0)</f>
        <v>3704</v>
      </c>
      <c r="Q734" s="276">
        <f>IF(C77&gt;0,ROUND(C77,0),0)</f>
        <v>1800</v>
      </c>
      <c r="R734" s="276">
        <f>IF(C78&gt;0,ROUND(C78,0),0)</f>
        <v>2026</v>
      </c>
      <c r="S734" s="276">
        <f>IF(C79&gt;0,ROUND(C79,0),0)</f>
        <v>21251</v>
      </c>
      <c r="T734" s="276">
        <f>IF(C80&gt;0,ROUND(C80,2),0)</f>
        <v>9.3800000000000008</v>
      </c>
      <c r="U734" s="276"/>
      <c r="V734" s="276"/>
      <c r="W734" s="276"/>
      <c r="X734" s="276"/>
      <c r="Y734" s="276">
        <f>IF(M668&lt;&gt;0,ROUND(M668,0),0)</f>
        <v>664874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" customHeight="1" x14ac:dyDescent="0.25">
      <c r="A735" s="209" t="str">
        <f>RIGHT($C$83,3)&amp;"*"&amp;RIGHT($C$82,4)&amp;"*"&amp;D$55&amp;"*"&amp;"A"</f>
        <v>106*2017*6030*A</v>
      </c>
      <c r="B735" s="276">
        <f>ROUND(D59,0)</f>
        <v>0</v>
      </c>
      <c r="C735" s="278">
        <f>ROUND(D60,2)</f>
        <v>0</v>
      </c>
      <c r="D735" s="276">
        <f>ROUND(D61,0)</f>
        <v>0</v>
      </c>
      <c r="E735" s="276">
        <f>ROUND(D62,0)</f>
        <v>0</v>
      </c>
      <c r="F735" s="276">
        <f>ROUND(D63,0)</f>
        <v>0</v>
      </c>
      <c r="G735" s="276">
        <f>ROUND(D64,0)</f>
        <v>0</v>
      </c>
      <c r="H735" s="276">
        <f>ROUND(D65,0)</f>
        <v>0</v>
      </c>
      <c r="I735" s="276">
        <f>ROUND(D66,0)</f>
        <v>0</v>
      </c>
      <c r="J735" s="276">
        <f>ROUND(D67,0)</f>
        <v>0</v>
      </c>
      <c r="K735" s="276">
        <f>ROUND(D68,0)</f>
        <v>0</v>
      </c>
      <c r="L735" s="276">
        <f>ROUND(D69,0)</f>
        <v>0</v>
      </c>
      <c r="M735" s="276">
        <f>ROUND(D70,0)</f>
        <v>0</v>
      </c>
      <c r="N735" s="276">
        <f>ROUND(D75,0)</f>
        <v>0</v>
      </c>
      <c r="O735" s="276">
        <f>ROUND(D73,0)</f>
        <v>0</v>
      </c>
      <c r="P735" s="276">
        <f>IF(D76&gt;0,ROUND(D76,0),0)</f>
        <v>0</v>
      </c>
      <c r="Q735" s="276">
        <f>IF(D77&gt;0,ROUND(D77,0),0)</f>
        <v>0</v>
      </c>
      <c r="R735" s="276">
        <f>IF(D78&gt;0,ROUND(D78,0),0)</f>
        <v>0</v>
      </c>
      <c r="S735" s="276">
        <f>IF(D79&gt;0,ROUND(D79,0),0)</f>
        <v>0</v>
      </c>
      <c r="T735" s="278">
        <f>IF(D80&gt;0,ROUND(D80,2),0)</f>
        <v>0</v>
      </c>
      <c r="U735" s="276"/>
      <c r="V735" s="277"/>
      <c r="W735" s="276"/>
      <c r="X735" s="276"/>
      <c r="Y735" s="276">
        <f t="shared" ref="Y735:Y779" si="21">IF(M669&lt;&gt;0,ROUND(M669,0),0)</f>
        <v>0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" customHeight="1" x14ac:dyDescent="0.25">
      <c r="A736" s="209" t="str">
        <f>RIGHT($C$83,3)&amp;"*"&amp;RIGHT($C$82,4)&amp;"*"&amp;E$55&amp;"*"&amp;"A"</f>
        <v>106*2017*6070*A</v>
      </c>
      <c r="B736" s="276">
        <f>ROUND(E59,0)</f>
        <v>3634</v>
      </c>
      <c r="C736" s="278">
        <f>ROUND(E60,2)</f>
        <v>32.270000000000003</v>
      </c>
      <c r="D736" s="276">
        <f>ROUND(E61,0)</f>
        <v>2166169</v>
      </c>
      <c r="E736" s="276">
        <f>ROUND(E62,0)</f>
        <v>487292</v>
      </c>
      <c r="F736" s="276">
        <f>ROUND(E63,0)</f>
        <v>90109</v>
      </c>
      <c r="G736" s="276">
        <f>ROUND(E64,0)</f>
        <v>167141</v>
      </c>
      <c r="H736" s="276">
        <f>ROUND(E65,0)</f>
        <v>0</v>
      </c>
      <c r="I736" s="276">
        <f>ROUND(E66,0)</f>
        <v>1845645</v>
      </c>
      <c r="J736" s="276">
        <f>ROUND(E67,0)</f>
        <v>10875</v>
      </c>
      <c r="K736" s="276">
        <f>ROUND(E68,0)</f>
        <v>28227</v>
      </c>
      <c r="L736" s="276">
        <f>ROUND(E69,0)</f>
        <v>435</v>
      </c>
      <c r="M736" s="276">
        <f>ROUND(E70,0)</f>
        <v>0</v>
      </c>
      <c r="N736" s="276">
        <f>ROUND(E75,0)</f>
        <v>10372369</v>
      </c>
      <c r="O736" s="276">
        <f>ROUND(E73,0)</f>
        <v>8489329</v>
      </c>
      <c r="P736" s="276">
        <f>IF(E76&gt;0,ROUND(E76,0),0)</f>
        <v>5901</v>
      </c>
      <c r="Q736" s="276">
        <f>IF(E77&gt;0,ROUND(E77,0),0)</f>
        <v>10175</v>
      </c>
      <c r="R736" s="276">
        <f>IF(E78&gt;0,ROUND(E78,0),0)</f>
        <v>3228</v>
      </c>
      <c r="S736" s="276">
        <f>IF(E79&gt;0,ROUND(E79,0),0)</f>
        <v>46834</v>
      </c>
      <c r="T736" s="278">
        <f>IF(E80&gt;0,ROUND(E80,2),0)</f>
        <v>15.76</v>
      </c>
      <c r="U736" s="276"/>
      <c r="V736" s="277"/>
      <c r="W736" s="276"/>
      <c r="X736" s="276"/>
      <c r="Y736" s="276">
        <f t="shared" si="21"/>
        <v>1833312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" customHeight="1" x14ac:dyDescent="0.25">
      <c r="A737" s="209" t="str">
        <f>RIGHT($C$83,3)&amp;"*"&amp;RIGHT($C$82,4)&amp;"*"&amp;F$55&amp;"*"&amp;"A"</f>
        <v>106*2017*6100*A</v>
      </c>
      <c r="B737" s="276">
        <f>ROUND(F59,0)</f>
        <v>290</v>
      </c>
      <c r="C737" s="278">
        <f>ROUND(F60,2)</f>
        <v>10.73</v>
      </c>
      <c r="D737" s="276">
        <f>ROUND(F61,0)</f>
        <v>1346643</v>
      </c>
      <c r="E737" s="276">
        <f>ROUND(F62,0)</f>
        <v>302935</v>
      </c>
      <c r="F737" s="276">
        <f>ROUND(F63,0)</f>
        <v>85565</v>
      </c>
      <c r="G737" s="276">
        <f>ROUND(F64,0)</f>
        <v>9303</v>
      </c>
      <c r="H737" s="276">
        <f>ROUND(F65,0)</f>
        <v>0</v>
      </c>
      <c r="I737" s="276">
        <f>ROUND(F66,0)</f>
        <v>-658</v>
      </c>
      <c r="J737" s="276">
        <f>ROUND(F67,0)</f>
        <v>6645</v>
      </c>
      <c r="K737" s="276">
        <f>ROUND(F68,0)</f>
        <v>0</v>
      </c>
      <c r="L737" s="276">
        <f>ROUND(F69,0)</f>
        <v>208</v>
      </c>
      <c r="M737" s="276">
        <f>ROUND(F70,0)</f>
        <v>0</v>
      </c>
      <c r="N737" s="276">
        <f>ROUND(F75,0)</f>
        <v>958923</v>
      </c>
      <c r="O737" s="276">
        <f>ROUND(F73,0)</f>
        <v>892871</v>
      </c>
      <c r="P737" s="276">
        <f>IF(F76&gt;0,ROUND(F76,0),0)</f>
        <v>3606</v>
      </c>
      <c r="Q737" s="276">
        <f>IF(F77&gt;0,ROUND(F77,0),0)</f>
        <v>812</v>
      </c>
      <c r="R737" s="276">
        <f>IF(F78&gt;0,ROUND(F78,0),0)</f>
        <v>1972</v>
      </c>
      <c r="S737" s="276">
        <f>IF(F79&gt;0,ROUND(F79,0),0)</f>
        <v>8741</v>
      </c>
      <c r="T737" s="278">
        <f>IF(F80&gt;0,ROUND(F80,2),0)</f>
        <v>11.46</v>
      </c>
      <c r="U737" s="276"/>
      <c r="V737" s="277"/>
      <c r="W737" s="276"/>
      <c r="X737" s="276"/>
      <c r="Y737" s="276">
        <f t="shared" si="21"/>
        <v>459594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" customHeight="1" x14ac:dyDescent="0.25">
      <c r="A738" s="209" t="str">
        <f>RIGHT($C$83,3)&amp;"*"&amp;RIGHT($C$82,4)&amp;"*"&amp;G$55&amp;"*"&amp;"A"</f>
        <v>106*2017*6120*A</v>
      </c>
      <c r="B738" s="276">
        <f>ROUND(G59,0)</f>
        <v>0</v>
      </c>
      <c r="C738" s="278">
        <f>ROUND(G60,2)</f>
        <v>0</v>
      </c>
      <c r="D738" s="276">
        <f>ROUND(G61,0)</f>
        <v>0</v>
      </c>
      <c r="E738" s="276">
        <f>ROUND(G62,0)</f>
        <v>0</v>
      </c>
      <c r="F738" s="276">
        <f>ROUND(G63,0)</f>
        <v>0</v>
      </c>
      <c r="G738" s="276">
        <f>ROUND(G64,0)</f>
        <v>0</v>
      </c>
      <c r="H738" s="276">
        <f>ROUND(G65,0)</f>
        <v>0</v>
      </c>
      <c r="I738" s="276">
        <f>ROUND(G66,0)</f>
        <v>0</v>
      </c>
      <c r="J738" s="276">
        <f>ROUND(G67,0)</f>
        <v>0</v>
      </c>
      <c r="K738" s="276">
        <f>ROUND(G68,0)</f>
        <v>0</v>
      </c>
      <c r="L738" s="276">
        <f>ROUND(G69,0)</f>
        <v>0</v>
      </c>
      <c r="M738" s="276">
        <f>ROUND(G70,0)</f>
        <v>0</v>
      </c>
      <c r="N738" s="276">
        <f>ROUND(G75,0)</f>
        <v>0</v>
      </c>
      <c r="O738" s="276">
        <f>ROUND(G73,0)</f>
        <v>0</v>
      </c>
      <c r="P738" s="276">
        <f>IF(G76&gt;0,ROUND(G76,0),0)</f>
        <v>0</v>
      </c>
      <c r="Q738" s="276">
        <f>IF(G77&gt;0,ROUND(G77,0),0)</f>
        <v>0</v>
      </c>
      <c r="R738" s="276">
        <f>IF(G78&gt;0,ROUND(G78,0),0)</f>
        <v>0</v>
      </c>
      <c r="S738" s="276">
        <f>IF(G79&gt;0,ROUND(G79,0),0)</f>
        <v>0</v>
      </c>
      <c r="T738" s="278">
        <f>IF(G80&gt;0,ROUND(G80,2),0)</f>
        <v>0</v>
      </c>
      <c r="U738" s="276"/>
      <c r="V738" s="277"/>
      <c r="W738" s="276"/>
      <c r="X738" s="276"/>
      <c r="Y738" s="276">
        <f t="shared" si="21"/>
        <v>0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" customHeight="1" x14ac:dyDescent="0.25">
      <c r="A739" s="209" t="str">
        <f>RIGHT($C$83,3)&amp;"*"&amp;RIGHT($C$82,4)&amp;"*"&amp;H$55&amp;"*"&amp;"A"</f>
        <v>106*2017*6140*A</v>
      </c>
      <c r="B739" s="276">
        <f>ROUND(H59,0)</f>
        <v>0</v>
      </c>
      <c r="C739" s="278">
        <f>ROUND(H60,2)</f>
        <v>0.02</v>
      </c>
      <c r="D739" s="276">
        <f>ROUND(H61,0)</f>
        <v>0</v>
      </c>
      <c r="E739" s="276">
        <f>ROUND(H62,0)</f>
        <v>0</v>
      </c>
      <c r="F739" s="276">
        <f>ROUND(H63,0)</f>
        <v>0</v>
      </c>
      <c r="G739" s="276">
        <f>ROUND(H64,0)</f>
        <v>0</v>
      </c>
      <c r="H739" s="276">
        <f>ROUND(H65,0)</f>
        <v>0</v>
      </c>
      <c r="I739" s="276">
        <f>ROUND(H66,0)</f>
        <v>0</v>
      </c>
      <c r="J739" s="276">
        <f>ROUND(H67,0)</f>
        <v>0</v>
      </c>
      <c r="K739" s="276">
        <f>ROUND(H68,0)</f>
        <v>0</v>
      </c>
      <c r="L739" s="276">
        <f>ROUND(H69,0)</f>
        <v>0</v>
      </c>
      <c r="M739" s="276">
        <f>ROUND(H70,0)</f>
        <v>0</v>
      </c>
      <c r="N739" s="276">
        <f>ROUND(H75,0)</f>
        <v>0</v>
      </c>
      <c r="O739" s="276">
        <f>ROUND(H73,0)</f>
        <v>0</v>
      </c>
      <c r="P739" s="276">
        <f>IF(H76&gt;0,ROUND(H76,0),0)</f>
        <v>0</v>
      </c>
      <c r="Q739" s="276">
        <f>IF(H77&gt;0,ROUND(H77,0),0)</f>
        <v>0</v>
      </c>
      <c r="R739" s="276">
        <f>IF(H78&gt;0,ROUND(H78,0),0)</f>
        <v>0</v>
      </c>
      <c r="S739" s="276">
        <f>IF(H79&gt;0,ROUND(H79,0),0)</f>
        <v>0</v>
      </c>
      <c r="T739" s="278">
        <f>IF(H80&gt;0,ROUND(H80,2),0)</f>
        <v>0.05</v>
      </c>
      <c r="U739" s="276"/>
      <c r="V739" s="277"/>
      <c r="W739" s="276"/>
      <c r="X739" s="276"/>
      <c r="Y739" s="276">
        <f t="shared" si="21"/>
        <v>935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" customHeight="1" x14ac:dyDescent="0.25">
      <c r="A740" s="209" t="str">
        <f>RIGHT($C$83,3)&amp;"*"&amp;RIGHT($C$82,4)&amp;"*"&amp;I$55&amp;"*"&amp;"A"</f>
        <v>106*2017*6150*A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>
        <f t="shared" si="21"/>
        <v>0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" customHeight="1" x14ac:dyDescent="0.25">
      <c r="A741" s="209" t="str">
        <f>RIGHT($C$83,3)&amp;"*"&amp;RIGHT($C$82,4)&amp;"*"&amp;J$55&amp;"*"&amp;"A"</f>
        <v>106*2017*6170*A</v>
      </c>
      <c r="B741" s="276">
        <f>ROUND(J59,0)</f>
        <v>375</v>
      </c>
      <c r="C741" s="278">
        <f>ROUND(J60,2)</f>
        <v>0.01</v>
      </c>
      <c r="D741" s="276">
        <f>ROUND(J61,0)</f>
        <v>224</v>
      </c>
      <c r="E741" s="276">
        <f>ROUND(J62,0)</f>
        <v>50</v>
      </c>
      <c r="F741" s="276">
        <f>ROUND(J63,0)</f>
        <v>0</v>
      </c>
      <c r="G741" s="276">
        <f>ROUND(J64,0)</f>
        <v>5898</v>
      </c>
      <c r="H741" s="276">
        <f>ROUND(J65,0)</f>
        <v>0</v>
      </c>
      <c r="I741" s="276">
        <f>ROUND(J66,0)</f>
        <v>0</v>
      </c>
      <c r="J741" s="276">
        <f>ROUND(J67,0)</f>
        <v>300</v>
      </c>
      <c r="K741" s="276">
        <f>ROUND(J68,0)</f>
        <v>0</v>
      </c>
      <c r="L741" s="276">
        <f>ROUND(J69,0)</f>
        <v>0</v>
      </c>
      <c r="M741" s="276">
        <f>ROUND(J70,0)</f>
        <v>0</v>
      </c>
      <c r="N741" s="276">
        <f>ROUND(J75,0)</f>
        <v>645219</v>
      </c>
      <c r="O741" s="276">
        <f>ROUND(J73,0)</f>
        <v>642773</v>
      </c>
      <c r="P741" s="276">
        <f>IF(J76&gt;0,ROUND(J76,0),0)</f>
        <v>163</v>
      </c>
      <c r="Q741" s="276">
        <f>IF(J77&gt;0,ROUND(J77,0),0)</f>
        <v>0</v>
      </c>
      <c r="R741" s="276">
        <f>IF(J78&gt;0,ROUND(J78,0),0)</f>
        <v>89</v>
      </c>
      <c r="S741" s="276">
        <f>IF(J79&gt;0,ROUND(J79,0),0)</f>
        <v>0</v>
      </c>
      <c r="T741" s="278">
        <f>IF(J80&gt;0,ROUND(J80,2),0)</f>
        <v>0.02</v>
      </c>
      <c r="U741" s="276"/>
      <c r="V741" s="277"/>
      <c r="W741" s="276"/>
      <c r="X741" s="276"/>
      <c r="Y741" s="276">
        <f t="shared" si="21"/>
        <v>18922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" customHeight="1" x14ac:dyDescent="0.25">
      <c r="A742" s="209" t="str">
        <f>RIGHT($C$83,3)&amp;"*"&amp;RIGHT($C$82,4)&amp;"*"&amp;K$55&amp;"*"&amp;"A"</f>
        <v>106*2017*6200*A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>
        <f t="shared" si="21"/>
        <v>0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" customHeight="1" x14ac:dyDescent="0.25">
      <c r="A743" s="209" t="str">
        <f>RIGHT($C$83,3)&amp;"*"&amp;RIGHT($C$82,4)&amp;"*"&amp;L$55&amp;"*"&amp;"A"</f>
        <v>106*2017*6210*A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>
        <f t="shared" si="21"/>
        <v>0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" customHeight="1" x14ac:dyDescent="0.25">
      <c r="A744" s="209" t="str">
        <f>RIGHT($C$83,3)&amp;"*"&amp;RIGHT($C$82,4)&amp;"*"&amp;M$55&amp;"*"&amp;"A"</f>
        <v>106*2017*6330*A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>
        <f t="shared" si="21"/>
        <v>0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" customHeight="1" x14ac:dyDescent="0.25">
      <c r="A745" s="209" t="str">
        <f>RIGHT($C$83,3)&amp;"*"&amp;RIGHT($C$82,4)&amp;"*"&amp;N$55&amp;"*"&amp;"A"</f>
        <v>106*2017*6400*A</v>
      </c>
      <c r="B745" s="276">
        <f>ROUND(N59,0)</f>
        <v>0</v>
      </c>
      <c r="C745" s="278">
        <f>ROUND(N60,2)</f>
        <v>0</v>
      </c>
      <c r="D745" s="276">
        <f>ROUND(N61,0)</f>
        <v>0</v>
      </c>
      <c r="E745" s="276">
        <f>ROUND(N62,0)</f>
        <v>0</v>
      </c>
      <c r="F745" s="276">
        <f>ROUND(N63,0)</f>
        <v>0</v>
      </c>
      <c r="G745" s="276">
        <f>ROUND(N64,0)</f>
        <v>0</v>
      </c>
      <c r="H745" s="276">
        <f>ROUND(N65,0)</f>
        <v>0</v>
      </c>
      <c r="I745" s="276">
        <f>ROUND(N66,0)</f>
        <v>0</v>
      </c>
      <c r="J745" s="276">
        <f>ROUND(N67,0)</f>
        <v>0</v>
      </c>
      <c r="K745" s="276">
        <f>ROUND(N68,0)</f>
        <v>0</v>
      </c>
      <c r="L745" s="276">
        <f>ROUND(N69,0)</f>
        <v>0</v>
      </c>
      <c r="M745" s="276">
        <f>ROUND(N70,0)</f>
        <v>0</v>
      </c>
      <c r="N745" s="276">
        <f>ROUND(N75,0)</f>
        <v>0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>
        <f t="shared" si="21"/>
        <v>0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" customHeight="1" x14ac:dyDescent="0.25">
      <c r="A746" s="209" t="str">
        <f>RIGHT($C$83,3)&amp;"*"&amp;RIGHT($C$82,4)&amp;"*"&amp;O$55&amp;"*"&amp;"A"</f>
        <v>106*2017*7010*A</v>
      </c>
      <c r="B746" s="276">
        <f>ROUND(O59,0)</f>
        <v>291</v>
      </c>
      <c r="C746" s="278">
        <f>ROUND(O60,2)</f>
        <v>0.03</v>
      </c>
      <c r="D746" s="276">
        <f>ROUND(O61,0)</f>
        <v>3379</v>
      </c>
      <c r="E746" s="276">
        <f>ROUND(O62,0)</f>
        <v>760</v>
      </c>
      <c r="F746" s="276">
        <f>ROUND(O63,0)</f>
        <v>0</v>
      </c>
      <c r="G746" s="276">
        <f>ROUND(O64,0)</f>
        <v>44903</v>
      </c>
      <c r="H746" s="276">
        <f>ROUND(O65,0)</f>
        <v>0</v>
      </c>
      <c r="I746" s="276">
        <f>ROUND(O66,0)</f>
        <v>1218</v>
      </c>
      <c r="J746" s="276">
        <f>ROUND(O67,0)</f>
        <v>1812</v>
      </c>
      <c r="K746" s="276">
        <f>ROUND(O68,0)</f>
        <v>0</v>
      </c>
      <c r="L746" s="276">
        <f>ROUND(O69,0)</f>
        <v>240</v>
      </c>
      <c r="M746" s="276">
        <f>ROUND(O70,0)</f>
        <v>0</v>
      </c>
      <c r="N746" s="276">
        <f>ROUND(O75,0)</f>
        <v>959856</v>
      </c>
      <c r="O746" s="276">
        <f>ROUND(O73,0)</f>
        <v>660501</v>
      </c>
      <c r="P746" s="276">
        <f>IF(O76&gt;0,ROUND(O76,0),0)</f>
        <v>983</v>
      </c>
      <c r="Q746" s="276">
        <f>IF(O77&gt;0,ROUND(O77,0),0)</f>
        <v>0</v>
      </c>
      <c r="R746" s="276">
        <f>IF(O78&gt;0,ROUND(O78,0),0)</f>
        <v>538</v>
      </c>
      <c r="S746" s="276">
        <f>IF(O79&gt;0,ROUND(O79,0),0)</f>
        <v>0</v>
      </c>
      <c r="T746" s="278">
        <f>IF(O80&gt;0,ROUND(O80,2),0)</f>
        <v>0.08</v>
      </c>
      <c r="U746" s="276"/>
      <c r="V746" s="277"/>
      <c r="W746" s="276"/>
      <c r="X746" s="276"/>
      <c r="Y746" s="276">
        <f t="shared" si="21"/>
        <v>42275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" customHeight="1" x14ac:dyDescent="0.25">
      <c r="A747" s="209" t="str">
        <f>RIGHT($C$83,3)&amp;"*"&amp;RIGHT($C$82,4)&amp;"*"&amp;P$55&amp;"*"&amp;"A"</f>
        <v>106*2017*7020*A</v>
      </c>
      <c r="B747" s="276">
        <f>ROUND(P59,0)</f>
        <v>0</v>
      </c>
      <c r="C747" s="278">
        <f>ROUND(P60,2)</f>
        <v>13.32</v>
      </c>
      <c r="D747" s="276">
        <f>ROUND(P61,0)</f>
        <v>1225957</v>
      </c>
      <c r="E747" s="276">
        <f>ROUND(P62,0)</f>
        <v>275786</v>
      </c>
      <c r="F747" s="276">
        <f>ROUND(P63,0)</f>
        <v>189129</v>
      </c>
      <c r="G747" s="276">
        <f>ROUND(P64,0)</f>
        <v>579888</v>
      </c>
      <c r="H747" s="276">
        <f>ROUND(P65,0)</f>
        <v>0</v>
      </c>
      <c r="I747" s="276">
        <f>ROUND(P66,0)</f>
        <v>80303</v>
      </c>
      <c r="J747" s="276">
        <f>ROUND(P67,0)</f>
        <v>8991</v>
      </c>
      <c r="K747" s="276">
        <f>ROUND(P68,0)</f>
        <v>880</v>
      </c>
      <c r="L747" s="276">
        <f>ROUND(P69,0)</f>
        <v>1427</v>
      </c>
      <c r="M747" s="276">
        <f>ROUND(P70,0)</f>
        <v>0</v>
      </c>
      <c r="N747" s="276">
        <f>ROUND(P75,0)</f>
        <v>14213253</v>
      </c>
      <c r="O747" s="276">
        <f>ROUND(P73,0)</f>
        <v>4904983</v>
      </c>
      <c r="P747" s="276">
        <f>IF(P76&gt;0,ROUND(P76,0),0)</f>
        <v>4879</v>
      </c>
      <c r="Q747" s="276">
        <f>IF(P77&gt;0,ROUND(P77,0),0)</f>
        <v>0</v>
      </c>
      <c r="R747" s="276">
        <f>IF(P78&gt;0,ROUND(P78,0),0)</f>
        <v>2669</v>
      </c>
      <c r="S747" s="276">
        <f>IF(P79&gt;0,ROUND(P79,0),0)</f>
        <v>30178</v>
      </c>
      <c r="T747" s="278">
        <f>IF(P80&gt;0,ROUND(P80,2),0)</f>
        <v>6.44</v>
      </c>
      <c r="U747" s="276"/>
      <c r="V747" s="277"/>
      <c r="W747" s="276"/>
      <c r="X747" s="276"/>
      <c r="Y747" s="276">
        <f t="shared" si="21"/>
        <v>714523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" customHeight="1" x14ac:dyDescent="0.25">
      <c r="A748" s="209" t="str">
        <f>RIGHT($C$83,3)&amp;"*"&amp;RIGHT($C$82,4)&amp;"*"&amp;Q$55&amp;"*"&amp;"A"</f>
        <v>106*2017*7030*A</v>
      </c>
      <c r="B748" s="276">
        <f>ROUND(Q59,0)</f>
        <v>0</v>
      </c>
      <c r="C748" s="278">
        <f>ROUND(Q60,2)</f>
        <v>4.84</v>
      </c>
      <c r="D748" s="276">
        <f>ROUND(Q61,0)</f>
        <v>548822</v>
      </c>
      <c r="E748" s="276">
        <f>ROUND(Q62,0)</f>
        <v>123461</v>
      </c>
      <c r="F748" s="276">
        <f>ROUND(Q63,0)</f>
        <v>0</v>
      </c>
      <c r="G748" s="276">
        <f>ROUND(Q64,0)</f>
        <v>11681</v>
      </c>
      <c r="H748" s="276">
        <f>ROUND(Q65,0)</f>
        <v>0</v>
      </c>
      <c r="I748" s="276">
        <f>ROUND(Q66,0)</f>
        <v>0</v>
      </c>
      <c r="J748" s="276">
        <f>ROUND(Q67,0)</f>
        <v>1448</v>
      </c>
      <c r="K748" s="276">
        <f>ROUND(Q68,0)</f>
        <v>0</v>
      </c>
      <c r="L748" s="276">
        <f>ROUND(Q69,0)</f>
        <v>218</v>
      </c>
      <c r="M748" s="276">
        <f>ROUND(Q70,0)</f>
        <v>0</v>
      </c>
      <c r="N748" s="276">
        <f>ROUND(Q75,0)</f>
        <v>1533939</v>
      </c>
      <c r="O748" s="276">
        <f>ROUND(Q73,0)</f>
        <v>509326</v>
      </c>
      <c r="P748" s="276">
        <f>IF(Q76&gt;0,ROUND(Q76,0),0)</f>
        <v>786</v>
      </c>
      <c r="Q748" s="276">
        <f>IF(Q77&gt;0,ROUND(Q77,0),0)</f>
        <v>0</v>
      </c>
      <c r="R748" s="276">
        <f>IF(Q78&gt;0,ROUND(Q78,0),0)</f>
        <v>430</v>
      </c>
      <c r="S748" s="276">
        <f>IF(Q79&gt;0,ROUND(Q79,0),0)</f>
        <v>0</v>
      </c>
      <c r="T748" s="278">
        <f>IF(Q80&gt;0,ROUND(Q80,2),0)</f>
        <v>4.76</v>
      </c>
      <c r="U748" s="276"/>
      <c r="V748" s="277"/>
      <c r="W748" s="276"/>
      <c r="X748" s="276"/>
      <c r="Y748" s="276">
        <f t="shared" si="21"/>
        <v>175514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" customHeight="1" x14ac:dyDescent="0.25">
      <c r="A749" s="209" t="str">
        <f>RIGHT($C$83,3)&amp;"*"&amp;RIGHT($C$82,4)&amp;"*"&amp;R$55&amp;"*"&amp;"A"</f>
        <v>106*2017*7040*A</v>
      </c>
      <c r="B749" s="276">
        <f>ROUND(R59,0)</f>
        <v>0</v>
      </c>
      <c r="C749" s="278">
        <f>ROUND(R60,2)</f>
        <v>0.99</v>
      </c>
      <c r="D749" s="276">
        <f>ROUND(R61,0)</f>
        <v>54737</v>
      </c>
      <c r="E749" s="276">
        <f>ROUND(R62,0)</f>
        <v>12313</v>
      </c>
      <c r="F749" s="276">
        <f>ROUND(R63,0)</f>
        <v>474087</v>
      </c>
      <c r="G749" s="276">
        <f>ROUND(R64,0)</f>
        <v>36596</v>
      </c>
      <c r="H749" s="276">
        <f>ROUND(R65,0)</f>
        <v>0</v>
      </c>
      <c r="I749" s="276">
        <f>ROUND(R66,0)</f>
        <v>54866</v>
      </c>
      <c r="J749" s="276">
        <f>ROUND(R67,0)</f>
        <v>299</v>
      </c>
      <c r="K749" s="276">
        <f>ROUND(R68,0)</f>
        <v>0</v>
      </c>
      <c r="L749" s="276">
        <f>ROUND(R69,0)</f>
        <v>0</v>
      </c>
      <c r="M749" s="276">
        <f>ROUND(R70,0)</f>
        <v>0</v>
      </c>
      <c r="N749" s="276">
        <f>ROUND(R75,0)</f>
        <v>894520</v>
      </c>
      <c r="O749" s="276">
        <f>ROUND(R73,0)</f>
        <v>358252</v>
      </c>
      <c r="P749" s="276">
        <f>IF(R76&gt;0,ROUND(R76,0),0)</f>
        <v>162</v>
      </c>
      <c r="Q749" s="276">
        <f>IF(R77&gt;0,ROUND(R77,0),0)</f>
        <v>0</v>
      </c>
      <c r="R749" s="276">
        <f>IF(R78&gt;0,ROUND(R78,0),0)</f>
        <v>89</v>
      </c>
      <c r="S749" s="276">
        <f>IF(R79&gt;0,ROUND(R79,0),0)</f>
        <v>0</v>
      </c>
      <c r="T749" s="278">
        <f>IF(R80&gt;0,ROUND(R80,2),0)</f>
        <v>0</v>
      </c>
      <c r="U749" s="276"/>
      <c r="V749" s="277"/>
      <c r="W749" s="276"/>
      <c r="X749" s="276"/>
      <c r="Y749" s="276">
        <f t="shared" si="21"/>
        <v>81061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" customHeight="1" x14ac:dyDescent="0.25">
      <c r="A750" s="209" t="str">
        <f>RIGHT($C$83,3)&amp;"*"&amp;RIGHT($C$82,4)&amp;"*"&amp;S$55&amp;"*"&amp;"A"</f>
        <v>106*2017*7050*A</v>
      </c>
      <c r="B750" s="276"/>
      <c r="C750" s="278">
        <f>ROUND(S60,2)</f>
        <v>1.1399999999999999</v>
      </c>
      <c r="D750" s="276">
        <f>ROUND(S61,0)</f>
        <v>51602</v>
      </c>
      <c r="E750" s="276">
        <f>ROUND(S62,0)</f>
        <v>11608</v>
      </c>
      <c r="F750" s="276">
        <f>ROUND(S63,0)</f>
        <v>251517</v>
      </c>
      <c r="G750" s="276">
        <f>ROUND(S64,0)</f>
        <v>1462293</v>
      </c>
      <c r="H750" s="276">
        <f>ROUND(S65,0)</f>
        <v>0</v>
      </c>
      <c r="I750" s="276">
        <f>ROUND(S66,0)</f>
        <v>25051</v>
      </c>
      <c r="J750" s="276">
        <f>ROUND(S67,0)</f>
        <v>2740</v>
      </c>
      <c r="K750" s="276">
        <f>ROUND(S68,0)</f>
        <v>0</v>
      </c>
      <c r="L750" s="276">
        <f>ROUND(S69,0)</f>
        <v>2818</v>
      </c>
      <c r="M750" s="276">
        <f>ROUND(S70,0)</f>
        <v>0</v>
      </c>
      <c r="N750" s="276">
        <f>ROUND(S75,0)</f>
        <v>3479431</v>
      </c>
      <c r="O750" s="276">
        <f>ROUND(S73,0)</f>
        <v>1448205</v>
      </c>
      <c r="P750" s="276">
        <f>IF(S76&gt;0,ROUND(S76,0),0)</f>
        <v>1487</v>
      </c>
      <c r="Q750" s="276">
        <f>IF(S77&gt;0,ROUND(S77,0),0)</f>
        <v>0</v>
      </c>
      <c r="R750" s="276">
        <f>IF(S78&gt;0,ROUND(S78,0),0)</f>
        <v>813</v>
      </c>
      <c r="S750" s="276">
        <f>IF(S79&gt;0,ROUND(S79,0),0)</f>
        <v>2967</v>
      </c>
      <c r="T750" s="278">
        <f>IF(S80&gt;0,ROUND(S80,2),0)</f>
        <v>0</v>
      </c>
      <c r="U750" s="276"/>
      <c r="V750" s="277"/>
      <c r="W750" s="276"/>
      <c r="X750" s="276"/>
      <c r="Y750" s="276">
        <f t="shared" si="21"/>
        <v>219374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" customHeight="1" x14ac:dyDescent="0.25">
      <c r="A751" s="209" t="str">
        <f>RIGHT($C$83,3)&amp;"*"&amp;RIGHT($C$82,4)&amp;"*"&amp;T$55&amp;"*"&amp;"A"</f>
        <v>106*2017*7060*A</v>
      </c>
      <c r="B751" s="276"/>
      <c r="C751" s="278">
        <f>ROUND(T60,2)</f>
        <v>0.06</v>
      </c>
      <c r="D751" s="276">
        <f>ROUND(T61,0)</f>
        <v>25958</v>
      </c>
      <c r="E751" s="276">
        <f>ROUND(T62,0)</f>
        <v>5839</v>
      </c>
      <c r="F751" s="276">
        <f>ROUND(T63,0)</f>
        <v>0</v>
      </c>
      <c r="G751" s="276">
        <f>ROUND(T64,0)</f>
        <v>23155</v>
      </c>
      <c r="H751" s="276">
        <f>ROUND(T65,0)</f>
        <v>0</v>
      </c>
      <c r="I751" s="276">
        <f>ROUND(T66,0)</f>
        <v>0</v>
      </c>
      <c r="J751" s="276">
        <f>ROUND(T67,0)</f>
        <v>455</v>
      </c>
      <c r="K751" s="276">
        <f>ROUND(T68,0)</f>
        <v>0</v>
      </c>
      <c r="L751" s="276">
        <f>ROUND(T69,0)</f>
        <v>0</v>
      </c>
      <c r="M751" s="276">
        <f>ROUND(T70,0)</f>
        <v>0</v>
      </c>
      <c r="N751" s="276">
        <f>ROUND(T75,0)</f>
        <v>890199</v>
      </c>
      <c r="O751" s="276">
        <f>ROUND(T73,0)</f>
        <v>649823</v>
      </c>
      <c r="P751" s="276">
        <f>IF(T76&gt;0,ROUND(T76,0),0)</f>
        <v>247</v>
      </c>
      <c r="Q751" s="276">
        <f>IF(T77&gt;0,ROUND(T77,0),0)</f>
        <v>0</v>
      </c>
      <c r="R751" s="276">
        <f>IF(T78&gt;0,ROUND(T78,0),0)</f>
        <v>135</v>
      </c>
      <c r="S751" s="276">
        <f>IF(T79&gt;0,ROUND(T79,0),0)</f>
        <v>0</v>
      </c>
      <c r="T751" s="278">
        <f>IF(T80&gt;0,ROUND(T80,2),0)</f>
        <v>0.02</v>
      </c>
      <c r="U751" s="276"/>
      <c r="V751" s="277"/>
      <c r="W751" s="276"/>
      <c r="X751" s="276"/>
      <c r="Y751" s="276">
        <f t="shared" si="21"/>
        <v>29528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" customHeight="1" x14ac:dyDescent="0.25">
      <c r="A752" s="209" t="str">
        <f>RIGHT($C$83,3)&amp;"*"&amp;RIGHT($C$82,4)&amp;"*"&amp;U$55&amp;"*"&amp;"A"</f>
        <v>106*2017*7070*A</v>
      </c>
      <c r="B752" s="276">
        <f>ROUND(U59,0)</f>
        <v>151904</v>
      </c>
      <c r="C752" s="278">
        <f>ROUND(U60,2)</f>
        <v>14.08</v>
      </c>
      <c r="D752" s="276">
        <f>ROUND(U61,0)</f>
        <v>792551</v>
      </c>
      <c r="E752" s="276">
        <f>ROUND(U62,0)</f>
        <v>178289</v>
      </c>
      <c r="F752" s="276">
        <f>ROUND(U63,0)</f>
        <v>0</v>
      </c>
      <c r="G752" s="276">
        <f>ROUND(U64,0)</f>
        <v>812379</v>
      </c>
      <c r="H752" s="276">
        <f>ROUND(U65,0)</f>
        <v>0</v>
      </c>
      <c r="I752" s="276">
        <f>ROUND(U66,0)</f>
        <v>240259</v>
      </c>
      <c r="J752" s="276">
        <f>ROUND(U67,0)</f>
        <v>3501</v>
      </c>
      <c r="K752" s="276">
        <f>ROUND(U68,0)</f>
        <v>0</v>
      </c>
      <c r="L752" s="276">
        <f>ROUND(U69,0)</f>
        <v>1405</v>
      </c>
      <c r="M752" s="276">
        <f>ROUND(U70,0)</f>
        <v>0</v>
      </c>
      <c r="N752" s="276">
        <f>ROUND(U75,0)</f>
        <v>12044012</v>
      </c>
      <c r="O752" s="276">
        <f>ROUND(U73,0)</f>
        <v>3137631</v>
      </c>
      <c r="P752" s="276">
        <f>IF(U76&gt;0,ROUND(U76,0),0)</f>
        <v>1900</v>
      </c>
      <c r="Q752" s="276">
        <f>IF(U77&gt;0,ROUND(U77,0),0)</f>
        <v>0</v>
      </c>
      <c r="R752" s="276">
        <f>IF(U78&gt;0,ROUND(U78,0),0)</f>
        <v>1039</v>
      </c>
      <c r="S752" s="276">
        <f>IF(U79&gt;0,ROUND(U79,0),0)</f>
        <v>172</v>
      </c>
      <c r="T752" s="278">
        <f>IF(U80&gt;0,ROUND(U80,2),0)</f>
        <v>0</v>
      </c>
      <c r="U752" s="276"/>
      <c r="V752" s="277"/>
      <c r="W752" s="276"/>
      <c r="X752" s="276"/>
      <c r="Y752" s="276">
        <f t="shared" si="21"/>
        <v>471190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" customHeight="1" x14ac:dyDescent="0.25">
      <c r="A753" s="209" t="str">
        <f>RIGHT($C$83,3)&amp;"*"&amp;RIGHT($C$82,4)&amp;"*"&amp;V$55&amp;"*"&amp;"A"</f>
        <v>106*2017*7110*A</v>
      </c>
      <c r="B753" s="276">
        <f>ROUND(V59,0)</f>
        <v>1232</v>
      </c>
      <c r="C753" s="278">
        <f>ROUND(V60,2)</f>
        <v>0</v>
      </c>
      <c r="D753" s="276">
        <f>ROUND(V61,0)</f>
        <v>0</v>
      </c>
      <c r="E753" s="276">
        <f>ROUND(V62,0)</f>
        <v>0</v>
      </c>
      <c r="F753" s="276">
        <f>ROUND(V63,0)</f>
        <v>0</v>
      </c>
      <c r="G753" s="276">
        <f>ROUND(V64,0)</f>
        <v>3515</v>
      </c>
      <c r="H753" s="276">
        <f>ROUND(V65,0)</f>
        <v>0</v>
      </c>
      <c r="I753" s="276">
        <f>ROUND(V66,0)</f>
        <v>6359</v>
      </c>
      <c r="J753" s="276">
        <f>ROUND(V67,0)</f>
        <v>158</v>
      </c>
      <c r="K753" s="276">
        <f>ROUND(V68,0)</f>
        <v>0</v>
      </c>
      <c r="L753" s="276">
        <f>ROUND(V69,0)</f>
        <v>0</v>
      </c>
      <c r="M753" s="276">
        <f>ROUND(V70,0)</f>
        <v>0</v>
      </c>
      <c r="N753" s="276">
        <f>ROUND(V75,0)</f>
        <v>386409</v>
      </c>
      <c r="O753" s="276">
        <f>ROUND(V73,0)</f>
        <v>20784</v>
      </c>
      <c r="P753" s="276">
        <f>IF(V76&gt;0,ROUND(V76,0),0)</f>
        <v>86</v>
      </c>
      <c r="Q753" s="276">
        <f>IF(V77&gt;0,ROUND(V77,0),0)</f>
        <v>0</v>
      </c>
      <c r="R753" s="276">
        <f>IF(V78&gt;0,ROUND(V78,0),0)</f>
        <v>47</v>
      </c>
      <c r="S753" s="276">
        <f>IF(V79&gt;0,ROUND(V79,0),0)</f>
        <v>0</v>
      </c>
      <c r="T753" s="278">
        <f>IF(V80&gt;0,ROUND(V80,2),0)</f>
        <v>0</v>
      </c>
      <c r="U753" s="276"/>
      <c r="V753" s="277"/>
      <c r="W753" s="276"/>
      <c r="X753" s="276"/>
      <c r="Y753" s="276">
        <f t="shared" si="21"/>
        <v>11311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" customHeight="1" x14ac:dyDescent="0.25">
      <c r="A754" s="209" t="str">
        <f>RIGHT($C$83,3)&amp;"*"&amp;RIGHT($C$82,4)&amp;"*"&amp;W$55&amp;"*"&amp;"A"</f>
        <v>106*2017*7120*A</v>
      </c>
      <c r="B754" s="276">
        <f>ROUND(W59,0)</f>
        <v>3004</v>
      </c>
      <c r="C754" s="278">
        <f>ROUND(W60,2)</f>
        <v>0.25</v>
      </c>
      <c r="D754" s="276">
        <f>ROUND(W61,0)</f>
        <v>18916</v>
      </c>
      <c r="E754" s="276">
        <f>ROUND(W62,0)</f>
        <v>4255</v>
      </c>
      <c r="F754" s="276">
        <f>ROUND(W63,0)</f>
        <v>0</v>
      </c>
      <c r="G754" s="276">
        <f>ROUND(W64,0)</f>
        <v>5053</v>
      </c>
      <c r="H754" s="276">
        <f>ROUND(W65,0)</f>
        <v>0</v>
      </c>
      <c r="I754" s="276">
        <f>ROUND(W66,0)</f>
        <v>192337</v>
      </c>
      <c r="J754" s="276">
        <f>ROUND(W67,0)</f>
        <v>0</v>
      </c>
      <c r="K754" s="276">
        <f>ROUND(W68,0)</f>
        <v>44240</v>
      </c>
      <c r="L754" s="276">
        <f>ROUND(W69,0)</f>
        <v>0</v>
      </c>
      <c r="M754" s="276">
        <f>ROUND(W70,0)</f>
        <v>0</v>
      </c>
      <c r="N754" s="276">
        <f>ROUND(W75,0)</f>
        <v>3205896</v>
      </c>
      <c r="O754" s="276">
        <f>ROUND(W73,0)</f>
        <v>182345</v>
      </c>
      <c r="P754" s="276">
        <f>IF(W76&gt;0,ROUND(W76,0),0)</f>
        <v>0</v>
      </c>
      <c r="Q754" s="276">
        <f>IF(W77&gt;0,ROUND(W77,0),0)</f>
        <v>0</v>
      </c>
      <c r="R754" s="276">
        <f>IF(W78&gt;0,ROUND(W78,0),0)</f>
        <v>0</v>
      </c>
      <c r="S754" s="276">
        <f>IF(W79&gt;0,ROUND(W79,0),0)</f>
        <v>1958</v>
      </c>
      <c r="T754" s="278">
        <f>IF(W80&gt;0,ROUND(W80,2),0)</f>
        <v>0</v>
      </c>
      <c r="U754" s="276"/>
      <c r="V754" s="277"/>
      <c r="W754" s="276"/>
      <c r="X754" s="276"/>
      <c r="Y754" s="276">
        <f t="shared" si="21"/>
        <v>95736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" customHeight="1" x14ac:dyDescent="0.25">
      <c r="A755" s="209" t="str">
        <f>RIGHT($C$83,3)&amp;"*"&amp;RIGHT($C$82,4)&amp;"*"&amp;X$55&amp;"*"&amp;"A"</f>
        <v>106*2017*7130*A</v>
      </c>
      <c r="B755" s="276">
        <f>ROUND(X59,0)</f>
        <v>23180</v>
      </c>
      <c r="C755" s="278">
        <f>ROUND(X60,2)</f>
        <v>1</v>
      </c>
      <c r="D755" s="276">
        <f>ROUND(X61,0)</f>
        <v>102292</v>
      </c>
      <c r="E755" s="276">
        <f>ROUND(X62,0)</f>
        <v>23011</v>
      </c>
      <c r="F755" s="276">
        <f>ROUND(X63,0)</f>
        <v>0</v>
      </c>
      <c r="G755" s="276">
        <f>ROUND(X64,0)</f>
        <v>40281</v>
      </c>
      <c r="H755" s="276">
        <f>ROUND(X65,0)</f>
        <v>0</v>
      </c>
      <c r="I755" s="276">
        <f>ROUND(X66,0)</f>
        <v>175969</v>
      </c>
      <c r="J755" s="276">
        <f>ROUND(X67,0)</f>
        <v>888</v>
      </c>
      <c r="K755" s="276">
        <f>ROUND(X68,0)</f>
        <v>0</v>
      </c>
      <c r="L755" s="276">
        <f>ROUND(X69,0)</f>
        <v>222</v>
      </c>
      <c r="M755" s="276">
        <f>ROUND(X70,0)</f>
        <v>0</v>
      </c>
      <c r="N755" s="276">
        <f>ROUND(X75,0)</f>
        <v>15721221</v>
      </c>
      <c r="O755" s="276">
        <f>ROUND(X73,0)</f>
        <v>1698003</v>
      </c>
      <c r="P755" s="276">
        <f>IF(X76&gt;0,ROUND(X76,0),0)</f>
        <v>482</v>
      </c>
      <c r="Q755" s="276">
        <f>IF(X77&gt;0,ROUND(X77,0),0)</f>
        <v>0</v>
      </c>
      <c r="R755" s="276">
        <f>IF(X78&gt;0,ROUND(X78,0),0)</f>
        <v>264</v>
      </c>
      <c r="S755" s="276">
        <f>IF(X79&gt;0,ROUND(X79,0),0)</f>
        <v>0</v>
      </c>
      <c r="T755" s="278">
        <f>IF(X80&gt;0,ROUND(X80,2),0)</f>
        <v>0</v>
      </c>
      <c r="U755" s="276"/>
      <c r="V755" s="277"/>
      <c r="W755" s="276"/>
      <c r="X755" s="276"/>
      <c r="Y755" s="276">
        <f t="shared" si="21"/>
        <v>414678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" customHeight="1" x14ac:dyDescent="0.25">
      <c r="A756" s="209" t="str">
        <f>RIGHT($C$83,3)&amp;"*"&amp;RIGHT($C$82,4)&amp;"*"&amp;Y$55&amp;"*"&amp;"A"</f>
        <v>106*2017*7140*A</v>
      </c>
      <c r="B756" s="276">
        <f>ROUND(Y59,0)</f>
        <v>13175</v>
      </c>
      <c r="C756" s="278">
        <f>ROUND(Y60,2)</f>
        <v>15.19</v>
      </c>
      <c r="D756" s="276">
        <f>ROUND(Y61,0)</f>
        <v>1237669</v>
      </c>
      <c r="E756" s="276">
        <f>ROUND(Y62,0)</f>
        <v>278421</v>
      </c>
      <c r="F756" s="276">
        <f>ROUND(Y63,0)</f>
        <v>152790</v>
      </c>
      <c r="G756" s="276">
        <f>ROUND(Y64,0)</f>
        <v>61484</v>
      </c>
      <c r="H756" s="276">
        <f>ROUND(Y65,0)</f>
        <v>0</v>
      </c>
      <c r="I756" s="276">
        <f>ROUND(Y66,0)</f>
        <v>451403</v>
      </c>
      <c r="J756" s="276">
        <f>ROUND(Y67,0)</f>
        <v>7307</v>
      </c>
      <c r="K756" s="276">
        <f>ROUND(Y68,0)</f>
        <v>0</v>
      </c>
      <c r="L756" s="276">
        <f>ROUND(Y69,0)</f>
        <v>546</v>
      </c>
      <c r="M756" s="276">
        <f>ROUND(Y70,0)</f>
        <v>0</v>
      </c>
      <c r="N756" s="276">
        <f>ROUND(Y75,0)</f>
        <v>11039887</v>
      </c>
      <c r="O756" s="276">
        <f>ROUND(Y73,0)</f>
        <v>1161955</v>
      </c>
      <c r="P756" s="276">
        <f>IF(Y76&gt;0,ROUND(Y76,0),0)</f>
        <v>3965</v>
      </c>
      <c r="Q756" s="276">
        <f>IF(Y77&gt;0,ROUND(Y77,0),0)</f>
        <v>0</v>
      </c>
      <c r="R756" s="276">
        <f>IF(Y78&gt;0,ROUND(Y78,0),0)</f>
        <v>2169</v>
      </c>
      <c r="S756" s="276">
        <f>IF(Y79&gt;0,ROUND(Y79,0),0)</f>
        <v>37783</v>
      </c>
      <c r="T756" s="278">
        <f>IF(Y80&gt;0,ROUND(Y80,2),0)</f>
        <v>0</v>
      </c>
      <c r="U756" s="276"/>
      <c r="V756" s="277"/>
      <c r="W756" s="276"/>
      <c r="X756" s="276"/>
      <c r="Y756" s="276">
        <f t="shared" si="21"/>
        <v>481746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" customHeight="1" x14ac:dyDescent="0.25">
      <c r="A757" s="209" t="str">
        <f>RIGHT($C$83,3)&amp;"*"&amp;RIGHT($C$82,4)&amp;"*"&amp;Z$55&amp;"*"&amp;"A"</f>
        <v>106*2017*7150*A</v>
      </c>
      <c r="B757" s="276">
        <f>ROUND(Z59,0)</f>
        <v>0</v>
      </c>
      <c r="C757" s="278">
        <f>ROUND(Z60,2)</f>
        <v>0</v>
      </c>
      <c r="D757" s="276">
        <f>ROUND(Z61,0)</f>
        <v>0</v>
      </c>
      <c r="E757" s="276">
        <f>ROUND(Z62,0)</f>
        <v>0</v>
      </c>
      <c r="F757" s="276">
        <f>ROUND(Z63,0)</f>
        <v>0</v>
      </c>
      <c r="G757" s="276">
        <f>ROUND(Z64,0)</f>
        <v>0</v>
      </c>
      <c r="H757" s="276">
        <f>ROUND(Z65,0)</f>
        <v>0</v>
      </c>
      <c r="I757" s="276">
        <f>ROUND(Z66,0)</f>
        <v>0</v>
      </c>
      <c r="J757" s="276">
        <f>ROUND(Z67,0)</f>
        <v>0</v>
      </c>
      <c r="K757" s="276">
        <f>ROUND(Z68,0)</f>
        <v>0</v>
      </c>
      <c r="L757" s="276">
        <f>ROUND(Z69,0)</f>
        <v>0</v>
      </c>
      <c r="M757" s="276">
        <f>ROUND(Z70,0)</f>
        <v>0</v>
      </c>
      <c r="N757" s="276">
        <f>ROUND(Z75,0)</f>
        <v>0</v>
      </c>
      <c r="O757" s="276">
        <f>ROUND(Z73,0)</f>
        <v>0</v>
      </c>
      <c r="P757" s="276">
        <f>IF(Z76&gt;0,ROUND(Z76,0),0)</f>
        <v>0</v>
      </c>
      <c r="Q757" s="276">
        <f>IF(Z77&gt;0,ROUND(Z77,0),0)</f>
        <v>0</v>
      </c>
      <c r="R757" s="276">
        <f>IF(Z78&gt;0,ROUND(Z78,0),0)</f>
        <v>0</v>
      </c>
      <c r="S757" s="276">
        <f>IF(Z79&gt;0,ROUND(Z79,0),0)</f>
        <v>0</v>
      </c>
      <c r="T757" s="278">
        <f>IF(Z80&gt;0,ROUND(Z80,2),0)</f>
        <v>0</v>
      </c>
      <c r="U757" s="276"/>
      <c r="V757" s="277"/>
      <c r="W757" s="276"/>
      <c r="X757" s="276"/>
      <c r="Y757" s="276">
        <f t="shared" si="21"/>
        <v>0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" customHeight="1" x14ac:dyDescent="0.25">
      <c r="A758" s="209" t="str">
        <f>RIGHT($C$83,3)&amp;"*"&amp;RIGHT($C$82,4)&amp;"*"&amp;AA$55&amp;"*"&amp;"A"</f>
        <v>106*2017*7160*A</v>
      </c>
      <c r="B758" s="276">
        <f>ROUND(AA59,0)</f>
        <v>584</v>
      </c>
      <c r="C758" s="278">
        <f>ROUND(AA60,2)</f>
        <v>1.1000000000000001</v>
      </c>
      <c r="D758" s="276">
        <f>ROUND(AA61,0)</f>
        <v>107806</v>
      </c>
      <c r="E758" s="276">
        <f>ROUND(AA62,0)</f>
        <v>24252</v>
      </c>
      <c r="F758" s="276">
        <f>ROUND(AA63,0)</f>
        <v>0</v>
      </c>
      <c r="G758" s="276">
        <f>ROUND(AA64,0)</f>
        <v>82283</v>
      </c>
      <c r="H758" s="276">
        <f>ROUND(AA65,0)</f>
        <v>0</v>
      </c>
      <c r="I758" s="276">
        <f>ROUND(AA66,0)</f>
        <v>22407</v>
      </c>
      <c r="J758" s="276">
        <f>ROUND(AA67,0)</f>
        <v>1030</v>
      </c>
      <c r="K758" s="276">
        <f>ROUND(AA68,0)</f>
        <v>0</v>
      </c>
      <c r="L758" s="276">
        <f>ROUND(AA69,0)</f>
        <v>0</v>
      </c>
      <c r="M758" s="276">
        <f>ROUND(AA70,0)</f>
        <v>0</v>
      </c>
      <c r="N758" s="276">
        <f>ROUND(AA75,0)</f>
        <v>985186</v>
      </c>
      <c r="O758" s="276">
        <f>ROUND(AA73,0)</f>
        <v>127846</v>
      </c>
      <c r="P758" s="276">
        <f>IF(AA76&gt;0,ROUND(AA76,0),0)</f>
        <v>559</v>
      </c>
      <c r="Q758" s="276">
        <f>IF(AA77&gt;0,ROUND(AA77,0),0)</f>
        <v>0</v>
      </c>
      <c r="R758" s="276">
        <f>IF(AA78&gt;0,ROUND(AA78,0),0)</f>
        <v>306</v>
      </c>
      <c r="S758" s="276">
        <f>IF(AA79&gt;0,ROUND(AA79,0),0)</f>
        <v>0</v>
      </c>
      <c r="T758" s="278">
        <f>IF(AA80&gt;0,ROUND(AA80,2),0)</f>
        <v>0</v>
      </c>
      <c r="U758" s="276"/>
      <c r="V758" s="277"/>
      <c r="W758" s="276"/>
      <c r="X758" s="276"/>
      <c r="Y758" s="276">
        <f t="shared" si="21"/>
        <v>48269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" customHeight="1" x14ac:dyDescent="0.25">
      <c r="A759" s="209" t="str">
        <f>RIGHT($C$83,3)&amp;"*"&amp;RIGHT($C$82,4)&amp;"*"&amp;AB$55&amp;"*"&amp;"A"</f>
        <v>106*2017*7170*A</v>
      </c>
      <c r="B759" s="276"/>
      <c r="C759" s="278">
        <f>ROUND(AB60,2)</f>
        <v>7.72</v>
      </c>
      <c r="D759" s="276">
        <f>ROUND(AB61,0)</f>
        <v>821453</v>
      </c>
      <c r="E759" s="276">
        <f>ROUND(AB62,0)</f>
        <v>184790</v>
      </c>
      <c r="F759" s="276">
        <f>ROUND(AB63,0)</f>
        <v>0</v>
      </c>
      <c r="G759" s="276">
        <f>ROUND(AB64,0)</f>
        <v>896450</v>
      </c>
      <c r="H759" s="276">
        <f>ROUND(AB65,0)</f>
        <v>0</v>
      </c>
      <c r="I759" s="276">
        <f>ROUND(AB66,0)</f>
        <v>123577</v>
      </c>
      <c r="J759" s="276">
        <f>ROUND(AB67,0)</f>
        <v>1771</v>
      </c>
      <c r="K759" s="276">
        <f>ROUND(AB68,0)</f>
        <v>0</v>
      </c>
      <c r="L759" s="276">
        <f>ROUND(AB69,0)</f>
        <v>3510</v>
      </c>
      <c r="M759" s="276">
        <f>ROUND(AB70,0)</f>
        <v>0</v>
      </c>
      <c r="N759" s="276">
        <f>ROUND(AB75,0)</f>
        <v>5148798</v>
      </c>
      <c r="O759" s="276">
        <f>ROUND(AB73,0)</f>
        <v>2726067</v>
      </c>
      <c r="P759" s="276">
        <f>IF(AB76&gt;0,ROUND(AB76,0),0)</f>
        <v>961</v>
      </c>
      <c r="Q759" s="276">
        <f>IF(AB77&gt;0,ROUND(AB77,0),0)</f>
        <v>0</v>
      </c>
      <c r="R759" s="276">
        <f>IF(AB78&gt;0,ROUND(AB78,0),0)</f>
        <v>526</v>
      </c>
      <c r="S759" s="276">
        <f>IF(AB79&gt;0,ROUND(AB79,0),0)</f>
        <v>0</v>
      </c>
      <c r="T759" s="278">
        <f>IF(AB80&gt;0,ROUND(AB80,2),0)</f>
        <v>0</v>
      </c>
      <c r="U759" s="276"/>
      <c r="V759" s="277"/>
      <c r="W759" s="276"/>
      <c r="X759" s="276"/>
      <c r="Y759" s="276">
        <f t="shared" si="21"/>
        <v>293438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" customHeight="1" x14ac:dyDescent="0.25">
      <c r="A760" s="209" t="str">
        <f>RIGHT($C$83,3)&amp;"*"&amp;RIGHT($C$82,4)&amp;"*"&amp;AC$55&amp;"*"&amp;"A"</f>
        <v>106*2017*7180*A</v>
      </c>
      <c r="B760" s="276">
        <f>ROUND(AC59,0)</f>
        <v>9819</v>
      </c>
      <c r="C760" s="278">
        <f>ROUND(AC60,2)</f>
        <v>6.26</v>
      </c>
      <c r="D760" s="276">
        <f>ROUND(AC61,0)</f>
        <v>467777</v>
      </c>
      <c r="E760" s="276">
        <f>ROUND(AC62,0)</f>
        <v>105229</v>
      </c>
      <c r="F760" s="276">
        <f>ROUND(AC63,0)</f>
        <v>21491</v>
      </c>
      <c r="G760" s="276">
        <f>ROUND(AC64,0)</f>
        <v>80347</v>
      </c>
      <c r="H760" s="276">
        <f>ROUND(AC65,0)</f>
        <v>0</v>
      </c>
      <c r="I760" s="276">
        <f>ROUND(AC66,0)</f>
        <v>10900</v>
      </c>
      <c r="J760" s="276">
        <f>ROUND(AC67,0)</f>
        <v>1690</v>
      </c>
      <c r="K760" s="276">
        <f>ROUND(AC68,0)</f>
        <v>18201</v>
      </c>
      <c r="L760" s="276">
        <f>ROUND(AC69,0)</f>
        <v>226</v>
      </c>
      <c r="M760" s="276">
        <f>ROUND(AC70,0)</f>
        <v>0</v>
      </c>
      <c r="N760" s="276">
        <f>ROUND(AC75,0)</f>
        <v>2440357</v>
      </c>
      <c r="O760" s="276">
        <f>ROUND(AC73,0)</f>
        <v>1814933</v>
      </c>
      <c r="P760" s="276">
        <f>IF(AC76&gt;0,ROUND(AC76,0),0)</f>
        <v>917</v>
      </c>
      <c r="Q760" s="276">
        <f>IF(AC77&gt;0,ROUND(AC77,0),0)</f>
        <v>0</v>
      </c>
      <c r="R760" s="276">
        <f>IF(AC78&gt;0,ROUND(AC78,0),0)</f>
        <v>502</v>
      </c>
      <c r="S760" s="276">
        <f>IF(AC79&gt;0,ROUND(AC79,0),0)</f>
        <v>937</v>
      </c>
      <c r="T760" s="278">
        <f>IF(AC80&gt;0,ROUND(AC80,2),0)</f>
        <v>0</v>
      </c>
      <c r="U760" s="276"/>
      <c r="V760" s="277"/>
      <c r="W760" s="276"/>
      <c r="X760" s="276"/>
      <c r="Y760" s="276">
        <f t="shared" si="21"/>
        <v>112846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" customHeight="1" x14ac:dyDescent="0.25">
      <c r="A761" s="209" t="str">
        <f>RIGHT($C$83,3)&amp;"*"&amp;RIGHT($C$82,4)&amp;"*"&amp;AD$55&amp;"*"&amp;"A"</f>
        <v>106*2017*7190*A</v>
      </c>
      <c r="B761" s="276">
        <f>ROUND(AD59,0)</f>
        <v>0</v>
      </c>
      <c r="C761" s="278">
        <f>ROUND(AD60,2)</f>
        <v>0</v>
      </c>
      <c r="D761" s="276">
        <f>ROUND(AD61,0)</f>
        <v>0</v>
      </c>
      <c r="E761" s="276">
        <f>ROUND(AD62,0)</f>
        <v>0</v>
      </c>
      <c r="F761" s="276">
        <f>ROUND(AD63,0)</f>
        <v>0</v>
      </c>
      <c r="G761" s="276">
        <f>ROUND(AD64,0)</f>
        <v>0</v>
      </c>
      <c r="H761" s="276">
        <f>ROUND(AD65,0)</f>
        <v>0</v>
      </c>
      <c r="I761" s="276">
        <f>ROUND(AD66,0)</f>
        <v>0</v>
      </c>
      <c r="J761" s="276">
        <f>ROUND(AD67,0)</f>
        <v>0</v>
      </c>
      <c r="K761" s="276">
        <f>ROUND(AD68,0)</f>
        <v>0</v>
      </c>
      <c r="L761" s="276">
        <f>ROUND(AD69,0)</f>
        <v>0</v>
      </c>
      <c r="M761" s="276">
        <f>ROUND(AD70,0)</f>
        <v>0</v>
      </c>
      <c r="N761" s="276">
        <f>ROUND(AD75,0)</f>
        <v>0</v>
      </c>
      <c r="O761" s="276">
        <f>ROUND(AD73,0)</f>
        <v>0</v>
      </c>
      <c r="P761" s="276">
        <f>IF(AD76&gt;0,ROUND(AD76,0),0)</f>
        <v>0</v>
      </c>
      <c r="Q761" s="276">
        <f>IF(AD77&gt;0,ROUND(AD77,0),0)</f>
        <v>0</v>
      </c>
      <c r="R761" s="276">
        <f>IF(AD78&gt;0,ROUND(AD78,0),0)</f>
        <v>0</v>
      </c>
      <c r="S761" s="276">
        <f>IF(AD79&gt;0,ROUND(AD79,0),0)</f>
        <v>0</v>
      </c>
      <c r="T761" s="278">
        <f>IF(AD80&gt;0,ROUND(AD80,2),0)</f>
        <v>0</v>
      </c>
      <c r="U761" s="276"/>
      <c r="V761" s="277"/>
      <c r="W761" s="276"/>
      <c r="X761" s="276"/>
      <c r="Y761" s="276">
        <f t="shared" si="21"/>
        <v>0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" customHeight="1" x14ac:dyDescent="0.25">
      <c r="A762" s="209" t="str">
        <f>RIGHT($C$83,3)&amp;"*"&amp;RIGHT($C$82,4)&amp;"*"&amp;AE$55&amp;"*"&amp;"A"</f>
        <v>106*2017*7200*A</v>
      </c>
      <c r="B762" s="276">
        <f>ROUND(AE59,0)</f>
        <v>887</v>
      </c>
      <c r="C762" s="278">
        <f>ROUND(AE60,2)</f>
        <v>0.35</v>
      </c>
      <c r="D762" s="276">
        <f>ROUND(AE61,0)</f>
        <v>30037</v>
      </c>
      <c r="E762" s="276">
        <f>ROUND(AE62,0)</f>
        <v>6757</v>
      </c>
      <c r="F762" s="276">
        <f>ROUND(AE63,0)</f>
        <v>0</v>
      </c>
      <c r="G762" s="276">
        <f>ROUND(AE64,0)</f>
        <v>6571</v>
      </c>
      <c r="H762" s="276">
        <f>ROUND(AE65,0)</f>
        <v>0</v>
      </c>
      <c r="I762" s="276">
        <f>ROUND(AE66,0)</f>
        <v>0</v>
      </c>
      <c r="J762" s="276">
        <f>ROUND(AE67,0)</f>
        <v>3365</v>
      </c>
      <c r="K762" s="276">
        <f>ROUND(AE68,0)</f>
        <v>0</v>
      </c>
      <c r="L762" s="276">
        <f>ROUND(AE69,0)</f>
        <v>1746</v>
      </c>
      <c r="M762" s="276">
        <f>ROUND(AE70,0)</f>
        <v>0</v>
      </c>
      <c r="N762" s="276">
        <f>ROUND(AE75,0)</f>
        <v>118544</v>
      </c>
      <c r="O762" s="276">
        <f>ROUND(AE73,0)</f>
        <v>109573</v>
      </c>
      <c r="P762" s="276">
        <f>IF(AE76&gt;0,ROUND(AE76,0),0)</f>
        <v>1826</v>
      </c>
      <c r="Q762" s="276">
        <f>IF(AE77&gt;0,ROUND(AE77,0),0)</f>
        <v>0</v>
      </c>
      <c r="R762" s="276">
        <f>IF(AE78&gt;0,ROUND(AE78,0),0)</f>
        <v>999</v>
      </c>
      <c r="S762" s="276">
        <f>IF(AE79&gt;0,ROUND(AE79,0),0)</f>
        <v>0</v>
      </c>
      <c r="T762" s="278">
        <f>IF(AE80&gt;0,ROUND(AE80,2),0)</f>
        <v>0</v>
      </c>
      <c r="U762" s="276"/>
      <c r="V762" s="277"/>
      <c r="W762" s="276"/>
      <c r="X762" s="276"/>
      <c r="Y762" s="276">
        <f t="shared" si="21"/>
        <v>28482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" customHeight="1" x14ac:dyDescent="0.25">
      <c r="A763" s="209" t="str">
        <f>RIGHT($C$83,3)&amp;"*"&amp;RIGHT($C$82,4)&amp;"*"&amp;AF$55&amp;"*"&amp;"A"</f>
        <v>106*2017*7220*A</v>
      </c>
      <c r="B763" s="276">
        <f>ROUND(AF59,0)</f>
        <v>0</v>
      </c>
      <c r="C763" s="278">
        <f>ROUND(AF60,2)</f>
        <v>0</v>
      </c>
      <c r="D763" s="276">
        <f>ROUND(AF61,0)</f>
        <v>0</v>
      </c>
      <c r="E763" s="276">
        <f>ROUND(AF62,0)</f>
        <v>0</v>
      </c>
      <c r="F763" s="276">
        <f>ROUND(AF63,0)</f>
        <v>0</v>
      </c>
      <c r="G763" s="276">
        <f>ROUND(AF64,0)</f>
        <v>0</v>
      </c>
      <c r="H763" s="276">
        <f>ROUND(AF65,0)</f>
        <v>0</v>
      </c>
      <c r="I763" s="276">
        <f>ROUND(AF66,0)</f>
        <v>0</v>
      </c>
      <c r="J763" s="276">
        <f>ROUND(AF67,0)</f>
        <v>0</v>
      </c>
      <c r="K763" s="276">
        <f>ROUND(AF68,0)</f>
        <v>0</v>
      </c>
      <c r="L763" s="276">
        <f>ROUND(AF69,0)</f>
        <v>0</v>
      </c>
      <c r="M763" s="276">
        <f>ROUND(AF70,0)</f>
        <v>0</v>
      </c>
      <c r="N763" s="276">
        <f>ROUND(AF75,0)</f>
        <v>0</v>
      </c>
      <c r="O763" s="276">
        <f>ROUND(AF73,0)</f>
        <v>0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>
        <f t="shared" si="21"/>
        <v>0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" customHeight="1" x14ac:dyDescent="0.25">
      <c r="A764" s="209" t="str">
        <f>RIGHT($C$83,3)&amp;"*"&amp;RIGHT($C$82,4)&amp;"*"&amp;AG$55&amp;"*"&amp;"A"</f>
        <v>106*2017*7230*A</v>
      </c>
      <c r="B764" s="276">
        <f>ROUND(AG59,0)</f>
        <v>18225</v>
      </c>
      <c r="C764" s="278">
        <f>ROUND(AG60,2)</f>
        <v>28.44</v>
      </c>
      <c r="D764" s="276">
        <f>ROUND(AG61,0)</f>
        <v>2487099</v>
      </c>
      <c r="E764" s="276">
        <f>ROUND(AG62,0)</f>
        <v>559487</v>
      </c>
      <c r="F764" s="276">
        <f>ROUND(AG63,0)</f>
        <v>935511</v>
      </c>
      <c r="G764" s="276">
        <f>ROUND(AG64,0)</f>
        <v>313287</v>
      </c>
      <c r="H764" s="276">
        <f>ROUND(AG65,0)</f>
        <v>0</v>
      </c>
      <c r="I764" s="276">
        <f>ROUND(AG66,0)</f>
        <v>217856</v>
      </c>
      <c r="J764" s="276">
        <f>ROUND(AG67,0)</f>
        <v>16623</v>
      </c>
      <c r="K764" s="276">
        <f>ROUND(AG68,0)</f>
        <v>0</v>
      </c>
      <c r="L764" s="276">
        <f>ROUND(AG69,0)</f>
        <v>7082</v>
      </c>
      <c r="M764" s="276">
        <f>ROUND(AG70,0)</f>
        <v>0</v>
      </c>
      <c r="N764" s="276">
        <f>ROUND(AG75,0)</f>
        <v>33687906</v>
      </c>
      <c r="O764" s="276">
        <f>ROUND(AG73,0)</f>
        <v>3132435</v>
      </c>
      <c r="P764" s="276">
        <f>IF(AG76&gt;0,ROUND(AG76,0),0)</f>
        <v>9020</v>
      </c>
      <c r="Q764" s="276">
        <f>IF(AG77&gt;0,ROUND(AG77,0),0)</f>
        <v>0</v>
      </c>
      <c r="R764" s="276">
        <f>IF(AG78&gt;0,ROUND(AG78,0),0)</f>
        <v>4933</v>
      </c>
      <c r="S764" s="276">
        <f>IF(AG79&gt;0,ROUND(AG79,0),0)</f>
        <v>90997</v>
      </c>
      <c r="T764" s="278">
        <f>IF(AG80&gt;0,ROUND(AG80,2),0)</f>
        <v>19.12</v>
      </c>
      <c r="U764" s="276"/>
      <c r="V764" s="277"/>
      <c r="W764" s="276"/>
      <c r="X764" s="276"/>
      <c r="Y764" s="276">
        <f t="shared" si="21"/>
        <v>1670581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" customHeight="1" x14ac:dyDescent="0.25">
      <c r="A765" s="209" t="str">
        <f>RIGHT($C$83,3)&amp;"*"&amp;RIGHT($C$82,4)&amp;"*"&amp;AH$55&amp;"*"&amp;"A"</f>
        <v>106*2017*7240*A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>
        <f t="shared" si="21"/>
        <v>0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" customHeight="1" x14ac:dyDescent="0.25">
      <c r="A766" s="209" t="str">
        <f>RIGHT($C$83,3)&amp;"*"&amp;RIGHT($C$82,4)&amp;"*"&amp;AI$55&amp;"*"&amp;"A"</f>
        <v>106*2017*7250*A</v>
      </c>
      <c r="B766" s="276">
        <f>ROUND(AI59,0)</f>
        <v>0</v>
      </c>
      <c r="C766" s="278">
        <f>ROUND(AI60,2)</f>
        <v>0</v>
      </c>
      <c r="D766" s="276">
        <f>ROUND(AI61,0)</f>
        <v>0</v>
      </c>
      <c r="E766" s="276">
        <f>ROUND(AI62,0)</f>
        <v>0</v>
      </c>
      <c r="F766" s="276">
        <f>ROUND(AI63,0)</f>
        <v>0</v>
      </c>
      <c r="G766" s="276">
        <f>ROUND(AI64,0)</f>
        <v>0</v>
      </c>
      <c r="H766" s="276">
        <f>ROUND(AI65,0)</f>
        <v>0</v>
      </c>
      <c r="I766" s="276">
        <f>ROUND(AI66,0)</f>
        <v>0</v>
      </c>
      <c r="J766" s="276">
        <f>ROUND(AI67,0)</f>
        <v>0</v>
      </c>
      <c r="K766" s="276">
        <f>ROUND(AI68,0)</f>
        <v>0</v>
      </c>
      <c r="L766" s="276">
        <f>ROUND(AI69,0)</f>
        <v>0</v>
      </c>
      <c r="M766" s="276">
        <f>ROUND(AI70,0)</f>
        <v>0</v>
      </c>
      <c r="N766" s="276">
        <f>ROUND(AI75,0)</f>
        <v>0</v>
      </c>
      <c r="O766" s="276">
        <f>ROUND(AI73,0)</f>
        <v>0</v>
      </c>
      <c r="P766" s="276">
        <f>IF(AI76&gt;0,ROUND(AI76,0),0)</f>
        <v>0</v>
      </c>
      <c r="Q766" s="276">
        <f>IF(AI77&gt;0,ROUND(AI77,0),0)</f>
        <v>0</v>
      </c>
      <c r="R766" s="276">
        <f>IF(AI78&gt;0,ROUND(AI78,0),0)</f>
        <v>0</v>
      </c>
      <c r="S766" s="276">
        <f>IF(AI79&gt;0,ROUND(AI79,0),0)</f>
        <v>0</v>
      </c>
      <c r="T766" s="278">
        <f>IF(AI80&gt;0,ROUND(AI80,2),0)</f>
        <v>0</v>
      </c>
      <c r="U766" s="276"/>
      <c r="V766" s="277"/>
      <c r="W766" s="276"/>
      <c r="X766" s="276"/>
      <c r="Y766" s="276">
        <f t="shared" si="21"/>
        <v>0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" customHeight="1" x14ac:dyDescent="0.25">
      <c r="A767" s="209" t="str">
        <f>RIGHT($C$83,3)&amp;"*"&amp;RIGHT($C$82,4)&amp;"*"&amp;AJ$55&amp;"*"&amp;"A"</f>
        <v>106*2017*7260*A</v>
      </c>
      <c r="B767" s="276">
        <f>ROUND(AJ59,0)</f>
        <v>13587</v>
      </c>
      <c r="C767" s="278">
        <f>ROUND(AJ60,2)</f>
        <v>0.71</v>
      </c>
      <c r="D767" s="276">
        <f>ROUND(AJ61,0)</f>
        <v>41400</v>
      </c>
      <c r="E767" s="276">
        <f>ROUND(AJ62,0)</f>
        <v>9313</v>
      </c>
      <c r="F767" s="276">
        <f>ROUND(AJ63,0)</f>
        <v>0</v>
      </c>
      <c r="G767" s="276">
        <f>ROUND(AJ64,0)</f>
        <v>115</v>
      </c>
      <c r="H767" s="276">
        <f>ROUND(AJ65,0)</f>
        <v>0</v>
      </c>
      <c r="I767" s="276">
        <f>ROUND(AJ66,0)</f>
        <v>0</v>
      </c>
      <c r="J767" s="276">
        <f>ROUND(AJ67,0)</f>
        <v>398</v>
      </c>
      <c r="K767" s="276">
        <f>ROUND(AJ68,0)</f>
        <v>0</v>
      </c>
      <c r="L767" s="276">
        <f>ROUND(AJ69,0)</f>
        <v>26</v>
      </c>
      <c r="M767" s="276">
        <f>ROUND(AJ70,0)</f>
        <v>0</v>
      </c>
      <c r="N767" s="276">
        <f>ROUND(AJ75,0)</f>
        <v>79228</v>
      </c>
      <c r="O767" s="276">
        <f>ROUND(AJ73,0)</f>
        <v>0</v>
      </c>
      <c r="P767" s="276">
        <f>IF(AJ76&gt;0,ROUND(AJ76,0),0)</f>
        <v>216</v>
      </c>
      <c r="Q767" s="276">
        <f>IF(AJ77&gt;0,ROUND(AJ77,0),0)</f>
        <v>0</v>
      </c>
      <c r="R767" s="276">
        <f>IF(AJ78&gt;0,ROUND(AJ78,0),0)</f>
        <v>118</v>
      </c>
      <c r="S767" s="276">
        <f>IF(AJ79&gt;0,ROUND(AJ79,0),0)</f>
        <v>17</v>
      </c>
      <c r="T767" s="278">
        <f>IF(AJ80&gt;0,ROUND(AJ80,2),0)</f>
        <v>0.08</v>
      </c>
      <c r="U767" s="276"/>
      <c r="V767" s="277"/>
      <c r="W767" s="276"/>
      <c r="X767" s="276"/>
      <c r="Y767" s="276">
        <f t="shared" si="21"/>
        <v>9005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" customHeight="1" x14ac:dyDescent="0.25">
      <c r="A768" s="209" t="str">
        <f>RIGHT($C$83,3)&amp;"*"&amp;RIGHT($C$82,4)&amp;"*"&amp;AK$55&amp;"*"&amp;"A"</f>
        <v>106*2017*7310*A</v>
      </c>
      <c r="B768" s="276">
        <f>ROUND(AK59,0)</f>
        <v>0</v>
      </c>
      <c r="C768" s="278">
        <f>ROUND(AK60,2)</f>
        <v>0</v>
      </c>
      <c r="D768" s="276">
        <f>ROUND(AK61,0)</f>
        <v>0</v>
      </c>
      <c r="E768" s="276">
        <f>ROUND(AK62,0)</f>
        <v>0</v>
      </c>
      <c r="F768" s="276">
        <f>ROUND(AK63,0)</f>
        <v>0</v>
      </c>
      <c r="G768" s="276">
        <f>ROUND(AK64,0)</f>
        <v>0</v>
      </c>
      <c r="H768" s="276">
        <f>ROUND(AK65,0)</f>
        <v>0</v>
      </c>
      <c r="I768" s="276">
        <f>ROUND(AK66,0)</f>
        <v>0</v>
      </c>
      <c r="J768" s="276">
        <f>ROUND(AK67,0)</f>
        <v>0</v>
      </c>
      <c r="K768" s="276">
        <f>ROUND(AK68,0)</f>
        <v>0</v>
      </c>
      <c r="L768" s="276">
        <f>ROUND(AK69,0)</f>
        <v>0</v>
      </c>
      <c r="M768" s="276">
        <f>ROUND(AK70,0)</f>
        <v>0</v>
      </c>
      <c r="N768" s="276">
        <f>ROUND(AK75,0)</f>
        <v>0</v>
      </c>
      <c r="O768" s="276">
        <f>ROUND(AK73,0)</f>
        <v>0</v>
      </c>
      <c r="P768" s="276">
        <f>IF(AK76&gt;0,ROUND(AK76,0),0)</f>
        <v>0</v>
      </c>
      <c r="Q768" s="276">
        <f>IF(AK77&gt;0,ROUND(AK77,0),0)</f>
        <v>0</v>
      </c>
      <c r="R768" s="276">
        <f>IF(AK78&gt;0,ROUND(AK78,0),0)</f>
        <v>0</v>
      </c>
      <c r="S768" s="276">
        <f>IF(AK79&gt;0,ROUND(AK79,0),0)</f>
        <v>0</v>
      </c>
      <c r="T768" s="278">
        <f>IF(AK80&gt;0,ROUND(AK80,2),0)</f>
        <v>0</v>
      </c>
      <c r="U768" s="276"/>
      <c r="V768" s="277"/>
      <c r="W768" s="276"/>
      <c r="X768" s="276"/>
      <c r="Y768" s="276">
        <f t="shared" si="21"/>
        <v>0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" customHeight="1" x14ac:dyDescent="0.25">
      <c r="A769" s="209" t="str">
        <f>RIGHT($C$83,3)&amp;"*"&amp;RIGHT($C$82,4)&amp;"*"&amp;AL$55&amp;"*"&amp;"A"</f>
        <v>106*2017*7320*A</v>
      </c>
      <c r="B769" s="276">
        <f>ROUND(AL59,0)</f>
        <v>0</v>
      </c>
      <c r="C769" s="278">
        <f>ROUND(AL60,2)</f>
        <v>0</v>
      </c>
      <c r="D769" s="276">
        <f>ROUND(AL61,0)</f>
        <v>0</v>
      </c>
      <c r="E769" s="276">
        <f>ROUND(AL62,0)</f>
        <v>0</v>
      </c>
      <c r="F769" s="276">
        <f>ROUND(AL63,0)</f>
        <v>0</v>
      </c>
      <c r="G769" s="276">
        <f>ROUND(AL64,0)</f>
        <v>0</v>
      </c>
      <c r="H769" s="276">
        <f>ROUND(AL65,0)</f>
        <v>0</v>
      </c>
      <c r="I769" s="276">
        <f>ROUND(AL66,0)</f>
        <v>0</v>
      </c>
      <c r="J769" s="276">
        <f>ROUND(AL67,0)</f>
        <v>0</v>
      </c>
      <c r="K769" s="276">
        <f>ROUND(AL68,0)</f>
        <v>0</v>
      </c>
      <c r="L769" s="276">
        <f>ROUND(AL69,0)</f>
        <v>0</v>
      </c>
      <c r="M769" s="276">
        <f>ROUND(AL70,0)</f>
        <v>0</v>
      </c>
      <c r="N769" s="276">
        <f>ROUND(AL75,0)</f>
        <v>0</v>
      </c>
      <c r="O769" s="276">
        <f>ROUND(AL73,0)</f>
        <v>0</v>
      </c>
      <c r="P769" s="276">
        <f>IF(AL76&gt;0,ROUND(AL76,0),0)</f>
        <v>0</v>
      </c>
      <c r="Q769" s="276">
        <f>IF(AL77&gt;0,ROUND(AL77,0),0)</f>
        <v>0</v>
      </c>
      <c r="R769" s="276">
        <f>IF(AL78&gt;0,ROUND(AL78,0),0)</f>
        <v>0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>
        <f t="shared" si="21"/>
        <v>0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" customHeight="1" x14ac:dyDescent="0.25">
      <c r="A770" s="209" t="str">
        <f>RIGHT($C$83,3)&amp;"*"&amp;RIGHT($C$82,4)&amp;"*"&amp;AM$55&amp;"*"&amp;"A"</f>
        <v>106*2017*7330*A</v>
      </c>
      <c r="B770" s="276">
        <f>ROUND(AM59,0)</f>
        <v>0</v>
      </c>
      <c r="C770" s="278">
        <f>ROUND(AM60,2)</f>
        <v>0</v>
      </c>
      <c r="D770" s="276">
        <f>ROUND(AM61,0)</f>
        <v>0</v>
      </c>
      <c r="E770" s="276">
        <f>ROUND(AM62,0)</f>
        <v>0</v>
      </c>
      <c r="F770" s="276">
        <f>ROUND(AM63,0)</f>
        <v>0</v>
      </c>
      <c r="G770" s="276">
        <f>ROUND(AM64,0)</f>
        <v>0</v>
      </c>
      <c r="H770" s="276">
        <f>ROUND(AM65,0)</f>
        <v>0</v>
      </c>
      <c r="I770" s="276">
        <f>ROUND(AM66,0)</f>
        <v>0</v>
      </c>
      <c r="J770" s="276">
        <f>ROUND(AM67,0)</f>
        <v>0</v>
      </c>
      <c r="K770" s="276">
        <f>ROUND(AM68,0)</f>
        <v>0</v>
      </c>
      <c r="L770" s="276">
        <f>ROUND(AM69,0)</f>
        <v>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>
        <f t="shared" si="21"/>
        <v>0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" customHeight="1" x14ac:dyDescent="0.25">
      <c r="A771" s="209" t="str">
        <f>RIGHT($C$83,3)&amp;"*"&amp;RIGHT($C$82,4)&amp;"*"&amp;AN$55&amp;"*"&amp;"A"</f>
        <v>106*2017*7340*A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>
        <f t="shared" si="21"/>
        <v>0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" customHeight="1" x14ac:dyDescent="0.25">
      <c r="A772" s="209" t="str">
        <f>RIGHT($C$83,3)&amp;"*"&amp;RIGHT($C$82,4)&amp;"*"&amp;AO$55&amp;"*"&amp;"A"</f>
        <v>106*2017*7350*A</v>
      </c>
      <c r="B772" s="276">
        <f>ROUND(AO59,0)</f>
        <v>0</v>
      </c>
      <c r="C772" s="278">
        <f>ROUND(AO60,2)</f>
        <v>2.76</v>
      </c>
      <c r="D772" s="276">
        <f>ROUND(AO61,0)</f>
        <v>269917</v>
      </c>
      <c r="E772" s="276">
        <f>ROUND(AO62,0)</f>
        <v>60719</v>
      </c>
      <c r="F772" s="276">
        <f>ROUND(AO63,0)</f>
        <v>0</v>
      </c>
      <c r="G772" s="276">
        <f>ROUND(AO64,0)</f>
        <v>28238</v>
      </c>
      <c r="H772" s="276">
        <f>ROUND(AO65,0)</f>
        <v>0</v>
      </c>
      <c r="I772" s="276">
        <f>ROUND(AO66,0)</f>
        <v>0</v>
      </c>
      <c r="J772" s="276">
        <f>ROUND(AO67,0)</f>
        <v>3636</v>
      </c>
      <c r="K772" s="276">
        <f>ROUND(AO68,0)</f>
        <v>0</v>
      </c>
      <c r="L772" s="276">
        <f>ROUND(AO69,0)</f>
        <v>103</v>
      </c>
      <c r="M772" s="276">
        <f>ROUND(AO70,0)</f>
        <v>0</v>
      </c>
      <c r="N772" s="276">
        <f>ROUND(AO75,0)</f>
        <v>635289</v>
      </c>
      <c r="O772" s="276">
        <f>ROUND(AO73,0)</f>
        <v>179148</v>
      </c>
      <c r="P772" s="276">
        <f>IF(AO76&gt;0,ROUND(AO76,0),0)</f>
        <v>1973</v>
      </c>
      <c r="Q772" s="276">
        <f>IF(AO77&gt;0,ROUND(AO77,0),0)</f>
        <v>0</v>
      </c>
      <c r="R772" s="276">
        <f>IF(AO78&gt;0,ROUND(AO78,0),0)</f>
        <v>1079</v>
      </c>
      <c r="S772" s="276">
        <f>IF(AO79&gt;0,ROUND(AO79,0),0)</f>
        <v>0</v>
      </c>
      <c r="T772" s="278">
        <f>IF(AO80&gt;0,ROUND(AO80,2),0)</f>
        <v>2.0699999999999998</v>
      </c>
      <c r="U772" s="276"/>
      <c r="V772" s="277"/>
      <c r="W772" s="276"/>
      <c r="X772" s="276"/>
      <c r="Y772" s="276">
        <f t="shared" si="21"/>
        <v>100333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" customHeight="1" x14ac:dyDescent="0.25">
      <c r="A773" s="209" t="str">
        <f>RIGHT($C$83,3)&amp;"*"&amp;RIGHT($C$82,4)&amp;"*"&amp;AP$55&amp;"*"&amp;"A"</f>
        <v>106*2017*7380*A</v>
      </c>
      <c r="B773" s="276">
        <f>ROUND(AP59,0)</f>
        <v>20802</v>
      </c>
      <c r="C773" s="278">
        <f>ROUND(AP60,2)</f>
        <v>26.32</v>
      </c>
      <c r="D773" s="276">
        <f>ROUND(AP61,0)</f>
        <v>3099959</v>
      </c>
      <c r="E773" s="276">
        <f>ROUND(AP62,0)</f>
        <v>697353</v>
      </c>
      <c r="F773" s="276">
        <f>ROUND(AP63,0)</f>
        <v>2017236</v>
      </c>
      <c r="G773" s="276">
        <f>ROUND(AP64,0)</f>
        <v>303770</v>
      </c>
      <c r="H773" s="276">
        <f>ROUND(AP65,0)</f>
        <v>0</v>
      </c>
      <c r="I773" s="276">
        <f>ROUND(AP66,0)</f>
        <v>96644</v>
      </c>
      <c r="J773" s="276">
        <f>ROUND(AP67,0)</f>
        <v>0</v>
      </c>
      <c r="K773" s="276">
        <f>ROUND(AP68,0)</f>
        <v>391026</v>
      </c>
      <c r="L773" s="276">
        <f>ROUND(AP69,0)</f>
        <v>62579</v>
      </c>
      <c r="M773" s="276">
        <f>ROUND(AP70,0)</f>
        <v>0</v>
      </c>
      <c r="N773" s="276">
        <f>ROUND(AP75,0)</f>
        <v>6533232</v>
      </c>
      <c r="O773" s="276">
        <f>ROUND(AP73,0)</f>
        <v>0</v>
      </c>
      <c r="P773" s="276">
        <f>IF(AP76&gt;0,ROUND(AP76,0),0)</f>
        <v>0</v>
      </c>
      <c r="Q773" s="276">
        <f>IF(AP77&gt;0,ROUND(AP77,0),0)</f>
        <v>0</v>
      </c>
      <c r="R773" s="276">
        <f>IF(AP78&gt;0,ROUND(AP78,0),0)</f>
        <v>0</v>
      </c>
      <c r="S773" s="276">
        <f>IF(AP79&gt;0,ROUND(AP79,0),0)</f>
        <v>9323</v>
      </c>
      <c r="T773" s="278">
        <f>IF(AP80&gt;0,ROUND(AP80,2),0)</f>
        <v>1.83</v>
      </c>
      <c r="U773" s="276"/>
      <c r="V773" s="277"/>
      <c r="W773" s="276"/>
      <c r="X773" s="276"/>
      <c r="Y773" s="276">
        <f t="shared" si="21"/>
        <v>668469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" customHeight="1" x14ac:dyDescent="0.25">
      <c r="A774" s="209" t="str">
        <f>RIGHT($C$83,3)&amp;"*"&amp;RIGHT($C$82,4)&amp;"*"&amp;AQ$55&amp;"*"&amp;"A"</f>
        <v>106*2017*7390*A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>
        <f t="shared" si="21"/>
        <v>0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" customHeight="1" x14ac:dyDescent="0.25">
      <c r="A775" s="209" t="str">
        <f>RIGHT($C$83,3)&amp;"*"&amp;RIGHT($C$82,4)&amp;"*"&amp;AR$55&amp;"*"&amp;"A"</f>
        <v>106*2017*7400*A</v>
      </c>
      <c r="B775" s="276">
        <f>ROUND(AR59,0)</f>
        <v>0</v>
      </c>
      <c r="C775" s="278">
        <f>ROUND(AR60,2)</f>
        <v>0</v>
      </c>
      <c r="D775" s="276">
        <f>ROUND(AR61,0)</f>
        <v>0</v>
      </c>
      <c r="E775" s="276">
        <f>ROUND(AR62,0)</f>
        <v>0</v>
      </c>
      <c r="F775" s="276">
        <f>ROUND(AR63,0)</f>
        <v>0</v>
      </c>
      <c r="G775" s="276">
        <f>ROUND(AR64,0)</f>
        <v>0</v>
      </c>
      <c r="H775" s="276">
        <f>ROUND(AR65,0)</f>
        <v>0</v>
      </c>
      <c r="I775" s="276">
        <f>ROUND(AR66,0)</f>
        <v>0</v>
      </c>
      <c r="J775" s="276">
        <f>ROUND(AR67,0)</f>
        <v>0</v>
      </c>
      <c r="K775" s="276">
        <f>ROUND(AR68,0)</f>
        <v>0</v>
      </c>
      <c r="L775" s="276">
        <f>ROUND(AR69,0)</f>
        <v>0</v>
      </c>
      <c r="M775" s="276">
        <f>ROUND(AR70,0)</f>
        <v>0</v>
      </c>
      <c r="N775" s="276">
        <f>ROUND(AR75,0)</f>
        <v>0</v>
      </c>
      <c r="O775" s="276">
        <f>ROUND(AR73,0)</f>
        <v>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0</v>
      </c>
      <c r="U775" s="276"/>
      <c r="V775" s="277"/>
      <c r="W775" s="276"/>
      <c r="X775" s="276"/>
      <c r="Y775" s="276">
        <f t="shared" si="21"/>
        <v>0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" customHeight="1" x14ac:dyDescent="0.25">
      <c r="A776" s="209" t="str">
        <f>RIGHT($C$83,3)&amp;"*"&amp;RIGHT($C$82,4)&amp;"*"&amp;AS$55&amp;"*"&amp;"A"</f>
        <v>106*2017*7410*A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>
        <f t="shared" si="21"/>
        <v>0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" customHeight="1" x14ac:dyDescent="0.25">
      <c r="A777" s="209" t="str">
        <f>RIGHT($C$83,3)&amp;"*"&amp;RIGHT($C$82,4)&amp;"*"&amp;AT$55&amp;"*"&amp;"A"</f>
        <v>106*2017*7420*A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>
        <f t="shared" si="21"/>
        <v>0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" customHeight="1" x14ac:dyDescent="0.25">
      <c r="A778" s="209" t="str">
        <f>RIGHT($C$83,3)&amp;"*"&amp;RIGHT($C$82,4)&amp;"*"&amp;AU$55&amp;"*"&amp;"A"</f>
        <v>106*2017*7430*A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>
        <f t="shared" si="21"/>
        <v>0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" customHeight="1" x14ac:dyDescent="0.25">
      <c r="A779" s="209" t="str">
        <f>RIGHT($C$83,3)&amp;"*"&amp;RIGHT($C$82,4)&amp;"*"&amp;AV$55&amp;"*"&amp;"A"</f>
        <v>106*2017*7490*A</v>
      </c>
      <c r="B779" s="276"/>
      <c r="C779" s="278">
        <f>ROUND(AV60,2)</f>
        <v>0</v>
      </c>
      <c r="D779" s="276">
        <f>ROUND(AV61,0)</f>
        <v>0</v>
      </c>
      <c r="E779" s="276">
        <f>ROUND(AV62,0)</f>
        <v>0</v>
      </c>
      <c r="F779" s="276">
        <f>ROUND(AV63,0)</f>
        <v>18000</v>
      </c>
      <c r="G779" s="276">
        <f>ROUND(AV64,0)</f>
        <v>352471</v>
      </c>
      <c r="H779" s="276">
        <f>ROUND(AV65,0)</f>
        <v>0</v>
      </c>
      <c r="I779" s="276">
        <f>ROUND(AV66,0)</f>
        <v>581360</v>
      </c>
      <c r="J779" s="276">
        <f>ROUND(AV67,0)</f>
        <v>175</v>
      </c>
      <c r="K779" s="276">
        <f>ROUND(AV68,0)</f>
        <v>122306</v>
      </c>
      <c r="L779" s="276">
        <f>ROUND(AV69,0)</f>
        <v>127</v>
      </c>
      <c r="M779" s="276">
        <f>ROUND(AV70,0)</f>
        <v>0</v>
      </c>
      <c r="N779" s="276">
        <f>ROUND(AV75,0)</f>
        <v>4104223</v>
      </c>
      <c r="O779" s="276">
        <f>ROUND(AV73,0)</f>
        <v>4680</v>
      </c>
      <c r="P779" s="276">
        <f>IF(AV76&gt;0,ROUND(AV76,0),0)</f>
        <v>95</v>
      </c>
      <c r="Q779" s="276">
        <f>IF(AV77&gt;0,ROUND(AV77,0),0)</f>
        <v>0</v>
      </c>
      <c r="R779" s="276">
        <f>IF(AV78&gt;0,ROUND(AV78,0),0)</f>
        <v>52</v>
      </c>
      <c r="S779" s="276">
        <f>IF(AV79&gt;0,ROUND(AV79,0),0)</f>
        <v>3432</v>
      </c>
      <c r="T779" s="278">
        <f>IF(AV80&gt;0,ROUND(AV80,2),0)</f>
        <v>0</v>
      </c>
      <c r="U779" s="276"/>
      <c r="V779" s="277"/>
      <c r="W779" s="276"/>
      <c r="X779" s="276"/>
      <c r="Y779" s="276">
        <f t="shared" si="21"/>
        <v>166274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" customHeight="1" x14ac:dyDescent="0.25">
      <c r="A780" s="209" t="str">
        <f>RIGHT($C$83,3)&amp;"*"&amp;RIGHT($C$82,4)&amp;"*"&amp;AW$55&amp;"*"&amp;"A"</f>
        <v>106*2017*8200*A</v>
      </c>
      <c r="B780" s="276"/>
      <c r="C780" s="278">
        <f>ROUND(AW60,2)</f>
        <v>0</v>
      </c>
      <c r="D780" s="276">
        <f>ROUND(AW61,0)</f>
        <v>0</v>
      </c>
      <c r="E780" s="276">
        <f>ROUND(AW62,0)</f>
        <v>0</v>
      </c>
      <c r="F780" s="276">
        <f>ROUND(AW63,0)</f>
        <v>0</v>
      </c>
      <c r="G780" s="276">
        <f>ROUND(AW64,0)</f>
        <v>0</v>
      </c>
      <c r="H780" s="276">
        <f>ROUND(AW65,0)</f>
        <v>0</v>
      </c>
      <c r="I780" s="276">
        <f>ROUND(AW66,0)</f>
        <v>0</v>
      </c>
      <c r="J780" s="276">
        <f>ROUND(AW67,0)</f>
        <v>0</v>
      </c>
      <c r="K780" s="276">
        <f>ROUND(AW68,0)</f>
        <v>0</v>
      </c>
      <c r="L780" s="276">
        <f>ROUND(AW69,0)</f>
        <v>0</v>
      </c>
      <c r="M780" s="276">
        <f>ROUND(AW70,0)</f>
        <v>0</v>
      </c>
      <c r="N780" s="276"/>
      <c r="O780" s="276"/>
      <c r="P780" s="276">
        <f>IF(AW76&gt;0,ROUND(AW76,0),0)</f>
        <v>0</v>
      </c>
      <c r="Q780" s="276">
        <f>IF(AW77&gt;0,ROUND(AW77,0),0)</f>
        <v>0</v>
      </c>
      <c r="R780" s="276">
        <f>IF(AW78&gt;0,ROUND(AW78,0),0)</f>
        <v>0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" customHeight="1" x14ac:dyDescent="0.25">
      <c r="A781" s="209" t="str">
        <f>RIGHT($C$83,3)&amp;"*"&amp;RIGHT($C$82,4)&amp;"*"&amp;AX$55&amp;"*"&amp;"A"</f>
        <v>106*2017*8310*A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0</v>
      </c>
      <c r="G781" s="276">
        <f>ROUND(AX64,0)</f>
        <v>0</v>
      </c>
      <c r="H781" s="276">
        <f>ROUND(AX65,0)</f>
        <v>0</v>
      </c>
      <c r="I781" s="276">
        <f>ROUND(AX66,0)</f>
        <v>0</v>
      </c>
      <c r="J781" s="276">
        <f>ROUND(AX67,0)</f>
        <v>0</v>
      </c>
      <c r="K781" s="276">
        <f>ROUND(AX68,0)</f>
        <v>0</v>
      </c>
      <c r="L781" s="276">
        <f>ROUND(AX69,0)</f>
        <v>0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" customHeight="1" x14ac:dyDescent="0.25">
      <c r="A782" s="209" t="str">
        <f>RIGHT($C$83,3)&amp;"*"&amp;RIGHT($C$82,4)&amp;"*"&amp;AY$55&amp;"*"&amp;"A"</f>
        <v>106*2017*8320*A</v>
      </c>
      <c r="B782" s="276">
        <f>ROUND(AY59,0)</f>
        <v>0</v>
      </c>
      <c r="C782" s="278">
        <f>ROUND(AY60,2)</f>
        <v>13.38</v>
      </c>
      <c r="D782" s="276">
        <f>ROUND(AY61,0)</f>
        <v>550051</v>
      </c>
      <c r="E782" s="276">
        <f>ROUND(AY62,0)</f>
        <v>123737</v>
      </c>
      <c r="F782" s="276">
        <f>ROUND(AY63,0)</f>
        <v>0</v>
      </c>
      <c r="G782" s="276">
        <f>ROUND(AY64,0)</f>
        <v>339838</v>
      </c>
      <c r="H782" s="276">
        <f>ROUND(AY65,0)</f>
        <v>0</v>
      </c>
      <c r="I782" s="276">
        <f>ROUND(AY66,0)</f>
        <v>43476</v>
      </c>
      <c r="J782" s="276">
        <f>ROUND(AY67,0)</f>
        <v>8918</v>
      </c>
      <c r="K782" s="276">
        <f>ROUND(AY68,0)</f>
        <v>0</v>
      </c>
      <c r="L782" s="276">
        <f>ROUND(AY69,0)</f>
        <v>816</v>
      </c>
      <c r="M782" s="276">
        <f>ROUND(AY70,0)</f>
        <v>0</v>
      </c>
      <c r="N782" s="276"/>
      <c r="O782" s="276"/>
      <c r="P782" s="276">
        <f>IF(AY76&gt;0,ROUND(AY76,0),0)</f>
        <v>4839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" customHeight="1" x14ac:dyDescent="0.25">
      <c r="A783" s="209" t="str">
        <f>RIGHT($C$83,3)&amp;"*"&amp;RIGHT($C$82,4)&amp;"*"&amp;AZ$55&amp;"*"&amp;"A"</f>
        <v>106*2017*8330*A</v>
      </c>
      <c r="B783" s="276">
        <f>ROUND(AZ59,0)</f>
        <v>0</v>
      </c>
      <c r="C783" s="278">
        <f>ROUND(AZ60,2)</f>
        <v>0</v>
      </c>
      <c r="D783" s="276">
        <f>ROUND(AZ61,0)</f>
        <v>0</v>
      </c>
      <c r="E783" s="276">
        <f>ROUND(AZ62,0)</f>
        <v>0</v>
      </c>
      <c r="F783" s="276">
        <f>ROUND(AZ63,0)</f>
        <v>0</v>
      </c>
      <c r="G783" s="276">
        <f>ROUND(AZ64,0)</f>
        <v>0</v>
      </c>
      <c r="H783" s="276">
        <f>ROUND(AZ65,0)</f>
        <v>0</v>
      </c>
      <c r="I783" s="276">
        <f>ROUND(AZ66,0)</f>
        <v>0</v>
      </c>
      <c r="J783" s="276">
        <f>ROUND(AZ67,0)</f>
        <v>0</v>
      </c>
      <c r="K783" s="276">
        <f>ROUND(AZ68,0)</f>
        <v>0</v>
      </c>
      <c r="L783" s="276">
        <f>ROUND(AZ69,0)</f>
        <v>0</v>
      </c>
      <c r="M783" s="276">
        <f>ROUND(AZ70,0)</f>
        <v>0</v>
      </c>
      <c r="N783" s="276"/>
      <c r="O783" s="276"/>
      <c r="P783" s="276">
        <f>IF(AZ76&gt;0,ROUND(AZ76,0),0)</f>
        <v>0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" customHeight="1" x14ac:dyDescent="0.25">
      <c r="A784" s="209" t="str">
        <f>RIGHT($C$83,3)&amp;"*"&amp;RIGHT($C$82,4)&amp;"*"&amp;BA$55&amp;"*"&amp;"A"</f>
        <v>106*2017*8350*A</v>
      </c>
      <c r="B784" s="276">
        <f>ROUND(BA59,0)</f>
        <v>0</v>
      </c>
      <c r="C784" s="278">
        <f>ROUND(BA60,2)</f>
        <v>1.02</v>
      </c>
      <c r="D784" s="276">
        <f>ROUND(BA61,0)</f>
        <v>33976</v>
      </c>
      <c r="E784" s="276">
        <f>ROUND(BA62,0)</f>
        <v>7643</v>
      </c>
      <c r="F784" s="276">
        <f>ROUND(BA63,0)</f>
        <v>0</v>
      </c>
      <c r="G784" s="276">
        <f>ROUND(BA64,0)</f>
        <v>2596</v>
      </c>
      <c r="H784" s="276">
        <f>ROUND(BA65,0)</f>
        <v>0</v>
      </c>
      <c r="I784" s="276">
        <f>ROUND(BA66,0)</f>
        <v>147482</v>
      </c>
      <c r="J784" s="276">
        <f>ROUND(BA67,0)</f>
        <v>684</v>
      </c>
      <c r="K784" s="276">
        <f>ROUND(BA68,0)</f>
        <v>0</v>
      </c>
      <c r="L784" s="276">
        <f>ROUND(BA69,0)</f>
        <v>0</v>
      </c>
      <c r="M784" s="276">
        <f>ROUND(BA70,0)</f>
        <v>0</v>
      </c>
      <c r="N784" s="276"/>
      <c r="O784" s="276"/>
      <c r="P784" s="276">
        <f>IF(BA76&gt;0,ROUND(BA76,0),0)</f>
        <v>371</v>
      </c>
      <c r="Q784" s="276">
        <f>IF(BA77&gt;0,ROUND(BA77,0),0)</f>
        <v>0</v>
      </c>
      <c r="R784" s="276">
        <f>IF(BA78&gt;0,ROUND(BA78,0),0)</f>
        <v>203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" customHeight="1" x14ac:dyDescent="0.25">
      <c r="A785" s="209" t="str">
        <f>RIGHT($C$83,3)&amp;"*"&amp;RIGHT($C$82,4)&amp;"*"&amp;BB$55&amp;"*"&amp;"A"</f>
        <v>106*2017*8360*A</v>
      </c>
      <c r="B785" s="276"/>
      <c r="C785" s="278">
        <f>ROUND(BB60,2)</f>
        <v>0</v>
      </c>
      <c r="D785" s="276">
        <f>ROUND(BB61,0)</f>
        <v>0</v>
      </c>
      <c r="E785" s="276">
        <f>ROUND(BB62,0)</f>
        <v>0</v>
      </c>
      <c r="F785" s="276">
        <f>ROUND(BB63,0)</f>
        <v>0</v>
      </c>
      <c r="G785" s="276">
        <f>ROUND(BB64,0)</f>
        <v>0</v>
      </c>
      <c r="H785" s="276">
        <f>ROUND(BB65,0)</f>
        <v>0</v>
      </c>
      <c r="I785" s="276">
        <f>ROUND(BB66,0)</f>
        <v>0</v>
      </c>
      <c r="J785" s="276">
        <f>ROUND(BB67,0)</f>
        <v>0</v>
      </c>
      <c r="K785" s="276">
        <f>ROUND(BB68,0)</f>
        <v>0</v>
      </c>
      <c r="L785" s="276">
        <f>ROUND(BB69,0)</f>
        <v>0</v>
      </c>
      <c r="M785" s="276">
        <f>ROUND(BB70,0)</f>
        <v>0</v>
      </c>
      <c r="N785" s="276"/>
      <c r="O785" s="276"/>
      <c r="P785" s="276">
        <f>IF(BB76&gt;0,ROUND(BB76,0),0)</f>
        <v>0</v>
      </c>
      <c r="Q785" s="276">
        <f>IF(BB77&gt;0,ROUND(BB77,0),0)</f>
        <v>0</v>
      </c>
      <c r="R785" s="276">
        <f>IF(BB78&gt;0,ROUND(BB78,0),0)</f>
        <v>0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" customHeight="1" x14ac:dyDescent="0.25">
      <c r="A786" s="209" t="str">
        <f>RIGHT($C$83,3)&amp;"*"&amp;RIGHT($C$82,4)&amp;"*"&amp;BC$55&amp;"*"&amp;"A"</f>
        <v>106*2017*8370*A</v>
      </c>
      <c r="B786" s="276"/>
      <c r="C786" s="278">
        <f>ROUND(BC60,2)</f>
        <v>0</v>
      </c>
      <c r="D786" s="276">
        <f>ROUND(BC61,0)</f>
        <v>0</v>
      </c>
      <c r="E786" s="276">
        <f>ROUND(BC62,0)</f>
        <v>0</v>
      </c>
      <c r="F786" s="276">
        <f>ROUND(BC63,0)</f>
        <v>0</v>
      </c>
      <c r="G786" s="276">
        <f>ROUND(BC64,0)</f>
        <v>0</v>
      </c>
      <c r="H786" s="276">
        <f>ROUND(BC65,0)</f>
        <v>0</v>
      </c>
      <c r="I786" s="276">
        <f>ROUND(BC66,0)</f>
        <v>4345</v>
      </c>
      <c r="J786" s="276">
        <f>ROUND(BC67,0)</f>
        <v>0</v>
      </c>
      <c r="K786" s="276">
        <f>ROUND(BC68,0)</f>
        <v>0</v>
      </c>
      <c r="L786" s="276">
        <f>ROUND(BC69,0)</f>
        <v>0</v>
      </c>
      <c r="M786" s="276">
        <f>ROUND(BC70,0)</f>
        <v>0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" customHeight="1" x14ac:dyDescent="0.25">
      <c r="A787" s="209" t="str">
        <f>RIGHT($C$83,3)&amp;"*"&amp;RIGHT($C$82,4)&amp;"*"&amp;BD$55&amp;"*"&amp;"A"</f>
        <v>106*2017*8420*A</v>
      </c>
      <c r="B787" s="276"/>
      <c r="C787" s="278">
        <f>ROUND(BD60,2)</f>
        <v>4.25</v>
      </c>
      <c r="D787" s="276">
        <f>ROUND(BD61,0)</f>
        <v>171845</v>
      </c>
      <c r="E787" s="276">
        <f>ROUND(BD62,0)</f>
        <v>38657</v>
      </c>
      <c r="F787" s="276">
        <f>ROUND(BD63,0)</f>
        <v>0</v>
      </c>
      <c r="G787" s="276">
        <f>ROUND(BD64,0)</f>
        <v>41658</v>
      </c>
      <c r="H787" s="276">
        <f>ROUND(BD65,0)</f>
        <v>0</v>
      </c>
      <c r="I787" s="276">
        <f>ROUND(BD66,0)</f>
        <v>0</v>
      </c>
      <c r="J787" s="276">
        <f>ROUND(BD67,0)</f>
        <v>2958</v>
      </c>
      <c r="K787" s="276">
        <f>ROUND(BD68,0)</f>
        <v>0</v>
      </c>
      <c r="L787" s="276">
        <f>ROUND(BD69,0)</f>
        <v>1393</v>
      </c>
      <c r="M787" s="276">
        <f>ROUND(BD70,0)</f>
        <v>0</v>
      </c>
      <c r="N787" s="276"/>
      <c r="O787" s="276"/>
      <c r="P787" s="276">
        <f>IF(BD76&gt;0,ROUND(BD76,0),0)</f>
        <v>1605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" customHeight="1" x14ac:dyDescent="0.25">
      <c r="A788" s="209" t="str">
        <f>RIGHT($C$83,3)&amp;"*"&amp;RIGHT($C$82,4)&amp;"*"&amp;BE$55&amp;"*"&amp;"A"</f>
        <v>106*2017*8430*A</v>
      </c>
      <c r="B788" s="276">
        <f>ROUND(BE59,0)</f>
        <v>89368</v>
      </c>
      <c r="C788" s="278">
        <f>ROUND(BE60,2)</f>
        <v>4.1399999999999997</v>
      </c>
      <c r="D788" s="276">
        <f>ROUND(BE61,0)</f>
        <v>281051</v>
      </c>
      <c r="E788" s="276">
        <f>ROUND(BE62,0)</f>
        <v>63224</v>
      </c>
      <c r="F788" s="276">
        <f>ROUND(BE63,0)</f>
        <v>0</v>
      </c>
      <c r="G788" s="276">
        <f>ROUND(BE64,0)</f>
        <v>37766</v>
      </c>
      <c r="H788" s="276">
        <f>ROUND(BE65,0)</f>
        <v>0</v>
      </c>
      <c r="I788" s="276">
        <f>ROUND(BE66,0)</f>
        <v>476501</v>
      </c>
      <c r="J788" s="276">
        <f>ROUND(BE67,0)</f>
        <v>54191</v>
      </c>
      <c r="K788" s="276">
        <f>ROUND(BE68,0)</f>
        <v>1909</v>
      </c>
      <c r="L788" s="276">
        <f>ROUND(BE69,0)</f>
        <v>274</v>
      </c>
      <c r="M788" s="276">
        <f>ROUND(BE70,0)</f>
        <v>0</v>
      </c>
      <c r="N788" s="276"/>
      <c r="O788" s="276"/>
      <c r="P788" s="276">
        <f>IF(BE76&gt;0,ROUND(BE76,0),0)</f>
        <v>29406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" customHeight="1" x14ac:dyDescent="0.25">
      <c r="A789" s="209" t="str">
        <f>RIGHT($C$83,3)&amp;"*"&amp;RIGHT($C$82,4)&amp;"*"&amp;BF$55&amp;"*"&amp;"A"</f>
        <v>106*2017*8460*A</v>
      </c>
      <c r="B789" s="276"/>
      <c r="C789" s="278">
        <f>ROUND(BF60,2)</f>
        <v>12.78</v>
      </c>
      <c r="D789" s="276">
        <f>ROUND(BF61,0)</f>
        <v>485592</v>
      </c>
      <c r="E789" s="276">
        <f>ROUND(BF62,0)</f>
        <v>109237</v>
      </c>
      <c r="F789" s="276">
        <f>ROUND(BF63,0)</f>
        <v>0</v>
      </c>
      <c r="G789" s="276">
        <f>ROUND(BF64,0)</f>
        <v>53996</v>
      </c>
      <c r="H789" s="276">
        <f>ROUND(BF65,0)</f>
        <v>0</v>
      </c>
      <c r="I789" s="276">
        <f>ROUND(BF66,0)</f>
        <v>80975</v>
      </c>
      <c r="J789" s="276">
        <f>ROUND(BF67,0)</f>
        <v>735</v>
      </c>
      <c r="K789" s="276">
        <f>ROUND(BF68,0)</f>
        <v>0</v>
      </c>
      <c r="L789" s="276">
        <f>ROUND(BF69,0)</f>
        <v>92</v>
      </c>
      <c r="M789" s="276">
        <f>ROUND(BF70,0)</f>
        <v>0</v>
      </c>
      <c r="N789" s="276"/>
      <c r="O789" s="276"/>
      <c r="P789" s="276">
        <f>IF(BF76&gt;0,ROUND(BF76,0),0)</f>
        <v>399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" customHeight="1" x14ac:dyDescent="0.25">
      <c r="A790" s="209" t="str">
        <f>RIGHT($C$83,3)&amp;"*"&amp;RIGHT($C$82,4)&amp;"*"&amp;BG$55&amp;"*"&amp;"A"</f>
        <v>106*2017*8470*A</v>
      </c>
      <c r="B790" s="276"/>
      <c r="C790" s="278">
        <f>ROUND(BG60,2)</f>
        <v>2.76</v>
      </c>
      <c r="D790" s="276">
        <f>ROUND(BG61,0)</f>
        <v>119005</v>
      </c>
      <c r="E790" s="276">
        <f>ROUND(BG62,0)</f>
        <v>26771</v>
      </c>
      <c r="F790" s="276">
        <f>ROUND(BG63,0)</f>
        <v>0</v>
      </c>
      <c r="G790" s="276">
        <f>ROUND(BG64,0)</f>
        <v>591</v>
      </c>
      <c r="H790" s="276">
        <f>ROUND(BG65,0)</f>
        <v>0</v>
      </c>
      <c r="I790" s="276">
        <f>ROUND(BG66,0)</f>
        <v>614</v>
      </c>
      <c r="J790" s="276">
        <f>ROUND(BG67,0)</f>
        <v>308</v>
      </c>
      <c r="K790" s="276">
        <f>ROUND(BG68,0)</f>
        <v>0</v>
      </c>
      <c r="L790" s="276">
        <f>ROUND(BG69,0)</f>
        <v>94</v>
      </c>
      <c r="M790" s="276">
        <f>ROUND(BG70,0)</f>
        <v>0</v>
      </c>
      <c r="N790" s="276"/>
      <c r="O790" s="276"/>
      <c r="P790" s="276">
        <f>IF(BG76&gt;0,ROUND(BG76,0),0)</f>
        <v>167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" customHeight="1" x14ac:dyDescent="0.25">
      <c r="A791" s="209" t="str">
        <f>RIGHT($C$83,3)&amp;"*"&amp;RIGHT($C$82,4)&amp;"*"&amp;BH$55&amp;"*"&amp;"A"</f>
        <v>106*2017*8480*A</v>
      </c>
      <c r="B791" s="276"/>
      <c r="C791" s="278">
        <f>ROUND(BH60,2)</f>
        <v>0</v>
      </c>
      <c r="D791" s="276">
        <f>ROUND(BH61,0)</f>
        <v>0</v>
      </c>
      <c r="E791" s="276">
        <f>ROUND(BH62,0)</f>
        <v>0</v>
      </c>
      <c r="F791" s="276">
        <f>ROUND(BH63,0)</f>
        <v>0</v>
      </c>
      <c r="G791" s="276">
        <f>ROUND(BH64,0)</f>
        <v>0</v>
      </c>
      <c r="H791" s="276">
        <f>ROUND(BH65,0)</f>
        <v>0</v>
      </c>
      <c r="I791" s="276">
        <f>ROUND(BH66,0)</f>
        <v>0</v>
      </c>
      <c r="J791" s="276">
        <f>ROUND(BH67,0)</f>
        <v>0</v>
      </c>
      <c r="K791" s="276">
        <f>ROUND(BH68,0)</f>
        <v>0</v>
      </c>
      <c r="L791" s="276">
        <f>ROUND(BH69,0)</f>
        <v>0</v>
      </c>
      <c r="M791" s="276">
        <f>ROUND(BH70,0)</f>
        <v>0</v>
      </c>
      <c r="N791" s="276"/>
      <c r="O791" s="276"/>
      <c r="P791" s="276">
        <f>IF(BH76&gt;0,ROUND(BH76,0),0)</f>
        <v>0</v>
      </c>
      <c r="Q791" s="276">
        <f>IF(BH77&gt;0,ROUND(BH77,0),0)</f>
        <v>0</v>
      </c>
      <c r="R791" s="276">
        <f>IF(BH78&gt;0,ROUND(BH78,0),0)</f>
        <v>0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" customHeight="1" x14ac:dyDescent="0.25">
      <c r="A792" s="209" t="str">
        <f>RIGHT($C$83,3)&amp;"*"&amp;RIGHT($C$82,4)&amp;"*"&amp;BI$55&amp;"*"&amp;"A"</f>
        <v>106*2017*8490*A</v>
      </c>
      <c r="B792" s="276"/>
      <c r="C792" s="278">
        <f>ROUND(BI60,2)</f>
        <v>0</v>
      </c>
      <c r="D792" s="276">
        <f>ROUND(BI61,0)</f>
        <v>0</v>
      </c>
      <c r="E792" s="276">
        <f>ROUND(BI62,0)</f>
        <v>0</v>
      </c>
      <c r="F792" s="276">
        <f>ROUND(BI63,0)</f>
        <v>0</v>
      </c>
      <c r="G792" s="276">
        <f>ROUND(BI64,0)</f>
        <v>920</v>
      </c>
      <c r="H792" s="276">
        <f>ROUND(BI65,0)</f>
        <v>0</v>
      </c>
      <c r="I792" s="276">
        <f>ROUND(BI66,0)</f>
        <v>60623</v>
      </c>
      <c r="J792" s="276">
        <f>ROUND(BI67,0)</f>
        <v>0</v>
      </c>
      <c r="K792" s="276">
        <f>ROUND(BI68,0)</f>
        <v>28905</v>
      </c>
      <c r="L792" s="276">
        <f>ROUND(BI69,0)</f>
        <v>0</v>
      </c>
      <c r="M792" s="276">
        <f>ROUND(BI70,0)</f>
        <v>0</v>
      </c>
      <c r="N792" s="276"/>
      <c r="O792" s="276"/>
      <c r="P792" s="276">
        <f>IF(BI76&gt;0,ROUND(BI76,0),0)</f>
        <v>0</v>
      </c>
      <c r="Q792" s="276">
        <f>IF(BI77&gt;0,ROUND(BI77,0),0)</f>
        <v>0</v>
      </c>
      <c r="R792" s="276">
        <f>IF(BI78&gt;0,ROUND(BI78,0),0)</f>
        <v>0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" customHeight="1" x14ac:dyDescent="0.25">
      <c r="A793" s="209" t="str">
        <f>RIGHT($C$83,3)&amp;"*"&amp;RIGHT($C$82,4)&amp;"*"&amp;BJ$55&amp;"*"&amp;"A"</f>
        <v>106*2017*8510*A</v>
      </c>
      <c r="B793" s="276"/>
      <c r="C793" s="278">
        <f>ROUND(BJ60,2)</f>
        <v>0</v>
      </c>
      <c r="D793" s="276">
        <f>ROUND(BJ61,0)</f>
        <v>0</v>
      </c>
      <c r="E793" s="276">
        <f>ROUND(BJ62,0)</f>
        <v>0</v>
      </c>
      <c r="F793" s="276">
        <f>ROUND(BJ63,0)</f>
        <v>0</v>
      </c>
      <c r="G793" s="276">
        <f>ROUND(BJ64,0)</f>
        <v>0</v>
      </c>
      <c r="H793" s="276">
        <f>ROUND(BJ65,0)</f>
        <v>0</v>
      </c>
      <c r="I793" s="276">
        <f>ROUND(BJ66,0)</f>
        <v>0</v>
      </c>
      <c r="J793" s="276">
        <f>ROUND(BJ67,0)</f>
        <v>0</v>
      </c>
      <c r="K793" s="276">
        <f>ROUND(BJ68,0)</f>
        <v>0</v>
      </c>
      <c r="L793" s="276">
        <f>ROUND(BJ69,0)</f>
        <v>0</v>
      </c>
      <c r="M793" s="276">
        <f>ROUND(BJ70,0)</f>
        <v>0</v>
      </c>
      <c r="N793" s="276"/>
      <c r="O793" s="276"/>
      <c r="P793" s="276">
        <f>IF(BJ76&gt;0,ROUND(BJ76,0),0)</f>
        <v>0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" customHeight="1" x14ac:dyDescent="0.25">
      <c r="A794" s="209" t="str">
        <f>RIGHT($C$83,3)&amp;"*"&amp;RIGHT($C$82,4)&amp;"*"&amp;BK$55&amp;"*"&amp;"A"</f>
        <v>106*2017*8530*A</v>
      </c>
      <c r="B794" s="276"/>
      <c r="C794" s="278">
        <f>ROUND(BK60,2)</f>
        <v>6.64</v>
      </c>
      <c r="D794" s="276">
        <f>ROUND(BK61,0)</f>
        <v>282725</v>
      </c>
      <c r="E794" s="276">
        <f>ROUND(BK62,0)</f>
        <v>63601</v>
      </c>
      <c r="F794" s="276">
        <f>ROUND(BK63,0)</f>
        <v>0</v>
      </c>
      <c r="G794" s="276">
        <f>ROUND(BK64,0)</f>
        <v>4124</v>
      </c>
      <c r="H794" s="276">
        <f>ROUND(BK65,0)</f>
        <v>0</v>
      </c>
      <c r="I794" s="276">
        <f>ROUND(BK66,0)</f>
        <v>128642</v>
      </c>
      <c r="J794" s="276">
        <f>ROUND(BK67,0)</f>
        <v>0</v>
      </c>
      <c r="K794" s="276">
        <f>ROUND(BK68,0)</f>
        <v>0</v>
      </c>
      <c r="L794" s="276">
        <f>ROUND(BK69,0)</f>
        <v>270</v>
      </c>
      <c r="M794" s="276">
        <f>ROUND(BK70,0)</f>
        <v>0</v>
      </c>
      <c r="N794" s="276"/>
      <c r="O794" s="276"/>
      <c r="P794" s="276">
        <f>IF(BK76&gt;0,ROUND(BK76,0),0)</f>
        <v>0</v>
      </c>
      <c r="Q794" s="276">
        <f>IF(BK77&gt;0,ROUND(BK77,0),0)</f>
        <v>0</v>
      </c>
      <c r="R794" s="276">
        <f>IF(BK78&gt;0,ROUND(BK78,0),0)</f>
        <v>0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" customHeight="1" x14ac:dyDescent="0.25">
      <c r="A795" s="209" t="str">
        <f>RIGHT($C$83,3)&amp;"*"&amp;RIGHT($C$82,4)&amp;"*"&amp;BL$55&amp;"*"&amp;"A"</f>
        <v>106*2017*8560*A</v>
      </c>
      <c r="B795" s="276"/>
      <c r="C795" s="278">
        <f>ROUND(BL60,2)</f>
        <v>8.69</v>
      </c>
      <c r="D795" s="276">
        <f>ROUND(BL61,0)</f>
        <v>342021</v>
      </c>
      <c r="E795" s="276">
        <f>ROUND(BL62,0)</f>
        <v>76940</v>
      </c>
      <c r="F795" s="276">
        <f>ROUND(BL63,0)</f>
        <v>0</v>
      </c>
      <c r="G795" s="276">
        <f>ROUND(BL64,0)</f>
        <v>9190</v>
      </c>
      <c r="H795" s="276">
        <f>ROUND(BL65,0)</f>
        <v>0</v>
      </c>
      <c r="I795" s="276">
        <f>ROUND(BL66,0)</f>
        <v>0</v>
      </c>
      <c r="J795" s="276">
        <f>ROUND(BL67,0)</f>
        <v>1524</v>
      </c>
      <c r="K795" s="276">
        <f>ROUND(BL68,0)</f>
        <v>0</v>
      </c>
      <c r="L795" s="276">
        <f>ROUND(BL69,0)</f>
        <v>14</v>
      </c>
      <c r="M795" s="276">
        <f>ROUND(BL70,0)</f>
        <v>0</v>
      </c>
      <c r="N795" s="276"/>
      <c r="O795" s="276"/>
      <c r="P795" s="276">
        <f>IF(BL76&gt;0,ROUND(BL76,0),0)</f>
        <v>827</v>
      </c>
      <c r="Q795" s="276">
        <f>IF(BL77&gt;0,ROUND(BL77,0),0)</f>
        <v>0</v>
      </c>
      <c r="R795" s="276">
        <f>IF(BL78&gt;0,ROUND(BL78,0),0)</f>
        <v>452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" customHeight="1" x14ac:dyDescent="0.25">
      <c r="A796" s="209" t="str">
        <f>RIGHT($C$83,3)&amp;"*"&amp;RIGHT($C$82,4)&amp;"*"&amp;BM$55&amp;"*"&amp;"A"</f>
        <v>106*2017*8590*A</v>
      </c>
      <c r="B796" s="276"/>
      <c r="C796" s="278">
        <f>ROUND(BM60,2)</f>
        <v>0</v>
      </c>
      <c r="D796" s="276">
        <f>ROUND(BM61,0)</f>
        <v>0</v>
      </c>
      <c r="E796" s="276">
        <f>ROUND(BM62,0)</f>
        <v>0</v>
      </c>
      <c r="F796" s="276">
        <f>ROUND(BM63,0)</f>
        <v>0</v>
      </c>
      <c r="G796" s="276">
        <f>ROUND(BM64,0)</f>
        <v>0</v>
      </c>
      <c r="H796" s="276">
        <f>ROUND(BM65,0)</f>
        <v>0</v>
      </c>
      <c r="I796" s="276">
        <f>ROUND(BM66,0)</f>
        <v>0</v>
      </c>
      <c r="J796" s="276">
        <f>ROUND(BM67,0)</f>
        <v>0</v>
      </c>
      <c r="K796" s="276">
        <f>ROUND(BM68,0)</f>
        <v>0</v>
      </c>
      <c r="L796" s="276">
        <f>ROUND(BM69,0)</f>
        <v>0</v>
      </c>
      <c r="M796" s="276">
        <f>ROUND(BM70,0)</f>
        <v>0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" customHeight="1" x14ac:dyDescent="0.25">
      <c r="A797" s="209" t="str">
        <f>RIGHT($C$83,3)&amp;"*"&amp;RIGHT($C$82,4)&amp;"*"&amp;BN$55&amp;"*"&amp;"A"</f>
        <v>106*2017*8610*A</v>
      </c>
      <c r="B797" s="276"/>
      <c r="C797" s="278">
        <f>ROUND(BN60,2)</f>
        <v>3.09</v>
      </c>
      <c r="D797" s="276">
        <f>ROUND(BN61,0)</f>
        <v>288564</v>
      </c>
      <c r="E797" s="276">
        <f>ROUND(BN62,0)</f>
        <v>64914</v>
      </c>
      <c r="F797" s="276">
        <f>ROUND(BN63,0)</f>
        <v>0</v>
      </c>
      <c r="G797" s="276">
        <f>ROUND(BN64,0)</f>
        <v>7107</v>
      </c>
      <c r="H797" s="276">
        <f>ROUND(BN65,0)</f>
        <v>0</v>
      </c>
      <c r="I797" s="276">
        <f>ROUND(BN66,0)</f>
        <v>7322</v>
      </c>
      <c r="J797" s="276">
        <f>ROUND(BN67,0)</f>
        <v>6474</v>
      </c>
      <c r="K797" s="276">
        <f>ROUND(BN68,0)</f>
        <v>10</v>
      </c>
      <c r="L797" s="276">
        <f>ROUND(BN69,0)</f>
        <v>63477</v>
      </c>
      <c r="M797" s="276">
        <f>ROUND(BN70,0)</f>
        <v>0</v>
      </c>
      <c r="N797" s="276"/>
      <c r="O797" s="276"/>
      <c r="P797" s="276">
        <f>IF(BN76&gt;0,ROUND(BN76,0),0)</f>
        <v>3513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" customHeight="1" x14ac:dyDescent="0.25">
      <c r="A798" s="209" t="str">
        <f>RIGHT($C$83,3)&amp;"*"&amp;RIGHT($C$82,4)&amp;"*"&amp;BO$55&amp;"*"&amp;"A"</f>
        <v>106*2017*8620*A</v>
      </c>
      <c r="B798" s="276"/>
      <c r="C798" s="278">
        <f>ROUND(BO60,2)</f>
        <v>0</v>
      </c>
      <c r="D798" s="276">
        <f>ROUND(BO61,0)</f>
        <v>0</v>
      </c>
      <c r="E798" s="276">
        <f>ROUND(BO62,0)</f>
        <v>0</v>
      </c>
      <c r="F798" s="276">
        <f>ROUND(BO63,0)</f>
        <v>0</v>
      </c>
      <c r="G798" s="276">
        <f>ROUND(BO64,0)</f>
        <v>0</v>
      </c>
      <c r="H798" s="276">
        <f>ROUND(BO65,0)</f>
        <v>0</v>
      </c>
      <c r="I798" s="276">
        <f>ROUND(BO66,0)</f>
        <v>0</v>
      </c>
      <c r="J798" s="276">
        <f>ROUND(BO67,0)</f>
        <v>0</v>
      </c>
      <c r="K798" s="276">
        <f>ROUND(BO68,0)</f>
        <v>0</v>
      </c>
      <c r="L798" s="276">
        <f>ROUND(BO69,0)</f>
        <v>0</v>
      </c>
      <c r="M798" s="276">
        <f>ROUND(BO70,0)</f>
        <v>0</v>
      </c>
      <c r="N798" s="276"/>
      <c r="O798" s="276"/>
      <c r="P798" s="276">
        <f>IF(BO76&gt;0,ROUND(BO76,0),0)</f>
        <v>0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" customHeight="1" x14ac:dyDescent="0.25">
      <c r="A799" s="209" t="str">
        <f>RIGHT($C$83,3)&amp;"*"&amp;RIGHT($C$82,4)&amp;"*"&amp;BP$55&amp;"*"&amp;"A"</f>
        <v>106*2017*8630*A</v>
      </c>
      <c r="B799" s="276"/>
      <c r="C799" s="278">
        <f>ROUND(BP60,2)</f>
        <v>0</v>
      </c>
      <c r="D799" s="276">
        <f>ROUND(BP61,0)</f>
        <v>0</v>
      </c>
      <c r="E799" s="276">
        <f>ROUND(BP62,0)</f>
        <v>0</v>
      </c>
      <c r="F799" s="276">
        <f>ROUND(BP63,0)</f>
        <v>0</v>
      </c>
      <c r="G799" s="276">
        <f>ROUND(BP64,0)</f>
        <v>0</v>
      </c>
      <c r="H799" s="276">
        <f>ROUND(BP65,0)</f>
        <v>0</v>
      </c>
      <c r="I799" s="276">
        <f>ROUND(BP66,0)</f>
        <v>0</v>
      </c>
      <c r="J799" s="276">
        <f>ROUND(BP67,0)</f>
        <v>0</v>
      </c>
      <c r="K799" s="276">
        <f>ROUND(BP68,0)</f>
        <v>0</v>
      </c>
      <c r="L799" s="276">
        <f>ROUND(BP69,0)</f>
        <v>0</v>
      </c>
      <c r="M799" s="276">
        <f>ROUND(BP70,0)</f>
        <v>0</v>
      </c>
      <c r="N799" s="276"/>
      <c r="O799" s="276"/>
      <c r="P799" s="276">
        <f>IF(BP76&gt;0,ROUND(BP76,0),0)</f>
        <v>0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" customHeight="1" x14ac:dyDescent="0.25">
      <c r="A800" s="209" t="str">
        <f>RIGHT($C$83,3)&amp;"*"&amp;RIGHT($C$82,4)&amp;"*"&amp;BQ$55&amp;"*"&amp;"A"</f>
        <v>106*2017*8640*A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" customHeight="1" x14ac:dyDescent="0.25">
      <c r="A801" s="209" t="str">
        <f>RIGHT($C$83,3)&amp;"*"&amp;RIGHT($C$82,4)&amp;"*"&amp;BR$55&amp;"*"&amp;"A"</f>
        <v>106*2017*8650*A</v>
      </c>
      <c r="B801" s="276"/>
      <c r="C801" s="278">
        <f>ROUND(BR60,2)</f>
        <v>0</v>
      </c>
      <c r="D801" s="276">
        <f>ROUND(BR61,0)</f>
        <v>0</v>
      </c>
      <c r="E801" s="276">
        <f>ROUND(BR62,0)</f>
        <v>0</v>
      </c>
      <c r="F801" s="276">
        <f>ROUND(BR63,0)</f>
        <v>0</v>
      </c>
      <c r="G801" s="276">
        <f>ROUND(BR64,0)</f>
        <v>0</v>
      </c>
      <c r="H801" s="276">
        <f>ROUND(BR65,0)</f>
        <v>0</v>
      </c>
      <c r="I801" s="276">
        <f>ROUND(BR66,0)</f>
        <v>0</v>
      </c>
      <c r="J801" s="276">
        <f>ROUND(BR67,0)</f>
        <v>0</v>
      </c>
      <c r="K801" s="276">
        <f>ROUND(BR68,0)</f>
        <v>0</v>
      </c>
      <c r="L801" s="276">
        <f>ROUND(BR69,0)</f>
        <v>0</v>
      </c>
      <c r="M801" s="276">
        <f>ROUND(BR70,0)</f>
        <v>0</v>
      </c>
      <c r="N801" s="276"/>
      <c r="O801" s="276"/>
      <c r="P801" s="276">
        <f>IF(BR76&gt;0,ROUND(BR76,0),0)</f>
        <v>0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" customHeight="1" x14ac:dyDescent="0.25">
      <c r="A802" s="209" t="str">
        <f>RIGHT($C$83,3)&amp;"*"&amp;RIGHT($C$82,4)&amp;"*"&amp;BS$55&amp;"*"&amp;"A"</f>
        <v>106*2017*8660*A</v>
      </c>
      <c r="B802" s="276"/>
      <c r="C802" s="278">
        <f>ROUND(BS60,2)</f>
        <v>0</v>
      </c>
      <c r="D802" s="276">
        <f>ROUND(BS61,0)</f>
        <v>0</v>
      </c>
      <c r="E802" s="276">
        <f>ROUND(BS62,0)</f>
        <v>0</v>
      </c>
      <c r="F802" s="276">
        <f>ROUND(BS63,0)</f>
        <v>0</v>
      </c>
      <c r="G802" s="276">
        <f>ROUND(BS64,0)</f>
        <v>0</v>
      </c>
      <c r="H802" s="276">
        <f>ROUND(BS65,0)</f>
        <v>0</v>
      </c>
      <c r="I802" s="276">
        <f>ROUND(BS66,0)</f>
        <v>0</v>
      </c>
      <c r="J802" s="276">
        <f>ROUND(BS67,0)</f>
        <v>0</v>
      </c>
      <c r="K802" s="276">
        <f>ROUND(BS68,0)</f>
        <v>0</v>
      </c>
      <c r="L802" s="276">
        <f>ROUND(BS69,0)</f>
        <v>0</v>
      </c>
      <c r="M802" s="276">
        <f>ROUND(BS70,0)</f>
        <v>0</v>
      </c>
      <c r="N802" s="276"/>
      <c r="O802" s="276"/>
      <c r="P802" s="276">
        <f>IF(BS76&gt;0,ROUND(BS76,0),0)</f>
        <v>0</v>
      </c>
      <c r="Q802" s="276">
        <f>IF(BS77&gt;0,ROUND(BS77,0),0)</f>
        <v>0</v>
      </c>
      <c r="R802" s="276">
        <f>IF(BS78&gt;0,ROUND(BS78,0),0)</f>
        <v>0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" customHeight="1" x14ac:dyDescent="0.25">
      <c r="A803" s="209" t="str">
        <f>RIGHT($C$83,3)&amp;"*"&amp;RIGHT($C$82,4)&amp;"*"&amp;BT$55&amp;"*"&amp;"A"</f>
        <v>106*2017*8670*A</v>
      </c>
      <c r="B803" s="276"/>
      <c r="C803" s="278">
        <f>ROUND(BT60,2)</f>
        <v>0</v>
      </c>
      <c r="D803" s="276">
        <f>ROUND(BT61,0)</f>
        <v>0</v>
      </c>
      <c r="E803" s="276">
        <f>ROUND(BT62,0)</f>
        <v>0</v>
      </c>
      <c r="F803" s="276">
        <f>ROUND(BT63,0)</f>
        <v>0</v>
      </c>
      <c r="G803" s="276">
        <f>ROUND(BT64,0)</f>
        <v>0</v>
      </c>
      <c r="H803" s="276">
        <f>ROUND(BT65,0)</f>
        <v>0</v>
      </c>
      <c r="I803" s="276">
        <f>ROUND(BT66,0)</f>
        <v>0</v>
      </c>
      <c r="J803" s="276">
        <f>ROUND(BT67,0)</f>
        <v>0</v>
      </c>
      <c r="K803" s="276">
        <f>ROUND(BT68,0)</f>
        <v>0</v>
      </c>
      <c r="L803" s="276">
        <f>ROUND(BT69,0)</f>
        <v>0</v>
      </c>
      <c r="M803" s="276">
        <f>ROUND(BT70,0)</f>
        <v>0</v>
      </c>
      <c r="N803" s="276"/>
      <c r="O803" s="276"/>
      <c r="P803" s="276">
        <f>IF(BT76&gt;0,ROUND(BT76,0),0)</f>
        <v>0</v>
      </c>
      <c r="Q803" s="276">
        <f>IF(BT77&gt;0,ROUND(BT77,0),0)</f>
        <v>0</v>
      </c>
      <c r="R803" s="276">
        <f>IF(BT78&gt;0,ROUND(BT78,0),0)</f>
        <v>0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" customHeight="1" x14ac:dyDescent="0.25">
      <c r="A804" s="209" t="str">
        <f>RIGHT($C$83,3)&amp;"*"&amp;RIGHT($C$82,4)&amp;"*"&amp;BU$55&amp;"*"&amp;"A"</f>
        <v>106*2017*8680*A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0</v>
      </c>
      <c r="J804" s="276">
        <f>ROUND(BU67,0)</f>
        <v>0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" customHeight="1" x14ac:dyDescent="0.25">
      <c r="A805" s="209" t="str">
        <f>RIGHT($C$83,3)&amp;"*"&amp;RIGHT($C$82,4)&amp;"*"&amp;BV$55&amp;"*"&amp;"A"</f>
        <v>106*2017*8690*A</v>
      </c>
      <c r="B805" s="276"/>
      <c r="C805" s="278">
        <f>ROUND(BV60,2)</f>
        <v>9.89</v>
      </c>
      <c r="D805" s="276">
        <f>ROUND(BV61,0)</f>
        <v>507730</v>
      </c>
      <c r="E805" s="276">
        <f>ROUND(BV62,0)</f>
        <v>114217</v>
      </c>
      <c r="F805" s="276">
        <f>ROUND(BV63,0)</f>
        <v>26190</v>
      </c>
      <c r="G805" s="276">
        <f>ROUND(BV64,0)</f>
        <v>5424</v>
      </c>
      <c r="H805" s="276">
        <f>ROUND(BV65,0)</f>
        <v>0</v>
      </c>
      <c r="I805" s="276">
        <f>ROUND(BV66,0)</f>
        <v>98642</v>
      </c>
      <c r="J805" s="276">
        <f>ROUND(BV67,0)</f>
        <v>3411</v>
      </c>
      <c r="K805" s="276">
        <f>ROUND(BV68,0)</f>
        <v>0</v>
      </c>
      <c r="L805" s="276">
        <f>ROUND(BV69,0)</f>
        <v>702</v>
      </c>
      <c r="M805" s="276">
        <f>ROUND(BV70,0)</f>
        <v>0</v>
      </c>
      <c r="N805" s="276"/>
      <c r="O805" s="276"/>
      <c r="P805" s="276">
        <f>IF(BV76&gt;0,ROUND(BV76,0),0)</f>
        <v>1851</v>
      </c>
      <c r="Q805" s="276">
        <f>IF(BV77&gt;0,ROUND(BV77,0),0)</f>
        <v>0</v>
      </c>
      <c r="R805" s="276">
        <f>IF(BV78&gt;0,ROUND(BV78,0),0)</f>
        <v>1012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" customHeight="1" x14ac:dyDescent="0.25">
      <c r="A806" s="209" t="str">
        <f>RIGHT($C$83,3)&amp;"*"&amp;RIGHT($C$82,4)&amp;"*"&amp;BW$55&amp;"*"&amp;"A"</f>
        <v>106*2017*8700*A</v>
      </c>
      <c r="B806" s="276"/>
      <c r="C806" s="278">
        <f>ROUND(BW60,2)</f>
        <v>1.86</v>
      </c>
      <c r="D806" s="276">
        <f>ROUND(BW61,0)</f>
        <v>138613</v>
      </c>
      <c r="E806" s="276">
        <f>ROUND(BW62,0)</f>
        <v>31182</v>
      </c>
      <c r="F806" s="276">
        <f>ROUND(BW63,0)</f>
        <v>13700</v>
      </c>
      <c r="G806" s="276">
        <f>ROUND(BW64,0)</f>
        <v>4558</v>
      </c>
      <c r="H806" s="276">
        <f>ROUND(BW65,0)</f>
        <v>0</v>
      </c>
      <c r="I806" s="276">
        <f>ROUND(BW66,0)</f>
        <v>195</v>
      </c>
      <c r="J806" s="276">
        <f>ROUND(BW67,0)</f>
        <v>1010</v>
      </c>
      <c r="K806" s="276">
        <f>ROUND(BW68,0)</f>
        <v>0</v>
      </c>
      <c r="L806" s="276">
        <f>ROUND(BW69,0)</f>
        <v>73740</v>
      </c>
      <c r="M806" s="276">
        <f>ROUND(BW70,0)</f>
        <v>0</v>
      </c>
      <c r="N806" s="276"/>
      <c r="O806" s="276"/>
      <c r="P806" s="276">
        <f>IF(BW76&gt;0,ROUND(BW76,0),0)</f>
        <v>548</v>
      </c>
      <c r="Q806" s="276">
        <f>IF(BW77&gt;0,ROUND(BW77,0),0)</f>
        <v>0</v>
      </c>
      <c r="R806" s="276">
        <f>IF(BW78&gt;0,ROUND(BW78,0),0)</f>
        <v>300</v>
      </c>
      <c r="S806" s="276">
        <f>IF(BW79&gt;0,ROUND(BW79,0),0)</f>
        <v>395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" customHeight="1" x14ac:dyDescent="0.25">
      <c r="A807" s="209" t="str">
        <f>RIGHT($C$83,3)&amp;"*"&amp;RIGHT($C$82,4)&amp;"*"&amp;BX$55&amp;"*"&amp;"A"</f>
        <v>106*2017*8710*A</v>
      </c>
      <c r="B807" s="276"/>
      <c r="C807" s="278">
        <f>ROUND(BX60,2)</f>
        <v>5.88</v>
      </c>
      <c r="D807" s="276">
        <f>ROUND(BX61,0)</f>
        <v>530891</v>
      </c>
      <c r="E807" s="276">
        <f>ROUND(BX62,0)</f>
        <v>119427</v>
      </c>
      <c r="F807" s="276">
        <f>ROUND(BX63,0)</f>
        <v>207180</v>
      </c>
      <c r="G807" s="276">
        <f>ROUND(BX64,0)</f>
        <v>3599</v>
      </c>
      <c r="H807" s="276">
        <f>ROUND(BX65,0)</f>
        <v>0</v>
      </c>
      <c r="I807" s="276">
        <f>ROUND(BX66,0)</f>
        <v>211292</v>
      </c>
      <c r="J807" s="276">
        <f>ROUND(BX67,0)</f>
        <v>1697</v>
      </c>
      <c r="K807" s="276">
        <f>ROUND(BX68,0)</f>
        <v>200</v>
      </c>
      <c r="L807" s="276">
        <f>ROUND(BX69,0)</f>
        <v>65175</v>
      </c>
      <c r="M807" s="276">
        <f>ROUND(BX70,0)</f>
        <v>0</v>
      </c>
      <c r="N807" s="276"/>
      <c r="O807" s="276"/>
      <c r="P807" s="276">
        <f>IF(BX76&gt;0,ROUND(BX76,0),0)</f>
        <v>921</v>
      </c>
      <c r="Q807" s="276">
        <f>IF(BX77&gt;0,ROUND(BX77,0),0)</f>
        <v>0</v>
      </c>
      <c r="R807" s="276">
        <f>IF(BX78&gt;0,ROUND(BX78,0),0)</f>
        <v>504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" customHeight="1" x14ac:dyDescent="0.25">
      <c r="A808" s="209" t="str">
        <f>RIGHT($C$83,3)&amp;"*"&amp;RIGHT($C$82,4)&amp;"*"&amp;BY$55&amp;"*"&amp;"A"</f>
        <v>106*2017*8720*A</v>
      </c>
      <c r="B808" s="276"/>
      <c r="C808" s="278">
        <f>ROUND(BY60,2)</f>
        <v>8.76</v>
      </c>
      <c r="D808" s="276">
        <f>ROUND(BY61,0)</f>
        <v>1009089</v>
      </c>
      <c r="E808" s="276">
        <f>ROUND(BY62,0)</f>
        <v>227000</v>
      </c>
      <c r="F808" s="276">
        <f>ROUND(BY63,0)</f>
        <v>0</v>
      </c>
      <c r="G808" s="276">
        <f>ROUND(BY64,0)</f>
        <v>216</v>
      </c>
      <c r="H808" s="276">
        <f>ROUND(BY65,0)</f>
        <v>0</v>
      </c>
      <c r="I808" s="276">
        <f>ROUND(BY66,0)</f>
        <v>600</v>
      </c>
      <c r="J808" s="276">
        <f>ROUND(BY67,0)</f>
        <v>551</v>
      </c>
      <c r="K808" s="276">
        <f>ROUND(BY68,0)</f>
        <v>0</v>
      </c>
      <c r="L808" s="276">
        <f>ROUND(BY69,0)</f>
        <v>17200</v>
      </c>
      <c r="M808" s="276">
        <f>ROUND(BY70,0)</f>
        <v>0</v>
      </c>
      <c r="N808" s="276"/>
      <c r="O808" s="276"/>
      <c r="P808" s="276">
        <f>IF(BY76&gt;0,ROUND(BY76,0),0)</f>
        <v>299</v>
      </c>
      <c r="Q808" s="276">
        <f>IF(BY77&gt;0,ROUND(BY77,0),0)</f>
        <v>0</v>
      </c>
      <c r="R808" s="276">
        <f>IF(BY78&gt;0,ROUND(BY78,0),0)</f>
        <v>161</v>
      </c>
      <c r="S808" s="276">
        <f>IF(BY79&gt;0,ROUND(BY79,0),0)</f>
        <v>0</v>
      </c>
      <c r="T808" s="278">
        <f>IF(BY80&gt;0,ROUND(BY80,2),0)</f>
        <v>0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" customHeight="1" x14ac:dyDescent="0.25">
      <c r="A809" s="209" t="str">
        <f>RIGHT($C$83,3)&amp;"*"&amp;RIGHT($C$82,4)&amp;"*"&amp;BZ$55&amp;"*"&amp;"A"</f>
        <v>106*2017*8730*A</v>
      </c>
      <c r="B809" s="276"/>
      <c r="C809" s="278">
        <f>ROUND(BZ60,2)</f>
        <v>0</v>
      </c>
      <c r="D809" s="276">
        <f>ROUND(BZ61,0)</f>
        <v>0</v>
      </c>
      <c r="E809" s="276">
        <f>ROUND(BZ62,0)</f>
        <v>0</v>
      </c>
      <c r="F809" s="276">
        <f>ROUND(BZ63,0)</f>
        <v>0</v>
      </c>
      <c r="G809" s="276">
        <f>ROUND(BZ64,0)</f>
        <v>0</v>
      </c>
      <c r="H809" s="276">
        <f>ROUND(BZ65,0)</f>
        <v>0</v>
      </c>
      <c r="I809" s="276">
        <f>ROUND(BZ66,0)</f>
        <v>0</v>
      </c>
      <c r="J809" s="276">
        <f>ROUND(BZ67,0)</f>
        <v>0</v>
      </c>
      <c r="K809" s="276">
        <f>ROUND(BZ68,0)</f>
        <v>0</v>
      </c>
      <c r="L809" s="276">
        <f>ROUND(BZ69,0)</f>
        <v>0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" customHeight="1" x14ac:dyDescent="0.25">
      <c r="A810" s="209" t="str">
        <f>RIGHT($C$83,3)&amp;"*"&amp;RIGHT($C$82,4)&amp;"*"&amp;CA$55&amp;"*"&amp;"A"</f>
        <v>106*2017*8740*A</v>
      </c>
      <c r="B810" s="276"/>
      <c r="C810" s="278">
        <f>ROUND(CA60,2)</f>
        <v>0</v>
      </c>
      <c r="D810" s="276">
        <f>ROUND(CA61,0)</f>
        <v>0</v>
      </c>
      <c r="E810" s="276">
        <f>ROUND(CA62,0)</f>
        <v>0</v>
      </c>
      <c r="F810" s="276">
        <f>ROUND(CA63,0)</f>
        <v>0</v>
      </c>
      <c r="G810" s="276">
        <f>ROUND(CA64,0)</f>
        <v>0</v>
      </c>
      <c r="H810" s="276">
        <f>ROUND(CA65,0)</f>
        <v>0</v>
      </c>
      <c r="I810" s="276">
        <f>ROUND(CA66,0)</f>
        <v>0</v>
      </c>
      <c r="J810" s="276">
        <f>ROUND(CA67,0)</f>
        <v>0</v>
      </c>
      <c r="K810" s="276">
        <f>ROUND(CA68,0)</f>
        <v>0</v>
      </c>
      <c r="L810" s="276">
        <f>ROUND(CA69,0)</f>
        <v>0</v>
      </c>
      <c r="M810" s="276">
        <f>ROUND(CA70,0)</f>
        <v>0</v>
      </c>
      <c r="N810" s="276"/>
      <c r="O810" s="276"/>
      <c r="P810" s="276">
        <f>IF(CA76&gt;0,ROUND(CA76,0),0)</f>
        <v>0</v>
      </c>
      <c r="Q810" s="276">
        <f>IF(CA77&gt;0,ROUND(CA77,0),0)</f>
        <v>0</v>
      </c>
      <c r="R810" s="276">
        <f>IF(CA78&gt;0,ROUND(CA78,0),0)</f>
        <v>0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" customHeight="1" x14ac:dyDescent="0.25">
      <c r="A811" s="209" t="str">
        <f>RIGHT($C$83,3)&amp;"*"&amp;RIGHT($C$82,4)&amp;"*"&amp;CB$55&amp;"*"&amp;"A"</f>
        <v>106*2017*8770*A</v>
      </c>
      <c r="B811" s="276"/>
      <c r="C811" s="278">
        <f>ROUND(CB60,2)</f>
        <v>0</v>
      </c>
      <c r="D811" s="276">
        <f>ROUND(CB61,0)</f>
        <v>0</v>
      </c>
      <c r="E811" s="276">
        <f>ROUND(CB62,0)</f>
        <v>0</v>
      </c>
      <c r="F811" s="276">
        <f>ROUND(CB63,0)</f>
        <v>0</v>
      </c>
      <c r="G811" s="276">
        <f>ROUND(CB64,0)</f>
        <v>0</v>
      </c>
      <c r="H811" s="276">
        <f>ROUND(CB65,0)</f>
        <v>0</v>
      </c>
      <c r="I811" s="276">
        <f>ROUND(CB66,0)</f>
        <v>0</v>
      </c>
      <c r="J811" s="276">
        <f>ROUND(CB67,0)</f>
        <v>0</v>
      </c>
      <c r="K811" s="276">
        <f>ROUND(CB68,0)</f>
        <v>0</v>
      </c>
      <c r="L811" s="276">
        <f>ROUND(CB69,0)</f>
        <v>0</v>
      </c>
      <c r="M811" s="276">
        <f>ROUND(CB70,0)</f>
        <v>0</v>
      </c>
      <c r="N811" s="276"/>
      <c r="O811" s="276"/>
      <c r="P811" s="276">
        <f>IF(CB76&gt;0,ROUND(CB76,0),0)</f>
        <v>0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" customHeight="1" x14ac:dyDescent="0.25">
      <c r="A812" s="209" t="str">
        <f>RIGHT($C$83,3)&amp;"*"&amp;RIGHT($C$82,4)&amp;"*"&amp;CC$55&amp;"*"&amp;"A"</f>
        <v>106*2017*8790*A</v>
      </c>
      <c r="B812" s="276"/>
      <c r="C812" s="278">
        <f>ROUND(CC60,2)</f>
        <v>7.0000000000000007E-2</v>
      </c>
      <c r="D812" s="276">
        <f>ROUND(CC61,0)</f>
        <v>333428</v>
      </c>
      <c r="E812" s="276">
        <f>ROUND(CC62,0)</f>
        <v>75007</v>
      </c>
      <c r="F812" s="276">
        <f>ROUND(CC63,0)</f>
        <v>243695</v>
      </c>
      <c r="G812" s="276">
        <f>ROUND(CC64,0)</f>
        <v>102141</v>
      </c>
      <c r="H812" s="276">
        <f>ROUND(CC65,0)</f>
        <v>810090</v>
      </c>
      <c r="I812" s="276">
        <f>ROUND(CC66,0)</f>
        <v>111070</v>
      </c>
      <c r="J812" s="276">
        <f>ROUND(CC67,0)</f>
        <v>1297</v>
      </c>
      <c r="K812" s="276">
        <f>ROUND(CC68,0)</f>
        <v>1</v>
      </c>
      <c r="L812" s="276">
        <f>ROUND(CC69,0)</f>
        <v>29078</v>
      </c>
      <c r="M812" s="276">
        <f>ROUND(CC70,0)</f>
        <v>0</v>
      </c>
      <c r="N812" s="276"/>
      <c r="O812" s="276"/>
      <c r="P812" s="276">
        <f>IF(CC76&gt;0,ROUND(CC76,0),0)</f>
        <v>704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0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" customHeight="1" x14ac:dyDescent="0.25">
      <c r="A813" s="209" t="str">
        <f>RIGHT($C$83,3)&amp;"*"&amp;RIGHT($C$82,4)&amp;"*"&amp;"9000"&amp;"*"&amp;"A"</f>
        <v>106*2017*9000*A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607407</v>
      </c>
      <c r="V813" s="277">
        <f>ROUND(CD70,0)</f>
        <v>1721855</v>
      </c>
      <c r="W813" s="276">
        <f>ROUND(CE72,0)</f>
        <v>0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" customHeight="1" x14ac:dyDescent="0.25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" customHeight="1" x14ac:dyDescent="0.25">
      <c r="B815" s="280" t="s">
        <v>1004</v>
      </c>
      <c r="C815" s="281">
        <f t="shared" ref="C815:K815" si="22">SUM(C734:C813)</f>
        <v>260.27999999999997</v>
      </c>
      <c r="D815" s="277">
        <f t="shared" si="22"/>
        <v>20982326</v>
      </c>
      <c r="E815" s="277">
        <f t="shared" si="22"/>
        <v>4720092</v>
      </c>
      <c r="F815" s="277">
        <f t="shared" si="22"/>
        <v>4777287</v>
      </c>
      <c r="G815" s="277">
        <f t="shared" si="22"/>
        <v>6042966</v>
      </c>
      <c r="H815" s="277">
        <f t="shared" si="22"/>
        <v>810090</v>
      </c>
      <c r="I815" s="277">
        <f t="shared" si="22"/>
        <v>5497275</v>
      </c>
      <c r="J815" s="277">
        <f t="shared" si="22"/>
        <v>164691</v>
      </c>
      <c r="K815" s="277">
        <f t="shared" si="22"/>
        <v>635905</v>
      </c>
      <c r="L815" s="277">
        <f>SUM(L734:L813)+SUM(U734:U813)</f>
        <v>942676</v>
      </c>
      <c r="M815" s="277">
        <f>SUM(M734:M813)+SUM(V734:V813)</f>
        <v>1721855</v>
      </c>
      <c r="N815" s="277">
        <f t="shared" ref="N815:Y815" si="23">SUM(N734:N813)</f>
        <v>137589546</v>
      </c>
      <c r="O815" s="277">
        <f t="shared" si="23"/>
        <v>39922239</v>
      </c>
      <c r="P815" s="277">
        <f t="shared" si="23"/>
        <v>89368</v>
      </c>
      <c r="Q815" s="277">
        <f t="shared" si="23"/>
        <v>12787</v>
      </c>
      <c r="R815" s="277">
        <f t="shared" si="23"/>
        <v>26655</v>
      </c>
      <c r="S815" s="277">
        <f t="shared" si="23"/>
        <v>254985</v>
      </c>
      <c r="T815" s="281">
        <f t="shared" si="23"/>
        <v>71.069999999999993</v>
      </c>
      <c r="U815" s="277">
        <f t="shared" si="23"/>
        <v>607407</v>
      </c>
      <c r="V815" s="277">
        <f t="shared" si="23"/>
        <v>1721855</v>
      </c>
      <c r="W815" s="277">
        <f t="shared" si="23"/>
        <v>0</v>
      </c>
      <c r="X815" s="277">
        <f t="shared" si="23"/>
        <v>0</v>
      </c>
      <c r="Y815" s="277">
        <f t="shared" si="23"/>
        <v>8812270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" customHeight="1" x14ac:dyDescent="0.25">
      <c r="B816" s="277" t="s">
        <v>1005</v>
      </c>
      <c r="C816" s="281">
        <f>CE60</f>
        <v>260.27999999999997</v>
      </c>
      <c r="D816" s="277">
        <f>CE61</f>
        <v>20982326</v>
      </c>
      <c r="E816" s="277">
        <f>CE62</f>
        <v>4720092</v>
      </c>
      <c r="F816" s="277">
        <f>CE63</f>
        <v>4777287</v>
      </c>
      <c r="G816" s="277">
        <f>CE64</f>
        <v>6042966</v>
      </c>
      <c r="H816" s="280">
        <f>CE65</f>
        <v>810090</v>
      </c>
      <c r="I816" s="280">
        <f>CE66</f>
        <v>5497275</v>
      </c>
      <c r="J816" s="280">
        <f>CE67</f>
        <v>164691</v>
      </c>
      <c r="K816" s="280">
        <f>CE68</f>
        <v>635905</v>
      </c>
      <c r="L816" s="280">
        <f>CE69</f>
        <v>942676</v>
      </c>
      <c r="M816" s="280">
        <f>CE70</f>
        <v>1721855</v>
      </c>
      <c r="N816" s="277">
        <f>CE75</f>
        <v>137589546</v>
      </c>
      <c r="O816" s="277">
        <f>CE73</f>
        <v>39922239</v>
      </c>
      <c r="P816" s="277">
        <f>CE76</f>
        <v>89368</v>
      </c>
      <c r="Q816" s="277">
        <f>CE77</f>
        <v>12787.599999999999</v>
      </c>
      <c r="R816" s="277">
        <f>CE78</f>
        <v>26655</v>
      </c>
      <c r="S816" s="277">
        <f>CE79</f>
        <v>254985</v>
      </c>
      <c r="T816" s="281">
        <f>CE80</f>
        <v>71.069999999999993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8755156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" customHeight="1" x14ac:dyDescent="0.25">
      <c r="B817" s="180" t="s">
        <v>471</v>
      </c>
      <c r="C817" s="199" t="s">
        <v>1007</v>
      </c>
      <c r="D817" s="180">
        <f>C378</f>
        <v>20982326</v>
      </c>
      <c r="E817" s="180">
        <f>C379</f>
        <v>4720092</v>
      </c>
      <c r="F817" s="180">
        <f>C380</f>
        <v>4777287</v>
      </c>
      <c r="G817" s="240">
        <f>C381</f>
        <v>6042966</v>
      </c>
      <c r="H817" s="240">
        <f>C382</f>
        <v>810090</v>
      </c>
      <c r="I817" s="240">
        <f>C383</f>
        <v>5497275</v>
      </c>
      <c r="J817" s="240">
        <f>C384</f>
        <v>164693</v>
      </c>
      <c r="K817" s="240">
        <f>C385</f>
        <v>635905</v>
      </c>
      <c r="L817" s="240">
        <f>C386+C387+C388+C389</f>
        <v>942676</v>
      </c>
      <c r="M817" s="240">
        <f>C370</f>
        <v>1721855</v>
      </c>
      <c r="N817" s="180">
        <f>D361</f>
        <v>137589546</v>
      </c>
      <c r="O817" s="180">
        <f>C359</f>
        <v>39922239</v>
      </c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M44"/>
  <sheetViews>
    <sheetView showGridLines="0" zoomScale="75" workbookViewId="0">
      <selection activeCell="I12" sqref="I12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1008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85" t="s">
        <v>1264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59"/>
    </row>
    <row r="16" spans="2:13" ht="15.6" thickBot="1" x14ac:dyDescent="0.3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6" thickTop="1" x14ac:dyDescent="0.25">
      <c r="B17" s="141"/>
      <c r="C17" s="150" t="s">
        <v>1014</v>
      </c>
      <c r="D17" s="150"/>
      <c r="E17" s="142" t="str">
        <f>+data!C84</f>
        <v>CASCADE VALLEY HOSPITAL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1015</v>
      </c>
      <c r="D18" s="151"/>
      <c r="E18" s="8" t="str">
        <f>+"H-"&amp;data!C83</f>
        <v>H-106</v>
      </c>
      <c r="F18" s="76"/>
      <c r="G18" s="76"/>
      <c r="H18" s="8"/>
      <c r="I18" s="8"/>
      <c r="J18" s="145"/>
    </row>
    <row r="19" spans="2:10" x14ac:dyDescent="0.25">
      <c r="B19" s="144"/>
      <c r="C19" s="151" t="s">
        <v>1016</v>
      </c>
      <c r="D19" s="151"/>
      <c r="E19" s="8" t="str">
        <f>+data!C85</f>
        <v>330 S. STILLAGUAMISH AVE.</v>
      </c>
      <c r="F19" s="76"/>
      <c r="G19" s="76"/>
      <c r="H19" s="8"/>
      <c r="I19" s="8"/>
      <c r="J19" s="145"/>
    </row>
    <row r="20" spans="2:10" x14ac:dyDescent="0.25">
      <c r="B20" s="144"/>
      <c r="C20" s="151" t="s">
        <v>1017</v>
      </c>
      <c r="D20" s="151"/>
      <c r="E20" s="8" t="str">
        <f>+data!C86</f>
        <v>330 S. STILLAGUAMISH AVE.</v>
      </c>
      <c r="F20" s="76"/>
      <c r="G20" s="76"/>
      <c r="H20" s="8"/>
      <c r="I20" s="8"/>
      <c r="J20" s="145"/>
    </row>
    <row r="21" spans="2:10" x14ac:dyDescent="0.25">
      <c r="B21" s="144"/>
      <c r="C21" s="151" t="s">
        <v>1018</v>
      </c>
      <c r="D21" s="151"/>
      <c r="E21" s="8" t="str">
        <f>+data!C87</f>
        <v>ARLINGTON, WA  98223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x14ac:dyDescent="0.2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12/31/2018.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 x14ac:dyDescent="0.2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12/31/2018</v>
      </c>
      <c r="C4" s="38"/>
      <c r="D4" s="120"/>
      <c r="E4" s="70"/>
      <c r="F4" s="127" t="str">
        <f>"License Number:  "&amp;"H-"&amp;FIXED(data!C83,0)</f>
        <v>License Number:  H-106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"&amp;data!C84</f>
        <v xml:space="preserve">  CASCADE VALLEY HOSPITAL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"&amp;data!C88</f>
        <v xml:space="preserve">  SNOHOMISH 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1029</v>
      </c>
      <c r="C7" s="24"/>
      <c r="D7" s="127" t="str">
        <f>"  "&amp;data!C89</f>
        <v xml:space="preserve">  Brian Ivie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1030</v>
      </c>
      <c r="C8" s="24"/>
      <c r="D8" s="127" t="str">
        <f>"  "&amp;data!C90</f>
        <v xml:space="preserve">  Paul Ishizuka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1031</v>
      </c>
      <c r="C9" s="24"/>
      <c r="D9" s="127" t="str">
        <f>"  "&amp;data!C91</f>
        <v xml:space="preserve">  Bruce Lisser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1032</v>
      </c>
      <c r="C10" s="24"/>
      <c r="D10" s="127" t="str">
        <f>"  "&amp;data!C92</f>
        <v xml:space="preserve">  (360)445-8514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1033</v>
      </c>
      <c r="C11" s="24"/>
      <c r="D11" s="127" t="str">
        <f>"  "&amp;data!C93</f>
        <v xml:space="preserve">  (360)445-8522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5">
      <c r="A19" s="111" t="str">
        <f>IF(data!C99&gt;0," X","")</f>
        <v xml:space="preserve"> X</v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1039</v>
      </c>
      <c r="C23" s="38"/>
      <c r="D23" s="38"/>
      <c r="E23" s="38"/>
      <c r="F23" s="13">
        <f>data!C111</f>
        <v>1423</v>
      </c>
      <c r="G23" s="21">
        <f>data!D111</f>
        <v>5659</v>
      </c>
      <c r="H23" s="7"/>
    </row>
    <row r="24" spans="1:9" ht="20.100000000000001" customHeight="1" x14ac:dyDescent="0.2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00000000000001" customHeight="1" x14ac:dyDescent="0.2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135</v>
      </c>
      <c r="G26" s="13">
        <f>data!D114</f>
        <v>258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data!C116</f>
        <v>6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 x14ac:dyDescent="0.25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 x14ac:dyDescent="0.25">
      <c r="A32" s="130"/>
      <c r="B32" s="97" t="s">
        <v>1044</v>
      </c>
      <c r="C32" s="24"/>
      <c r="D32" s="21">
        <f>data!C118</f>
        <v>38</v>
      </c>
      <c r="E32" s="49" t="s">
        <v>1045</v>
      </c>
      <c r="F32" s="24"/>
      <c r="G32" s="21">
        <f>data!C125</f>
        <v>0</v>
      </c>
      <c r="H32" s="7"/>
    </row>
    <row r="33" spans="1:8" ht="20.100000000000001" customHeight="1" x14ac:dyDescent="0.2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00000000000001" customHeight="1" x14ac:dyDescent="0.25">
      <c r="A34" s="130"/>
      <c r="B34" s="97" t="s">
        <v>1048</v>
      </c>
      <c r="C34" s="24"/>
      <c r="D34" s="21">
        <f>data!C120</f>
        <v>4</v>
      </c>
      <c r="E34" s="49" t="s">
        <v>291</v>
      </c>
      <c r="F34" s="24"/>
      <c r="G34" s="21">
        <f>data!E127</f>
        <v>48</v>
      </c>
      <c r="H34" s="7"/>
    </row>
    <row r="35" spans="1:8" ht="20.100000000000001" customHeight="1" x14ac:dyDescent="0.2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48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data!C129</f>
        <v>5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 x14ac:dyDescent="0.25">
      <c r="A2" s="105" t="str">
        <f>"Hospital Name: "&amp;data!C84</f>
        <v>Hospital Name: CASCADE VALLEY HOSPITAL</v>
      </c>
      <c r="B2" s="8"/>
      <c r="C2" s="8"/>
      <c r="D2" s="8"/>
      <c r="E2" s="8"/>
      <c r="F2" s="11"/>
      <c r="G2" s="76" t="s">
        <v>1054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12/31/2018</v>
      </c>
    </row>
    <row r="4" spans="1:13" ht="20.100000000000001" customHeight="1" x14ac:dyDescent="0.25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698.12379999999996</v>
      </c>
      <c r="C7" s="48">
        <f>data!B139</f>
        <v>2908.7673999999997</v>
      </c>
      <c r="D7" s="48">
        <f>data!B140</f>
        <v>16772.288199999999</v>
      </c>
      <c r="E7" s="48">
        <f>data!B141</f>
        <v>27597893.190000001</v>
      </c>
      <c r="F7" s="48">
        <f>data!B142</f>
        <v>32907823</v>
      </c>
      <c r="G7" s="48">
        <f>data!B141+data!B142</f>
        <v>60505716.189999998</v>
      </c>
    </row>
    <row r="8" spans="1:13" ht="20.100000000000001" customHeight="1" x14ac:dyDescent="0.25">
      <c r="A8" s="23" t="s">
        <v>297</v>
      </c>
      <c r="B8" s="48">
        <f>data!C138</f>
        <v>298.68770000000001</v>
      </c>
      <c r="C8" s="48">
        <f>data!C139</f>
        <v>1244.4971</v>
      </c>
      <c r="D8" s="48">
        <f>data!C140</f>
        <v>8588.6882000000005</v>
      </c>
      <c r="E8" s="48">
        <f>data!C141</f>
        <v>8753714</v>
      </c>
      <c r="F8" s="48">
        <f>data!C142</f>
        <v>31955024</v>
      </c>
      <c r="G8" s="48">
        <f>data!C141+data!C142</f>
        <v>40708738</v>
      </c>
    </row>
    <row r="9" spans="1:13" ht="20.100000000000001" customHeight="1" x14ac:dyDescent="0.25">
      <c r="A9" s="23" t="s">
        <v>1058</v>
      </c>
      <c r="B9" s="48">
        <f>data!D138</f>
        <v>426</v>
      </c>
      <c r="C9" s="48">
        <f>data!D139</f>
        <v>1776</v>
      </c>
      <c r="D9" s="48">
        <f>data!D140</f>
        <v>15557</v>
      </c>
      <c r="E9" s="48">
        <f>data!D141</f>
        <v>18177621.809999999</v>
      </c>
      <c r="F9" s="48">
        <f>data!D142</f>
        <v>44606849</v>
      </c>
      <c r="G9" s="48">
        <f>data!D141+data!D142</f>
        <v>62784470.810000002</v>
      </c>
    </row>
    <row r="10" spans="1:13" ht="20.100000000000001" customHeight="1" x14ac:dyDescent="0.25">
      <c r="A10" s="111" t="s">
        <v>203</v>
      </c>
      <c r="B10" s="48">
        <f>data!E138</f>
        <v>1422.8115</v>
      </c>
      <c r="C10" s="48">
        <f>data!E139</f>
        <v>5929.2644999999993</v>
      </c>
      <c r="D10" s="48">
        <f>data!E140</f>
        <v>40917.9764</v>
      </c>
      <c r="E10" s="48">
        <f>data!E141</f>
        <v>54529229</v>
      </c>
      <c r="F10" s="48">
        <f>data!E142</f>
        <v>109469696</v>
      </c>
      <c r="G10" s="48">
        <f>data!E141+data!E142</f>
        <v>163998925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00000000000001" customHeight="1" x14ac:dyDescent="0.2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00000000000001" customHeight="1" x14ac:dyDescent="0.2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00000000000001" customHeight="1" x14ac:dyDescent="0.2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1064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CASCADE VALLEY HOSPITAL</v>
      </c>
      <c r="B3" s="30"/>
      <c r="C3" s="31" t="str">
        <f>"FYE: "&amp;data!C82</f>
        <v>FYE: 12/31/2018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1065</v>
      </c>
      <c r="C6" s="13">
        <f>data!C165</f>
        <v>1504101.08</v>
      </c>
    </row>
    <row r="7" spans="1:13" ht="20.100000000000001" customHeight="1" x14ac:dyDescent="0.25">
      <c r="A7" s="40">
        <v>3</v>
      </c>
      <c r="B7" s="97" t="s">
        <v>308</v>
      </c>
      <c r="C7" s="13">
        <f>data!C166</f>
        <v>40708.39</v>
      </c>
    </row>
    <row r="8" spans="1:13" ht="20.100000000000001" customHeight="1" x14ac:dyDescent="0.25">
      <c r="A8" s="40">
        <v>4</v>
      </c>
      <c r="B8" s="49" t="s">
        <v>309</v>
      </c>
      <c r="C8" s="13">
        <f>data!C167</f>
        <v>0</v>
      </c>
    </row>
    <row r="9" spans="1:13" ht="20.100000000000001" customHeight="1" x14ac:dyDescent="0.25">
      <c r="A9" s="40">
        <v>5</v>
      </c>
      <c r="B9" s="49" t="s">
        <v>310</v>
      </c>
      <c r="C9" s="13">
        <f>data!C168</f>
        <v>1787268.01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37010.74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912618.25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307951.5299999998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0</v>
      </c>
    </row>
    <row r="14" spans="1:13" ht="20.100000000000001" customHeight="1" x14ac:dyDescent="0.25">
      <c r="A14" s="40">
        <v>10</v>
      </c>
      <c r="B14" s="49" t="s">
        <v>1066</v>
      </c>
      <c r="C14" s="13">
        <f>data!D173</f>
        <v>4589658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1067</v>
      </c>
      <c r="C18" s="13">
        <f>data!C175</f>
        <v>521882</v>
      </c>
    </row>
    <row r="19" spans="1:3" ht="20.100000000000001" customHeight="1" x14ac:dyDescent="0.25">
      <c r="A19" s="13">
        <v>13</v>
      </c>
      <c r="B19" s="49" t="s">
        <v>1068</v>
      </c>
      <c r="C19" s="13">
        <f>data!C176</f>
        <v>173370</v>
      </c>
    </row>
    <row r="20" spans="1:3" ht="20.100000000000001" customHeight="1" x14ac:dyDescent="0.25">
      <c r="A20" s="13">
        <v>14</v>
      </c>
      <c r="B20" s="49" t="s">
        <v>1069</v>
      </c>
      <c r="C20" s="13">
        <f>data!D177</f>
        <v>695252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1070</v>
      </c>
      <c r="C24" s="104"/>
    </row>
    <row r="25" spans="1:3" ht="20.100000000000001" customHeight="1" x14ac:dyDescent="0.25">
      <c r="A25" s="13">
        <v>17</v>
      </c>
      <c r="B25" s="49" t="s">
        <v>1071</v>
      </c>
      <c r="C25" s="13">
        <f>data!C179</f>
        <v>147336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0</v>
      </c>
    </row>
    <row r="27" spans="1:3" ht="20.100000000000001" customHeight="1" x14ac:dyDescent="0.25">
      <c r="A27" s="13">
        <v>19</v>
      </c>
      <c r="B27" s="49" t="s">
        <v>1072</v>
      </c>
      <c r="C27" s="13">
        <f>data!D181</f>
        <v>147336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1073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26480</v>
      </c>
    </row>
    <row r="32" spans="1:3" ht="20.100000000000001" customHeight="1" x14ac:dyDescent="0.25">
      <c r="A32" s="13">
        <v>22</v>
      </c>
      <c r="B32" s="49" t="s">
        <v>1074</v>
      </c>
      <c r="C32" s="13">
        <f>data!C184</f>
        <v>494207.39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5">
      <c r="A34" s="13">
        <v>24</v>
      </c>
      <c r="B34" s="49" t="s">
        <v>1075</v>
      </c>
      <c r="C34" s="13">
        <f>data!D186</f>
        <v>520687.39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1076</v>
      </c>
      <c r="C38" s="13">
        <f>data!C188</f>
        <v>0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55466</v>
      </c>
    </row>
    <row r="40" spans="1:3" ht="20.100000000000001" customHeight="1" x14ac:dyDescent="0.25">
      <c r="A40" s="13">
        <v>28</v>
      </c>
      <c r="B40" s="49" t="s">
        <v>1077</v>
      </c>
      <c r="C40" s="13">
        <f>data!D190</f>
        <v>55466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CASCADE VALLEY HOSPITAL</v>
      </c>
      <c r="B3" s="8"/>
      <c r="C3" s="8"/>
      <c r="E3" s="11"/>
      <c r="F3" s="12" t="str">
        <f>" FYE: "&amp;data!C82</f>
        <v xml:space="preserve"> FYE: 12/31/2018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 x14ac:dyDescent="0.2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0</v>
      </c>
      <c r="D7" s="21">
        <f>data!C195</f>
        <v>0</v>
      </c>
      <c r="E7" s="21">
        <f>data!D195</f>
        <v>0</v>
      </c>
      <c r="F7" s="21">
        <f>data!E195</f>
        <v>0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20183.5</v>
      </c>
      <c r="D8" s="21">
        <f>data!C196</f>
        <v>0</v>
      </c>
      <c r="E8" s="21">
        <f>data!D196</f>
        <v>0</v>
      </c>
      <c r="F8" s="21">
        <f>data!E196</f>
        <v>20183.5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39216</v>
      </c>
      <c r="D9" s="21">
        <f>data!C197</f>
        <v>36910.379999999997</v>
      </c>
      <c r="E9" s="21">
        <f>data!D197</f>
        <v>0</v>
      </c>
      <c r="F9" s="21">
        <f>data!E197</f>
        <v>76126.38</v>
      </c>
    </row>
    <row r="10" spans="1:13" ht="20.100000000000001" customHeight="1" x14ac:dyDescent="0.25">
      <c r="A10" s="13">
        <v>4</v>
      </c>
      <c r="B10" s="14" t="s">
        <v>1083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00000000000001" customHeight="1" x14ac:dyDescent="0.25">
      <c r="A11" s="13">
        <v>5</v>
      </c>
      <c r="B11" s="14" t="s">
        <v>1084</v>
      </c>
      <c r="C11" s="21">
        <f>data!B199</f>
        <v>43187.85</v>
      </c>
      <c r="D11" s="21">
        <f>data!C199</f>
        <v>94552.859999999986</v>
      </c>
      <c r="E11" s="21">
        <f>data!D199</f>
        <v>0</v>
      </c>
      <c r="F11" s="21">
        <f>data!E199</f>
        <v>137740.71</v>
      </c>
    </row>
    <row r="12" spans="1:13" ht="20.100000000000001" customHeight="1" x14ac:dyDescent="0.25">
      <c r="A12" s="13">
        <v>6</v>
      </c>
      <c r="B12" s="14" t="s">
        <v>1085</v>
      </c>
      <c r="C12" s="21">
        <f>data!B200</f>
        <v>2363693.11</v>
      </c>
      <c r="D12" s="21">
        <f>data!C200</f>
        <v>1274693.52</v>
      </c>
      <c r="E12" s="21">
        <f>data!D200</f>
        <v>0</v>
      </c>
      <c r="F12" s="21">
        <f>data!E200</f>
        <v>3638386.63</v>
      </c>
    </row>
    <row r="13" spans="1:13" ht="20.100000000000001" customHeight="1" x14ac:dyDescent="0.2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0</v>
      </c>
      <c r="D14" s="21">
        <f>data!C202</f>
        <v>76909.5</v>
      </c>
      <c r="E14" s="21">
        <f>data!D202</f>
        <v>0</v>
      </c>
      <c r="F14" s="21">
        <f>data!E202</f>
        <v>76909.5</v>
      </c>
    </row>
    <row r="15" spans="1:13" ht="20.100000000000001" customHeight="1" x14ac:dyDescent="0.25">
      <c r="A15" s="13">
        <v>9</v>
      </c>
      <c r="B15" s="14" t="s">
        <v>1087</v>
      </c>
      <c r="C15" s="21">
        <f>data!B203</f>
        <v>0</v>
      </c>
      <c r="D15" s="21">
        <f>data!C203</f>
        <v>0</v>
      </c>
      <c r="E15" s="21">
        <f>data!D203</f>
        <v>0</v>
      </c>
      <c r="F15" s="21">
        <f>data!E203</f>
        <v>0</v>
      </c>
      <c r="M15" s="269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2466280.46</v>
      </c>
      <c r="D16" s="21">
        <f>data!C204</f>
        <v>1483066.26</v>
      </c>
      <c r="E16" s="21">
        <f>data!D204</f>
        <v>0</v>
      </c>
      <c r="F16" s="21">
        <f>data!E204</f>
        <v>3949346.7199999997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 x14ac:dyDescent="0.2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1681.96</v>
      </c>
      <c r="D24" s="21">
        <f>data!C209</f>
        <v>1345.56</v>
      </c>
      <c r="E24" s="21">
        <f>data!D209</f>
        <v>0</v>
      </c>
      <c r="F24" s="21">
        <f>data!E209</f>
        <v>3027.52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1052.98</v>
      </c>
      <c r="D25" s="21">
        <f>data!C210</f>
        <v>4252.4799999999996</v>
      </c>
      <c r="E25" s="21">
        <f>data!D210</f>
        <v>0</v>
      </c>
      <c r="F25" s="21">
        <f>data!E210</f>
        <v>5305.4599999999991</v>
      </c>
    </row>
    <row r="26" spans="1:6" ht="20.100000000000001" customHeight="1" x14ac:dyDescent="0.25">
      <c r="A26" s="13">
        <v>14</v>
      </c>
      <c r="B26" s="14" t="s">
        <v>1083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00000000000001" customHeight="1" x14ac:dyDescent="0.25">
      <c r="A27" s="13">
        <v>15</v>
      </c>
      <c r="B27" s="14" t="s">
        <v>1084</v>
      </c>
      <c r="C27" s="21">
        <f>data!B212</f>
        <v>1783.34</v>
      </c>
      <c r="D27" s="21">
        <f>data!C212</f>
        <v>7989.29</v>
      </c>
      <c r="E27" s="21">
        <f>data!D212</f>
        <v>0</v>
      </c>
      <c r="F27" s="21">
        <f>data!E212</f>
        <v>9772.6299999999992</v>
      </c>
    </row>
    <row r="28" spans="1:6" ht="20.100000000000001" customHeight="1" x14ac:dyDescent="0.25">
      <c r="A28" s="13">
        <v>16</v>
      </c>
      <c r="B28" s="14" t="s">
        <v>1085</v>
      </c>
      <c r="C28" s="21">
        <f>data!B213</f>
        <v>170874.7</v>
      </c>
      <c r="D28" s="21">
        <f>data!C213</f>
        <v>527936.25</v>
      </c>
      <c r="E28" s="21">
        <f>data!D213</f>
        <v>0</v>
      </c>
      <c r="F28" s="21">
        <f>data!E213</f>
        <v>698810.95</v>
      </c>
    </row>
    <row r="29" spans="1:6" ht="20.100000000000001" customHeight="1" x14ac:dyDescent="0.2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0</v>
      </c>
      <c r="D30" s="21">
        <f>data!C215</f>
        <v>1281.83</v>
      </c>
      <c r="E30" s="21">
        <f>data!D215</f>
        <v>0</v>
      </c>
      <c r="F30" s="21">
        <f>data!E215</f>
        <v>1281.83</v>
      </c>
    </row>
    <row r="31" spans="1:6" ht="20.100000000000001" customHeight="1" x14ac:dyDescent="0.2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175392.98</v>
      </c>
      <c r="D32" s="21">
        <f>data!C217</f>
        <v>542805.40999999992</v>
      </c>
      <c r="E32" s="21">
        <f>data!D217</f>
        <v>0</v>
      </c>
      <c r="F32" s="21">
        <f>data!E217</f>
        <v>718198.3899999999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1089</v>
      </c>
      <c r="B1" s="6"/>
      <c r="C1" s="6"/>
      <c r="D1" s="169" t="s">
        <v>1090</v>
      </c>
    </row>
    <row r="2" spans="1:13" ht="20.100000000000001" customHeight="1" x14ac:dyDescent="0.25">
      <c r="A2" s="29" t="str">
        <f>"Hospital: "&amp;data!C84</f>
        <v>Hospital: CASCADE VALLEY HOSPITAL</v>
      </c>
      <c r="B2" s="30"/>
      <c r="C2" s="30"/>
      <c r="D2" s="31" t="str">
        <f>"FYE: "&amp;data!C82</f>
        <v>FYE: 12/31/2018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1091</v>
      </c>
      <c r="C4" s="41" t="s">
        <v>1092</v>
      </c>
      <c r="D4" s="54"/>
    </row>
    <row r="5" spans="1:13" ht="20.100000000000001" customHeight="1" x14ac:dyDescent="0.25">
      <c r="A5" s="102">
        <v>1</v>
      </c>
      <c r="B5" s="55"/>
      <c r="C5" s="22" t="s">
        <v>1255</v>
      </c>
      <c r="D5" s="14">
        <f>data!D221</f>
        <v>5245874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data!C223</f>
        <v>43060475.199999996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data!C224</f>
        <v>34138145.960000016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1573611.72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5048354.79</v>
      </c>
    </row>
    <row r="11" spans="1:13" ht="20.100000000000001" customHeight="1" x14ac:dyDescent="0.25">
      <c r="A11" s="13">
        <v>7</v>
      </c>
      <c r="B11" s="55">
        <v>5850</v>
      </c>
      <c r="C11" s="14" t="s">
        <v>1093</v>
      </c>
      <c r="D11" s="14">
        <f>data!C227</f>
        <v>20156967.66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0</v>
      </c>
    </row>
    <row r="13" spans="1:13" ht="20.100000000000001" customHeight="1" x14ac:dyDescent="0.25">
      <c r="A13" s="23">
        <v>9</v>
      </c>
      <c r="B13" s="24"/>
      <c r="C13" s="14" t="s">
        <v>1094</v>
      </c>
      <c r="D13" s="14">
        <f>data!D229</f>
        <v>103977555.33000001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1095</v>
      </c>
      <c r="D16" s="140">
        <f>+data!C231</f>
        <v>0</v>
      </c>
      <c r="M16" s="269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>
        <f>data!C233</f>
        <v>1004881.2</v>
      </c>
    </row>
    <row r="19" spans="1:4" ht="20.100000000000001" customHeight="1" x14ac:dyDescent="0.25">
      <c r="A19" s="61">
        <v>15</v>
      </c>
      <c r="B19" s="55">
        <v>5910</v>
      </c>
      <c r="C19" s="22" t="s">
        <v>1096</v>
      </c>
      <c r="D19" s="14">
        <f>data!C234</f>
        <v>7442.8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1097</v>
      </c>
      <c r="D22" s="14">
        <f>data!D236</f>
        <v>1012324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75">
        <v>20</v>
      </c>
      <c r="B24" s="55">
        <v>5970</v>
      </c>
      <c r="C24" s="14" t="s">
        <v>357</v>
      </c>
      <c r="D24" s="14">
        <f>data!C238</f>
        <v>1462748.6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1098</v>
      </c>
      <c r="D26" s="14">
        <f>data!C239</f>
        <v>2508443.59</v>
      </c>
    </row>
    <row r="27" spans="1:4" ht="20.100000000000001" customHeight="1" x14ac:dyDescent="0.25">
      <c r="A27" s="64">
        <v>23</v>
      </c>
      <c r="B27" s="63" t="s">
        <v>1099</v>
      </c>
      <c r="C27" s="56"/>
      <c r="D27" s="14">
        <f>data!D242</f>
        <v>114206945.52000001</v>
      </c>
    </row>
    <row r="28" spans="1:4" ht="20.100000000000001" customHeight="1" x14ac:dyDescent="0.25">
      <c r="A28" s="126">
        <v>24</v>
      </c>
      <c r="B28" s="65" t="s">
        <v>1100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1101</v>
      </c>
      <c r="B1" s="5"/>
      <c r="C1" s="6"/>
    </row>
    <row r="2" spans="1:13" ht="20.100000000000001" customHeight="1" x14ac:dyDescent="0.25">
      <c r="A2" s="4"/>
      <c r="B2" s="5"/>
      <c r="C2" s="167" t="s">
        <v>1102</v>
      </c>
    </row>
    <row r="3" spans="1:13" ht="20.100000000000001" customHeight="1" x14ac:dyDescent="0.25">
      <c r="A3" s="29" t="str">
        <f>"HOSPITAL: "&amp;data!C84</f>
        <v>HOSPITAL: CASCADE VALLEY HOSPITAL</v>
      </c>
      <c r="B3" s="30"/>
      <c r="C3" s="31" t="str">
        <f>" FYE: "&amp;data!C82</f>
        <v xml:space="preserve"> FYE: 12/31/2018</v>
      </c>
    </row>
    <row r="4" spans="1:13" ht="20.100000000000001" customHeight="1" x14ac:dyDescent="0.25">
      <c r="A4" s="32"/>
      <c r="B4" s="33" t="s">
        <v>1103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data!C250</f>
        <v>2877.1600000000071</v>
      </c>
    </row>
    <row r="7" spans="1:13" ht="20.100000000000001" customHeight="1" x14ac:dyDescent="0.25">
      <c r="A7" s="13">
        <v>3</v>
      </c>
      <c r="B7" s="14" t="s">
        <v>363</v>
      </c>
      <c r="C7" s="21">
        <f>data!C251</f>
        <v>7600480.3200000003</v>
      </c>
    </row>
    <row r="8" spans="1:13" ht="20.100000000000001" customHeight="1" x14ac:dyDescent="0.25">
      <c r="A8" s="13">
        <v>4</v>
      </c>
      <c r="B8" s="14" t="s">
        <v>364</v>
      </c>
      <c r="C8" s="21">
        <f>data!C252</f>
        <v>25712903</v>
      </c>
    </row>
    <row r="9" spans="1:13" ht="20.100000000000001" customHeight="1" x14ac:dyDescent="0.25">
      <c r="A9" s="13">
        <v>5</v>
      </c>
      <c r="B9" s="14" t="s">
        <v>1104</v>
      </c>
      <c r="C9" s="21">
        <f>data!C253</f>
        <v>18866249</v>
      </c>
    </row>
    <row r="10" spans="1:13" ht="20.100000000000001" customHeight="1" x14ac:dyDescent="0.25">
      <c r="A10" s="13">
        <v>6</v>
      </c>
      <c r="B10" s="14" t="s">
        <v>1105</v>
      </c>
      <c r="C10" s="21">
        <f>data!C254</f>
        <v>0</v>
      </c>
    </row>
    <row r="11" spans="1:13" ht="20.100000000000001" customHeight="1" x14ac:dyDescent="0.25">
      <c r="A11" s="13">
        <v>7</v>
      </c>
      <c r="B11" s="14" t="s">
        <v>1106</v>
      </c>
      <c r="C11" s="21">
        <f>data!C255</f>
        <v>347668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5">
      <c r="A13" s="13">
        <v>9</v>
      </c>
      <c r="B13" s="14" t="s">
        <v>368</v>
      </c>
      <c r="C13" s="21">
        <f>data!C257</f>
        <v>1226171</v>
      </c>
    </row>
    <row r="14" spans="1:13" ht="20.100000000000001" customHeight="1" x14ac:dyDescent="0.25">
      <c r="A14" s="13">
        <v>10</v>
      </c>
      <c r="B14" s="14" t="s">
        <v>369</v>
      </c>
      <c r="C14" s="21">
        <f>data!C258</f>
        <v>0</v>
      </c>
    </row>
    <row r="15" spans="1:13" ht="20.100000000000001" customHeight="1" x14ac:dyDescent="0.25">
      <c r="A15" s="13">
        <v>11</v>
      </c>
      <c r="B15" s="14" t="s">
        <v>1107</v>
      </c>
      <c r="C15" s="21">
        <f>data!C259</f>
        <v>0</v>
      </c>
      <c r="M15" s="269"/>
    </row>
    <row r="16" spans="1:13" ht="20.100000000000001" customHeight="1" x14ac:dyDescent="0.25">
      <c r="A16" s="13">
        <v>12</v>
      </c>
      <c r="B16" s="14" t="s">
        <v>1108</v>
      </c>
      <c r="C16" s="21">
        <f>data!D260</f>
        <v>16023850.48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1109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data!C262</f>
        <v>0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14007579.74</v>
      </c>
    </row>
    <row r="21" spans="1:3" ht="20.100000000000001" customHeight="1" x14ac:dyDescent="0.25">
      <c r="A21" s="13">
        <v>17</v>
      </c>
      <c r="B21" s="14" t="s">
        <v>373</v>
      </c>
      <c r="C21" s="21">
        <f>data!C264</f>
        <v>0</v>
      </c>
    </row>
    <row r="22" spans="1:3" ht="20.100000000000001" customHeight="1" x14ac:dyDescent="0.25">
      <c r="A22" s="13">
        <v>18</v>
      </c>
      <c r="B22" s="14" t="s">
        <v>1110</v>
      </c>
      <c r="C22" s="21">
        <f>data!D265</f>
        <v>14007579.74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1111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data!C267</f>
        <v>0</v>
      </c>
    </row>
    <row r="26" spans="1:3" ht="20.100000000000001" customHeight="1" x14ac:dyDescent="0.25">
      <c r="A26" s="13">
        <v>22</v>
      </c>
      <c r="B26" s="14" t="s">
        <v>333</v>
      </c>
      <c r="C26" s="21">
        <f>data!C268</f>
        <v>20183.5</v>
      </c>
    </row>
    <row r="27" spans="1:3" ht="20.100000000000001" customHeight="1" x14ac:dyDescent="0.25">
      <c r="A27" s="13">
        <v>23</v>
      </c>
      <c r="B27" s="14" t="s">
        <v>334</v>
      </c>
      <c r="C27" s="21">
        <f>data!C269</f>
        <v>76126</v>
      </c>
    </row>
    <row r="28" spans="1:3" ht="20.100000000000001" customHeight="1" x14ac:dyDescent="0.25">
      <c r="A28" s="13">
        <v>24</v>
      </c>
      <c r="B28" s="14" t="s">
        <v>1112</v>
      </c>
      <c r="C28" s="21">
        <f>data!C270</f>
        <v>0</v>
      </c>
    </row>
    <row r="29" spans="1:3" ht="20.100000000000001" customHeight="1" x14ac:dyDescent="0.25">
      <c r="A29" s="13">
        <v>25</v>
      </c>
      <c r="B29" s="14" t="s">
        <v>336</v>
      </c>
      <c r="C29" s="21">
        <f>data!C271</f>
        <v>137740.71</v>
      </c>
    </row>
    <row r="30" spans="1:3" ht="20.100000000000001" customHeight="1" x14ac:dyDescent="0.25">
      <c r="A30" s="13">
        <v>26</v>
      </c>
      <c r="B30" s="14" t="s">
        <v>378</v>
      </c>
      <c r="C30" s="21">
        <f>data!C272</f>
        <v>3638386.63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76909.5</v>
      </c>
    </row>
    <row r="32" spans="1:3" ht="20.100000000000001" customHeight="1" x14ac:dyDescent="0.25">
      <c r="A32" s="13">
        <v>28</v>
      </c>
      <c r="B32" s="14" t="s">
        <v>340</v>
      </c>
      <c r="C32" s="21">
        <f>data!C274</f>
        <v>0</v>
      </c>
    </row>
    <row r="33" spans="1:3" ht="20.100000000000001" customHeight="1" x14ac:dyDescent="0.25">
      <c r="A33" s="13">
        <v>29</v>
      </c>
      <c r="B33" s="14" t="s">
        <v>661</v>
      </c>
      <c r="C33" s="21">
        <f>data!D275</f>
        <v>3949346.34</v>
      </c>
    </row>
    <row r="34" spans="1:3" ht="20.100000000000001" customHeight="1" x14ac:dyDescent="0.25">
      <c r="A34" s="13">
        <v>30</v>
      </c>
      <c r="B34" s="14" t="s">
        <v>1113</v>
      </c>
      <c r="C34" s="21">
        <f>data!C276</f>
        <v>718198.3899999999</v>
      </c>
    </row>
    <row r="35" spans="1:3" ht="20.100000000000001" customHeight="1" x14ac:dyDescent="0.25">
      <c r="A35" s="13">
        <v>31</v>
      </c>
      <c r="B35" s="14" t="s">
        <v>1114</v>
      </c>
      <c r="C35" s="21">
        <f>data!D277</f>
        <v>3231147.95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1115</v>
      </c>
      <c r="C37" s="36"/>
    </row>
    <row r="38" spans="1:3" ht="20.100000000000001" customHeight="1" x14ac:dyDescent="0.25">
      <c r="A38" s="13">
        <v>34</v>
      </c>
      <c r="B38" s="14" t="s">
        <v>1116</v>
      </c>
      <c r="C38" s="21">
        <f>data!C279</f>
        <v>0</v>
      </c>
    </row>
    <row r="39" spans="1:3" ht="20.100000000000001" customHeight="1" x14ac:dyDescent="0.25">
      <c r="A39" s="13">
        <v>35</v>
      </c>
      <c r="B39" s="14" t="s">
        <v>1117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52136.959999999999</v>
      </c>
    </row>
    <row r="41" spans="1:3" ht="20.100000000000001" customHeight="1" x14ac:dyDescent="0.25">
      <c r="A41" s="13">
        <v>37</v>
      </c>
      <c r="B41" s="14" t="s">
        <v>373</v>
      </c>
      <c r="C41" s="21">
        <f>data!C282</f>
        <v>0</v>
      </c>
    </row>
    <row r="42" spans="1:3" ht="20.100000000000001" customHeight="1" x14ac:dyDescent="0.25">
      <c r="A42" s="13">
        <v>38</v>
      </c>
      <c r="B42" s="14" t="s">
        <v>1118</v>
      </c>
      <c r="C42" s="21">
        <f>data!D283</f>
        <v>52136.959999999999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1119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0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5">
      <c r="A47" s="13">
        <v>43</v>
      </c>
      <c r="B47" s="14" t="s">
        <v>1120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0</v>
      </c>
    </row>
    <row r="49" spans="1:3" ht="20.100000000000001" customHeight="1" x14ac:dyDescent="0.25">
      <c r="A49" s="13">
        <v>45</v>
      </c>
      <c r="B49" s="14" t="s">
        <v>1121</v>
      </c>
      <c r="C49" s="21">
        <f>data!D290</f>
        <v>0</v>
      </c>
    </row>
    <row r="50" spans="1:3" ht="20.100000000000001" customHeight="1" x14ac:dyDescent="0.25">
      <c r="A50" s="40">
        <v>46</v>
      </c>
      <c r="B50" s="41" t="s">
        <v>1122</v>
      </c>
      <c r="C50" s="21">
        <f>data!D292</f>
        <v>33314715.129999999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1123</v>
      </c>
      <c r="B53" s="5"/>
      <c r="C53" s="6"/>
    </row>
    <row r="54" spans="1:3" ht="20.100000000000001" customHeight="1" x14ac:dyDescent="0.25">
      <c r="A54" s="4"/>
      <c r="B54" s="5"/>
      <c r="C54" s="167" t="s">
        <v>1124</v>
      </c>
    </row>
    <row r="55" spans="1:3" ht="20.100000000000001" customHeight="1" x14ac:dyDescent="0.25">
      <c r="A55" s="29" t="str">
        <f>"HOSPITAL: "&amp;data!C84</f>
        <v>HOSPITAL: CASCADE VALLEY HOSPITAL</v>
      </c>
      <c r="B55" s="30"/>
      <c r="C55" s="31" t="str">
        <f>"FYE: "&amp;data!C82</f>
        <v>FYE: 12/31/2018</v>
      </c>
    </row>
    <row r="56" spans="1:3" ht="20.100000000000001" customHeight="1" x14ac:dyDescent="0.25">
      <c r="A56" s="42"/>
      <c r="B56" s="43" t="s">
        <v>1125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data!C305</f>
        <v>112046</v>
      </c>
    </row>
    <row r="59" spans="1:3" ht="20.100000000000001" customHeight="1" x14ac:dyDescent="0.25">
      <c r="A59" s="13">
        <v>3</v>
      </c>
      <c r="B59" s="14" t="s">
        <v>1126</v>
      </c>
      <c r="C59" s="21" t="e">
        <f>data!#REF!</f>
        <v>#REF!</v>
      </c>
    </row>
    <row r="60" spans="1:3" ht="20.100000000000001" customHeight="1" x14ac:dyDescent="0.25">
      <c r="A60" s="13">
        <v>4</v>
      </c>
      <c r="B60" s="14" t="s">
        <v>1127</v>
      </c>
      <c r="C60" s="21">
        <f>data!C306</f>
        <v>0</v>
      </c>
    </row>
    <row r="61" spans="1:3" ht="20.100000000000001" customHeight="1" x14ac:dyDescent="0.25">
      <c r="A61" s="13">
        <v>5</v>
      </c>
      <c r="B61" s="14" t="s">
        <v>399</v>
      </c>
      <c r="C61" s="21">
        <f>data!C307</f>
        <v>0</v>
      </c>
    </row>
    <row r="62" spans="1:3" ht="20.100000000000001" customHeight="1" x14ac:dyDescent="0.25">
      <c r="A62" s="13">
        <v>6</v>
      </c>
      <c r="B62" s="14" t="s">
        <v>1128</v>
      </c>
      <c r="C62" s="21">
        <f>data!C308</f>
        <v>0</v>
      </c>
    </row>
    <row r="63" spans="1:3" ht="20.100000000000001" customHeight="1" x14ac:dyDescent="0.25">
      <c r="A63" s="13">
        <v>7</v>
      </c>
      <c r="B63" s="14" t="s">
        <v>1129</v>
      </c>
      <c r="C63" s="21">
        <f>data!C309</f>
        <v>1072713</v>
      </c>
    </row>
    <row r="64" spans="1:3" ht="20.100000000000001" customHeight="1" x14ac:dyDescent="0.25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0</v>
      </c>
    </row>
    <row r="67" spans="1:3" ht="20.100000000000001" customHeight="1" x14ac:dyDescent="0.25">
      <c r="A67" s="13">
        <v>11</v>
      </c>
      <c r="B67" s="14" t="s">
        <v>1130</v>
      </c>
      <c r="C67" s="21">
        <f>data!C313</f>
        <v>0</v>
      </c>
    </row>
    <row r="68" spans="1:3" ht="20.100000000000001" customHeight="1" x14ac:dyDescent="0.25">
      <c r="A68" s="13">
        <v>12</v>
      </c>
      <c r="B68" s="14" t="s">
        <v>1131</v>
      </c>
      <c r="C68" s="21">
        <f>data!D314</f>
        <v>1184759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1132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1133</v>
      </c>
      <c r="C72" s="21">
        <f>data!C317</f>
        <v>0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0</v>
      </c>
    </row>
    <row r="74" spans="1:3" ht="20.100000000000001" customHeight="1" x14ac:dyDescent="0.25">
      <c r="A74" s="13">
        <v>18</v>
      </c>
      <c r="B74" s="14" t="s">
        <v>1134</v>
      </c>
      <c r="C74" s="21">
        <f>data!D319</f>
        <v>0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5">
      <c r="A78" s="13">
        <v>22</v>
      </c>
      <c r="B78" s="14" t="s">
        <v>1135</v>
      </c>
      <c r="C78" s="21">
        <f>data!C322</f>
        <v>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0</v>
      </c>
    </row>
    <row r="80" spans="1:3" ht="20.100000000000001" customHeight="1" x14ac:dyDescent="0.25">
      <c r="A80" s="13">
        <v>24</v>
      </c>
      <c r="B80" s="14" t="s">
        <v>1136</v>
      </c>
      <c r="C80" s="21">
        <f>data!C324</f>
        <v>513555.36</v>
      </c>
    </row>
    <row r="81" spans="1:3" ht="20.100000000000001" customHeight="1" x14ac:dyDescent="0.25">
      <c r="A81" s="13">
        <v>25</v>
      </c>
      <c r="B81" s="14" t="s">
        <v>416</v>
      </c>
      <c r="C81" s="21">
        <f>data!C325</f>
        <v>0</v>
      </c>
    </row>
    <row r="82" spans="1:3" ht="20.100000000000001" customHeight="1" x14ac:dyDescent="0.25">
      <c r="A82" s="13">
        <v>26</v>
      </c>
      <c r="B82" s="14" t="s">
        <v>1137</v>
      </c>
      <c r="C82" s="21">
        <f>data!C326</f>
        <v>0</v>
      </c>
    </row>
    <row r="83" spans="1:3" ht="20.100000000000001" customHeight="1" x14ac:dyDescent="0.25">
      <c r="A83" s="13">
        <v>27</v>
      </c>
      <c r="B83" s="14" t="s">
        <v>418</v>
      </c>
      <c r="C83" s="21">
        <f>data!C327</f>
        <v>0</v>
      </c>
    </row>
    <row r="84" spans="1:3" ht="20.100000000000001" customHeight="1" x14ac:dyDescent="0.25">
      <c r="A84" s="13">
        <v>28</v>
      </c>
      <c r="B84" s="14" t="s">
        <v>661</v>
      </c>
      <c r="C84" s="21">
        <f>data!D328</f>
        <v>513555.36</v>
      </c>
    </row>
    <row r="85" spans="1:3" ht="20.100000000000001" customHeight="1" x14ac:dyDescent="0.25">
      <c r="A85" s="13">
        <v>29</v>
      </c>
      <c r="B85" s="14" t="s">
        <v>1138</v>
      </c>
      <c r="C85" s="21">
        <f>data!D329</f>
        <v>0</v>
      </c>
    </row>
    <row r="86" spans="1:3" ht="20.100000000000001" customHeight="1" x14ac:dyDescent="0.25">
      <c r="A86" s="13">
        <v>30</v>
      </c>
      <c r="B86" s="14" t="s">
        <v>1139</v>
      </c>
      <c r="C86" s="21">
        <f>data!D330</f>
        <v>513555.36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1140</v>
      </c>
      <c r="C88" s="21">
        <f>data!C332</f>
        <v>31616401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1141</v>
      </c>
      <c r="C90" s="36"/>
    </row>
    <row r="91" spans="1:3" ht="20.100000000000001" customHeight="1" x14ac:dyDescent="0.25">
      <c r="A91" s="13">
        <v>35</v>
      </c>
      <c r="B91" s="14" t="s">
        <v>1142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1143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1144</v>
      </c>
      <c r="C95" s="21">
        <f>data!C336</f>
        <v>0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1145</v>
      </c>
      <c r="C97" s="21">
        <f>data!C337</f>
        <v>0</v>
      </c>
    </row>
    <row r="98" spans="1:3" ht="20.100000000000001" customHeight="1" x14ac:dyDescent="0.25">
      <c r="A98" s="13">
        <v>42</v>
      </c>
      <c r="B98" s="14" t="s">
        <v>1146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1148</v>
      </c>
      <c r="C101" s="21">
        <f>data!C332+data!C334+data!C335+data!C336+data!C337-data!C338</f>
        <v>31616401</v>
      </c>
    </row>
    <row r="102" spans="1:3" ht="20.100000000000001" customHeight="1" x14ac:dyDescent="0.25">
      <c r="A102" s="13">
        <v>46</v>
      </c>
      <c r="B102" s="14" t="s">
        <v>1149</v>
      </c>
      <c r="C102" s="21">
        <f>data!D339</f>
        <v>33314715.359999999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1150</v>
      </c>
      <c r="B105" s="5"/>
      <c r="C105" s="6"/>
    </row>
    <row r="106" spans="1:3" ht="20.100000000000001" customHeight="1" x14ac:dyDescent="0.25">
      <c r="A106" s="45"/>
      <c r="B106" s="8"/>
      <c r="C106" s="167" t="s">
        <v>1151</v>
      </c>
    </row>
    <row r="107" spans="1:3" ht="20.100000000000001" customHeight="1" x14ac:dyDescent="0.25">
      <c r="A107" s="29" t="str">
        <f>"HOSPITAL: "&amp;data!C84</f>
        <v>HOSPITAL: CASCADE VALLEY HOSPITAL</v>
      </c>
      <c r="B107" s="30"/>
      <c r="C107" s="31" t="str">
        <f>" FYE: "&amp;data!C82</f>
        <v xml:space="preserve"> FYE: 12/31/2018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1152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data!C359</f>
        <v>54529229</v>
      </c>
    </row>
    <row r="111" spans="1:3" ht="20.100000000000001" customHeight="1" x14ac:dyDescent="0.25">
      <c r="A111" s="13">
        <v>3</v>
      </c>
      <c r="B111" s="14" t="s">
        <v>429</v>
      </c>
      <c r="C111" s="21">
        <f>data!C360</f>
        <v>109469696</v>
      </c>
    </row>
    <row r="112" spans="1:3" ht="20.100000000000001" customHeight="1" x14ac:dyDescent="0.25">
      <c r="A112" s="13">
        <v>4</v>
      </c>
      <c r="B112" s="14" t="s">
        <v>1153</v>
      </c>
      <c r="C112" s="21">
        <f>data!D361</f>
        <v>163998925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1154</v>
      </c>
      <c r="C114" s="36"/>
    </row>
    <row r="115" spans="1:3" ht="20.100000000000001" customHeight="1" x14ac:dyDescent="0.25">
      <c r="A115" s="13">
        <v>7</v>
      </c>
      <c r="B115" s="274" t="s">
        <v>450</v>
      </c>
      <c r="C115" s="48">
        <f>data!C363</f>
        <v>5245874</v>
      </c>
    </row>
    <row r="116" spans="1:3" ht="20.100000000000001" customHeight="1" x14ac:dyDescent="0.25">
      <c r="A116" s="13">
        <v>8</v>
      </c>
      <c r="B116" s="14" t="s">
        <v>432</v>
      </c>
      <c r="C116" s="48">
        <f>data!C364</f>
        <v>107948748</v>
      </c>
    </row>
    <row r="117" spans="1:3" ht="20.100000000000001" customHeight="1" x14ac:dyDescent="0.25">
      <c r="A117" s="13">
        <v>9</v>
      </c>
      <c r="B117" s="14" t="s">
        <v>1155</v>
      </c>
      <c r="C117" s="48">
        <f>data!C365</f>
        <v>1012324</v>
      </c>
    </row>
    <row r="118" spans="1:3" ht="20.100000000000001" customHeight="1" x14ac:dyDescent="0.25">
      <c r="A118" s="13">
        <v>10</v>
      </c>
      <c r="B118" s="14" t="s">
        <v>1156</v>
      </c>
      <c r="C118" s="48">
        <f>data!C366</f>
        <v>0</v>
      </c>
    </row>
    <row r="119" spans="1:3" ht="20.100000000000001" customHeight="1" x14ac:dyDescent="0.25">
      <c r="A119" s="13">
        <v>11</v>
      </c>
      <c r="B119" s="14" t="s">
        <v>1099</v>
      </c>
      <c r="C119" s="48">
        <f>data!D367</f>
        <v>114206946</v>
      </c>
    </row>
    <row r="120" spans="1:3" ht="20.100000000000001" customHeight="1" x14ac:dyDescent="0.25">
      <c r="A120" s="13">
        <v>12</v>
      </c>
      <c r="B120" s="14" t="s">
        <v>1157</v>
      </c>
      <c r="C120" s="48">
        <f>data!D368</f>
        <v>49791979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data!C370</f>
        <v>2394307</v>
      </c>
    </row>
    <row r="124" spans="1:3" ht="20.100000000000001" customHeight="1" x14ac:dyDescent="0.25">
      <c r="A124" s="13">
        <v>16</v>
      </c>
      <c r="B124" s="14" t="s">
        <v>438</v>
      </c>
      <c r="C124" s="48">
        <f>data!C371</f>
        <v>0</v>
      </c>
    </row>
    <row r="125" spans="1:3" ht="20.100000000000001" customHeight="1" x14ac:dyDescent="0.25">
      <c r="A125" s="13">
        <v>17</v>
      </c>
      <c r="B125" s="14" t="s">
        <v>1158</v>
      </c>
      <c r="C125" s="48">
        <f>data!D372</f>
        <v>2394307</v>
      </c>
    </row>
    <row r="126" spans="1:3" ht="20.100000000000001" customHeight="1" x14ac:dyDescent="0.25">
      <c r="A126" s="13">
        <v>18</v>
      </c>
      <c r="B126" s="14" t="s">
        <v>1159</v>
      </c>
      <c r="C126" s="48">
        <f>data!D373</f>
        <v>52186286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1160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data!C378</f>
        <v>23401366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4589658</v>
      </c>
    </row>
    <row r="131" spans="1:3" ht="20.100000000000001" customHeight="1" x14ac:dyDescent="0.25">
      <c r="A131" s="13">
        <v>23</v>
      </c>
      <c r="B131" s="14" t="s">
        <v>236</v>
      </c>
      <c r="C131" s="48">
        <f>data!C380</f>
        <v>2248814</v>
      </c>
    </row>
    <row r="132" spans="1:3" ht="20.100000000000001" customHeight="1" x14ac:dyDescent="0.25">
      <c r="A132" s="13">
        <v>24</v>
      </c>
      <c r="B132" s="14" t="s">
        <v>237</v>
      </c>
      <c r="C132" s="48">
        <f>data!C381</f>
        <v>6805433</v>
      </c>
    </row>
    <row r="133" spans="1:3" ht="20.100000000000001" customHeight="1" x14ac:dyDescent="0.25">
      <c r="A133" s="13">
        <v>25</v>
      </c>
      <c r="B133" s="14" t="s">
        <v>1161</v>
      </c>
      <c r="C133" s="48">
        <f>data!C382</f>
        <v>795553</v>
      </c>
    </row>
    <row r="134" spans="1:3" ht="20.100000000000001" customHeight="1" x14ac:dyDescent="0.25">
      <c r="A134" s="13">
        <v>26</v>
      </c>
      <c r="B134" s="14" t="s">
        <v>1162</v>
      </c>
      <c r="C134" s="48">
        <f>data!C383</f>
        <v>4559398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542805</v>
      </c>
    </row>
    <row r="136" spans="1:3" ht="20.100000000000001" customHeight="1" x14ac:dyDescent="0.25">
      <c r="A136" s="13">
        <v>28</v>
      </c>
      <c r="B136" s="14" t="s">
        <v>1163</v>
      </c>
      <c r="C136" s="48">
        <f>data!C385</f>
        <v>695249.91</v>
      </c>
    </row>
    <row r="137" spans="1:3" ht="20.100000000000001" customHeight="1" x14ac:dyDescent="0.25">
      <c r="A137" s="13">
        <v>29</v>
      </c>
      <c r="B137" s="14" t="s">
        <v>447</v>
      </c>
      <c r="C137" s="48">
        <f>data!C386</f>
        <v>147336</v>
      </c>
    </row>
    <row r="138" spans="1:3" ht="20.100000000000001" customHeight="1" x14ac:dyDescent="0.25">
      <c r="A138" s="13">
        <v>30</v>
      </c>
      <c r="B138" s="14" t="s">
        <v>1164</v>
      </c>
      <c r="C138" s="48">
        <f>data!C387</f>
        <v>520687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55467.630000000005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12878903</v>
      </c>
    </row>
    <row r="141" spans="1:3" ht="20.100000000000001" customHeight="1" x14ac:dyDescent="0.25">
      <c r="A141" s="13">
        <v>34</v>
      </c>
      <c r="B141" s="14" t="s">
        <v>1165</v>
      </c>
      <c r="C141" s="48">
        <f>data!D390</f>
        <v>57240670.539999999</v>
      </c>
    </row>
    <row r="142" spans="1:3" ht="20.100000000000001" customHeight="1" x14ac:dyDescent="0.25">
      <c r="A142" s="13">
        <v>35</v>
      </c>
      <c r="B142" s="14" t="s">
        <v>1166</v>
      </c>
      <c r="C142" s="48">
        <f>data!D391</f>
        <v>-5054384.5399999991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1167</v>
      </c>
      <c r="C144" s="48">
        <f>data!C392</f>
        <v>375342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1168</v>
      </c>
      <c r="C146" s="21">
        <f>data!D393</f>
        <v>-4679042.5399999991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1169</v>
      </c>
      <c r="C148" s="48">
        <f>data!C394</f>
        <v>2011331</v>
      </c>
    </row>
    <row r="149" spans="1:3" ht="20.100000000000001" customHeight="1" x14ac:dyDescent="0.25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1171</v>
      </c>
      <c r="C151" s="48">
        <f>data!D396</f>
        <v>-2667711.5399999991</v>
      </c>
    </row>
    <row r="152" spans="1:3" ht="20.100000000000001" customHeight="1" x14ac:dyDescent="0.25">
      <c r="A152" s="40">
        <v>45</v>
      </c>
      <c r="B152" s="49" t="s">
        <v>1172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84"/>
  <sheetViews>
    <sheetView showGridLines="0" zoomScale="65" workbookViewId="0">
      <selection activeCell="A386" sqref="A386"/>
    </sheetView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CASCADE VALLEY HOSPITAL</v>
      </c>
      <c r="B4" s="77"/>
      <c r="C4" s="77"/>
      <c r="D4" s="77"/>
      <c r="E4" s="77"/>
      <c r="F4" s="77"/>
      <c r="G4" s="80"/>
      <c r="H4" s="79" t="str">
        <f>"FYE: "&amp;data!C82</f>
        <v>FYE: 12/31/2018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data!C59</f>
        <v>1656</v>
      </c>
      <c r="D9" s="14">
        <f>data!D59</f>
        <v>0</v>
      </c>
      <c r="E9" s="14">
        <f>data!E59</f>
        <v>3711</v>
      </c>
      <c r="F9" s="14">
        <f>data!F59</f>
        <v>290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12.86</v>
      </c>
      <c r="D10" s="26">
        <f>data!D60</f>
        <v>0</v>
      </c>
      <c r="E10" s="26">
        <f>data!E60</f>
        <v>46.51</v>
      </c>
      <c r="F10" s="26">
        <f>data!F60</f>
        <v>13.02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975253</v>
      </c>
      <c r="D11" s="14">
        <f>data!D61</f>
        <v>0</v>
      </c>
      <c r="E11" s="14">
        <f>data!E61</f>
        <v>2664089</v>
      </c>
      <c r="F11" s="14">
        <f>data!F61</f>
        <v>1357629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211062</v>
      </c>
      <c r="D12" s="14">
        <f>data!D62</f>
        <v>0</v>
      </c>
      <c r="E12" s="14">
        <f>data!E62</f>
        <v>576556</v>
      </c>
      <c r="F12" s="14">
        <f>data!F62</f>
        <v>293815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76569</v>
      </c>
      <c r="D13" s="14">
        <f>data!D63</f>
        <v>0</v>
      </c>
      <c r="E13" s="14">
        <f>data!E63</f>
        <v>175775</v>
      </c>
      <c r="F13" s="14">
        <f>data!F63</f>
        <v>136987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124592</v>
      </c>
      <c r="D14" s="14">
        <f>data!D64</f>
        <v>0</v>
      </c>
      <c r="E14" s="14">
        <f>data!E64</f>
        <v>263288</v>
      </c>
      <c r="F14" s="14">
        <f>data!F64</f>
        <v>5735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0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8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0</v>
      </c>
      <c r="D16" s="14">
        <f>data!D66</f>
        <v>0</v>
      </c>
      <c r="E16" s="14">
        <f>data!E66</f>
        <v>549</v>
      </c>
      <c r="F16" s="14">
        <f>data!F66</f>
        <v>5000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22497</v>
      </c>
      <c r="D17" s="14">
        <f>data!D67</f>
        <v>0</v>
      </c>
      <c r="E17" s="14">
        <f>data!E67</f>
        <v>35842</v>
      </c>
      <c r="F17" s="14">
        <f>data!F67</f>
        <v>21902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4294</v>
      </c>
      <c r="D18" s="14">
        <f>data!D68</f>
        <v>0</v>
      </c>
      <c r="E18" s="14">
        <f>data!E68</f>
        <v>34727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615468.13</v>
      </c>
      <c r="D19" s="14">
        <f>data!D69</f>
        <v>0</v>
      </c>
      <c r="E19" s="14">
        <f>data!E69</f>
        <v>1364056</v>
      </c>
      <c r="F19" s="14">
        <f>data!F69</f>
        <v>623192.59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1180</v>
      </c>
      <c r="C21" s="14">
        <f>data!C71</f>
        <v>2029735.13</v>
      </c>
      <c r="D21" s="14">
        <f>data!D71</f>
        <v>0</v>
      </c>
      <c r="E21" s="14">
        <f>data!E71</f>
        <v>5114882</v>
      </c>
      <c r="F21" s="14">
        <f>data!F71</f>
        <v>2444260.59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00000000000001" customHeight="1" x14ac:dyDescent="0.2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00000000000001" customHeight="1" x14ac:dyDescent="0.25">
      <c r="A23" s="23">
        <v>18</v>
      </c>
      <c r="B23" s="14" t="s">
        <v>1181</v>
      </c>
      <c r="C23" s="48">
        <f>+data!M668</f>
        <v>1130325</v>
      </c>
      <c r="D23" s="48">
        <f>+data!M669</f>
        <v>0</v>
      </c>
      <c r="E23" s="48">
        <f>+data!M670</f>
        <v>2699119</v>
      </c>
      <c r="F23" s="48">
        <f>+data!M671</f>
        <v>589717</v>
      </c>
      <c r="G23" s="48">
        <f>+data!M672</f>
        <v>0</v>
      </c>
      <c r="H23" s="48">
        <f>+data!M673</f>
        <v>0</v>
      </c>
      <c r="I23" s="48">
        <f>+data!M674</f>
        <v>0</v>
      </c>
    </row>
    <row r="24" spans="1:9" ht="20.100000000000001" customHeight="1" x14ac:dyDescent="0.25">
      <c r="A24" s="23">
        <v>19</v>
      </c>
      <c r="B24" s="48" t="s">
        <v>1182</v>
      </c>
      <c r="C24" s="14">
        <f>data!C73</f>
        <v>10485499</v>
      </c>
      <c r="D24" s="14">
        <f>data!D73</f>
        <v>0</v>
      </c>
      <c r="E24" s="14">
        <f>data!E73</f>
        <v>10917006</v>
      </c>
      <c r="F24" s="14">
        <f>data!F73</f>
        <v>898344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00000000000001" customHeight="1" x14ac:dyDescent="0.25">
      <c r="A25" s="23">
        <v>20</v>
      </c>
      <c r="B25" s="48" t="s">
        <v>1183</v>
      </c>
      <c r="C25" s="14">
        <f>data!C74</f>
        <v>937047</v>
      </c>
      <c r="D25" s="14">
        <f>data!D74</f>
        <v>0</v>
      </c>
      <c r="E25" s="14">
        <f>data!E74</f>
        <v>2756318</v>
      </c>
      <c r="F25" s="14">
        <f>data!F74</f>
        <v>235559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25">
      <c r="A26" s="23">
        <v>21</v>
      </c>
      <c r="B26" s="48" t="s">
        <v>1184</v>
      </c>
      <c r="C26" s="14">
        <f>data!C75</f>
        <v>11422546</v>
      </c>
      <c r="D26" s="14">
        <f>data!D75</f>
        <v>0</v>
      </c>
      <c r="E26" s="14">
        <f>data!E75</f>
        <v>13673324</v>
      </c>
      <c r="F26" s="14">
        <f>data!F75</f>
        <v>1133903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00000000000001" customHeight="1" x14ac:dyDescent="0.2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00000000000001" customHeight="1" x14ac:dyDescent="0.25">
      <c r="A28" s="23">
        <v>22</v>
      </c>
      <c r="B28" s="14" t="s">
        <v>1186</v>
      </c>
      <c r="C28" s="14">
        <f>data!C76</f>
        <v>3704</v>
      </c>
      <c r="D28" s="14">
        <f>data!D76</f>
        <v>0</v>
      </c>
      <c r="E28" s="14">
        <f>data!E76</f>
        <v>5901</v>
      </c>
      <c r="F28" s="14">
        <f>data!F76</f>
        <v>3606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00000000000001" customHeight="1" x14ac:dyDescent="0.25">
      <c r="A29" s="23">
        <v>23</v>
      </c>
      <c r="B29" s="14" t="s">
        <v>1187</v>
      </c>
      <c r="C29" s="14">
        <f>data!C77</f>
        <v>28027</v>
      </c>
      <c r="D29" s="14">
        <f>data!D77</f>
        <v>0</v>
      </c>
      <c r="E29" s="14">
        <f>data!E77</f>
        <v>62806</v>
      </c>
      <c r="F29" s="14">
        <f>data!F77</f>
        <v>4908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00000000000001" customHeight="1" x14ac:dyDescent="0.25">
      <c r="A30" s="23">
        <v>24</v>
      </c>
      <c r="B30" s="14" t="s">
        <v>1188</v>
      </c>
      <c r="C30" s="14">
        <f>data!C78</f>
        <v>1679</v>
      </c>
      <c r="D30" s="14">
        <f>data!D78</f>
        <v>0</v>
      </c>
      <c r="E30" s="14">
        <f>data!E78</f>
        <v>7076.76</v>
      </c>
      <c r="F30" s="14">
        <f>data!F78</f>
        <v>706.34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00000000000001" customHeight="1" x14ac:dyDescent="0.25">
      <c r="A31" s="23">
        <v>25</v>
      </c>
      <c r="B31" s="14" t="s">
        <v>1189</v>
      </c>
      <c r="C31" s="14">
        <f>data!C79</f>
        <v>20150.93</v>
      </c>
      <c r="D31" s="14">
        <f>data!D79</f>
        <v>0</v>
      </c>
      <c r="E31" s="14">
        <f>data!E79</f>
        <v>43990.22</v>
      </c>
      <c r="F31" s="14">
        <f>data!F79</f>
        <v>8722.67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00000000000001" customHeight="1" x14ac:dyDescent="0.25">
      <c r="A32" s="23">
        <v>26</v>
      </c>
      <c r="B32" s="14" t="s">
        <v>252</v>
      </c>
      <c r="C32" s="84">
        <f>data!C80</f>
        <v>10.59</v>
      </c>
      <c r="D32" s="84">
        <f>data!D80</f>
        <v>0</v>
      </c>
      <c r="E32" s="84">
        <f>data!E80</f>
        <v>24.77</v>
      </c>
      <c r="F32" s="84">
        <f>data!F80</f>
        <v>13.02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00000000000001" customHeight="1" x14ac:dyDescent="0.2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CASCADE VALLEY HOSPITAL</v>
      </c>
      <c r="B36" s="77"/>
      <c r="C36" s="77"/>
      <c r="D36" s="77"/>
      <c r="E36" s="77"/>
      <c r="F36" s="77"/>
      <c r="G36" s="80"/>
      <c r="H36" s="79" t="str">
        <f>"FYE: "&amp;data!C82</f>
        <v>FYE: 12/31/2018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258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135</v>
      </c>
      <c r="I41" s="14">
        <f>data!P59</f>
        <v>125991</v>
      </c>
    </row>
    <row r="42" spans="1:9" ht="20.100000000000001" customHeight="1" x14ac:dyDescent="0.2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0</v>
      </c>
      <c r="I42" s="26">
        <f>data!P60</f>
        <v>12.85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0</v>
      </c>
      <c r="I43" s="14">
        <f>data!P61</f>
        <v>1165938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0</v>
      </c>
      <c r="I44" s="14">
        <f>data!P62</f>
        <v>252330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309057</v>
      </c>
    </row>
    <row r="46" spans="1:9" ht="20.100000000000001" customHeight="1" x14ac:dyDescent="0.25">
      <c r="A46" s="23">
        <v>9</v>
      </c>
      <c r="B46" s="14" t="s">
        <v>237</v>
      </c>
      <c r="C46" s="14">
        <f>data!J64</f>
        <v>1522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52843</v>
      </c>
      <c r="I46" s="14">
        <f>data!P64</f>
        <v>2342474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0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1818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432</v>
      </c>
      <c r="I48" s="14">
        <f>data!P66</f>
        <v>90564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990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5971</v>
      </c>
      <c r="I49" s="14">
        <f>data!P67</f>
        <v>29634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49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0</v>
      </c>
      <c r="I51" s="14">
        <f>data!P69</f>
        <v>618857.54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00000000000001" customHeight="1" x14ac:dyDescent="0.25">
      <c r="A53" s="23">
        <v>16</v>
      </c>
      <c r="B53" s="48" t="s">
        <v>1180</v>
      </c>
      <c r="C53" s="14">
        <f>data!J71</f>
        <v>4330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59246</v>
      </c>
      <c r="I53" s="14">
        <f>data!P71</f>
        <v>4808903.54</v>
      </c>
    </row>
    <row r="54" spans="1:9" ht="20.100000000000001" customHeight="1" x14ac:dyDescent="0.2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00000000000001" customHeight="1" x14ac:dyDescent="0.25">
      <c r="A55" s="23">
        <v>18</v>
      </c>
      <c r="B55" s="14" t="s">
        <v>1181</v>
      </c>
      <c r="C55" s="48">
        <f>+data!M675</f>
        <v>10357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10429</v>
      </c>
      <c r="I55" s="48">
        <f>+data!M681</f>
        <v>959775</v>
      </c>
    </row>
    <row r="56" spans="1:9" ht="20.100000000000001" customHeight="1" x14ac:dyDescent="0.25">
      <c r="A56" s="23">
        <v>19</v>
      </c>
      <c r="B56" s="48" t="s">
        <v>1182</v>
      </c>
      <c r="C56" s="14">
        <f>data!J73</f>
        <v>484866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575010</v>
      </c>
      <c r="I56" s="14">
        <f>data!P73</f>
        <v>5850350</v>
      </c>
    </row>
    <row r="57" spans="1:9" ht="20.100000000000001" customHeight="1" x14ac:dyDescent="0.25">
      <c r="A57" s="23">
        <v>20</v>
      </c>
      <c r="B57" s="48" t="s">
        <v>1183</v>
      </c>
      <c r="C57" s="14">
        <f>data!J74</f>
        <v>950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130678</v>
      </c>
      <c r="I57" s="14">
        <f>data!P74</f>
        <v>9980051</v>
      </c>
    </row>
    <row r="58" spans="1:9" ht="20.100000000000001" customHeight="1" x14ac:dyDescent="0.25">
      <c r="A58" s="23">
        <v>21</v>
      </c>
      <c r="B58" s="48" t="s">
        <v>1184</v>
      </c>
      <c r="C58" s="14">
        <f>data!J75</f>
        <v>485816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705688</v>
      </c>
      <c r="I58" s="14">
        <f>data!P75</f>
        <v>15830401</v>
      </c>
    </row>
    <row r="59" spans="1:9" ht="20.100000000000001" customHeight="1" x14ac:dyDescent="0.2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00000000000001" customHeight="1" x14ac:dyDescent="0.25">
      <c r="A60" s="23">
        <v>22</v>
      </c>
      <c r="B60" s="14" t="s">
        <v>1186</v>
      </c>
      <c r="C60" s="14">
        <f>data!J76</f>
        <v>163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983</v>
      </c>
      <c r="I60" s="14">
        <f>data!P76</f>
        <v>4879</v>
      </c>
    </row>
    <row r="61" spans="1:9" ht="20.100000000000001" customHeight="1" x14ac:dyDescent="0.2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00000000000001" customHeight="1" x14ac:dyDescent="0.25">
      <c r="A62" s="23">
        <v>24</v>
      </c>
      <c r="B62" s="14" t="s">
        <v>1188</v>
      </c>
      <c r="C62" s="14">
        <f>data!J78</f>
        <v>58.44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173</v>
      </c>
      <c r="I62" s="14">
        <f>data!P78</f>
        <v>860</v>
      </c>
    </row>
    <row r="63" spans="1:9" ht="20.100000000000001" customHeight="1" x14ac:dyDescent="0.2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21416.21</v>
      </c>
    </row>
    <row r="64" spans="1:9" ht="20.100000000000001" customHeight="1" x14ac:dyDescent="0.25">
      <c r="A64" s="23">
        <v>26</v>
      </c>
      <c r="B64" s="14" t="s">
        <v>252</v>
      </c>
      <c r="C64" s="26">
        <f>data!J80</f>
        <v>0.04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5.39</v>
      </c>
    </row>
    <row r="65" spans="1:9" ht="20.100000000000001" customHeight="1" x14ac:dyDescent="0.2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CASCADE VALLEY HOSPITAL</v>
      </c>
      <c r="B68" s="77"/>
      <c r="C68" s="77"/>
      <c r="D68" s="77"/>
      <c r="E68" s="77"/>
      <c r="F68" s="77"/>
      <c r="G68" s="80"/>
      <c r="H68" s="79" t="str">
        <f>"FYE: "&amp;data!C82</f>
        <v>FYE: 12/31/2018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69922</v>
      </c>
      <c r="D73" s="48">
        <f>data!R59</f>
        <v>126995</v>
      </c>
      <c r="E73" s="212"/>
      <c r="F73" s="212"/>
      <c r="G73" s="14">
        <f>data!U59</f>
        <v>111782</v>
      </c>
      <c r="H73" s="14">
        <f>data!V59</f>
        <v>0</v>
      </c>
      <c r="I73" s="14">
        <f>data!W59</f>
        <v>8593</v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4.5999999999999996</v>
      </c>
      <c r="D74" s="26">
        <f>data!R60</f>
        <v>1.02</v>
      </c>
      <c r="E74" s="26">
        <f>data!S60</f>
        <v>3.87</v>
      </c>
      <c r="F74" s="26">
        <f>data!T60</f>
        <v>0.04</v>
      </c>
      <c r="G74" s="26">
        <f>data!U60</f>
        <v>13.11</v>
      </c>
      <c r="H74" s="26">
        <f>data!V60</f>
        <v>0</v>
      </c>
      <c r="I74" s="26">
        <f>data!W60</f>
        <v>0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629115</v>
      </c>
      <c r="D75" s="14">
        <f>data!R61</f>
        <v>59684</v>
      </c>
      <c r="E75" s="14">
        <f>data!S61</f>
        <v>98853</v>
      </c>
      <c r="F75" s="14">
        <f>data!T61</f>
        <v>17706</v>
      </c>
      <c r="G75" s="14">
        <f>data!U61</f>
        <v>803556</v>
      </c>
      <c r="H75" s="14">
        <f>data!V61</f>
        <v>0</v>
      </c>
      <c r="I75" s="14">
        <f>data!W61</f>
        <v>304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136152</v>
      </c>
      <c r="D76" s="14">
        <f>data!R62</f>
        <v>12917</v>
      </c>
      <c r="E76" s="14">
        <f>data!S62</f>
        <v>21394</v>
      </c>
      <c r="F76" s="14">
        <f>data!T62</f>
        <v>3832</v>
      </c>
      <c r="G76" s="14">
        <f>data!U62</f>
        <v>173904</v>
      </c>
      <c r="H76" s="14">
        <f>data!V62</f>
        <v>0</v>
      </c>
      <c r="I76" s="14">
        <f>data!W62</f>
        <v>66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39099</v>
      </c>
      <c r="D77" s="14">
        <f>data!R63</f>
        <v>858104</v>
      </c>
      <c r="E77" s="14">
        <f>data!S63</f>
        <v>93450</v>
      </c>
      <c r="F77" s="14">
        <f>data!T63</f>
        <v>0</v>
      </c>
      <c r="G77" s="14">
        <f>data!U63</f>
        <v>2457</v>
      </c>
      <c r="H77" s="14">
        <f>data!V63</f>
        <v>0</v>
      </c>
      <c r="I77" s="14">
        <f>data!W63</f>
        <v>0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8097</v>
      </c>
      <c r="D78" s="14">
        <f>data!R64</f>
        <v>50333</v>
      </c>
      <c r="E78" s="14">
        <f>data!S64</f>
        <v>135848</v>
      </c>
      <c r="F78" s="14">
        <f>data!T64</f>
        <v>36696</v>
      </c>
      <c r="G78" s="14">
        <f>data!U64</f>
        <v>849132</v>
      </c>
      <c r="H78" s="14">
        <f>data!V64</f>
        <v>11799</v>
      </c>
      <c r="I78" s="14">
        <f>data!W64</f>
        <v>4363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0</v>
      </c>
      <c r="H79" s="14">
        <f>data!V65</f>
        <v>0</v>
      </c>
      <c r="I79" s="14">
        <f>data!W65</f>
        <v>0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0</v>
      </c>
      <c r="D80" s="14">
        <f>data!R66</f>
        <v>92493</v>
      </c>
      <c r="E80" s="14">
        <f>data!S66</f>
        <v>13250</v>
      </c>
      <c r="F80" s="14">
        <f>data!T66</f>
        <v>0</v>
      </c>
      <c r="G80" s="14">
        <f>data!U66</f>
        <v>290810</v>
      </c>
      <c r="H80" s="14">
        <f>data!V66</f>
        <v>0</v>
      </c>
      <c r="I80" s="14">
        <f>data!W66</f>
        <v>129369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4774</v>
      </c>
      <c r="D81" s="14">
        <f>data!R67</f>
        <v>984</v>
      </c>
      <c r="E81" s="14">
        <f>data!S67</f>
        <v>9032</v>
      </c>
      <c r="F81" s="14">
        <f>data!T67</f>
        <v>1500</v>
      </c>
      <c r="G81" s="14">
        <f>data!U67</f>
        <v>11540</v>
      </c>
      <c r="H81" s="14">
        <f>data!V67</f>
        <v>522</v>
      </c>
      <c r="I81" s="14">
        <f>data!W67</f>
        <v>0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1466</v>
      </c>
      <c r="F82" s="14">
        <f>data!T68</f>
        <v>0</v>
      </c>
      <c r="G82" s="14">
        <f>data!U68</f>
        <v>0</v>
      </c>
      <c r="H82" s="14">
        <f>data!V68</f>
        <v>0</v>
      </c>
      <c r="I82" s="14">
        <f>data!W68</f>
        <v>0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220283.9</v>
      </c>
      <c r="D83" s="14">
        <f>data!R69</f>
        <v>49196.29</v>
      </c>
      <c r="E83" s="14">
        <f>data!S69</f>
        <v>185294.75</v>
      </c>
      <c r="F83" s="14">
        <f>data!T69</f>
        <v>1914.36</v>
      </c>
      <c r="G83" s="14">
        <f>data!U69</f>
        <v>629506.91</v>
      </c>
      <c r="H83" s="14">
        <f>data!V69</f>
        <v>0</v>
      </c>
      <c r="I83" s="14">
        <f>data!W69</f>
        <v>0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1180</v>
      </c>
      <c r="C85" s="14">
        <f>data!Q71</f>
        <v>1037520.9</v>
      </c>
      <c r="D85" s="14">
        <f>data!R71</f>
        <v>1123711.29</v>
      </c>
      <c r="E85" s="14">
        <f>data!S71</f>
        <v>558587.75</v>
      </c>
      <c r="F85" s="14">
        <f>data!T71</f>
        <v>61648.36</v>
      </c>
      <c r="G85" s="14">
        <f>data!U71</f>
        <v>2760905.91</v>
      </c>
      <c r="H85" s="14">
        <f>data!V71</f>
        <v>12321</v>
      </c>
      <c r="I85" s="14">
        <f>data!W71</f>
        <v>134102</v>
      </c>
    </row>
    <row r="86" spans="1:9" ht="20.100000000000001" customHeight="1" x14ac:dyDescent="0.2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00000000000001" customHeight="1" x14ac:dyDescent="0.25">
      <c r="A87" s="23">
        <v>18</v>
      </c>
      <c r="B87" s="14" t="s">
        <v>1181</v>
      </c>
      <c r="C87" s="48">
        <f>+data!M682</f>
        <v>221616</v>
      </c>
      <c r="D87" s="48">
        <f>+data!M683</f>
        <v>149249</v>
      </c>
      <c r="E87" s="48">
        <f>+data!M684</f>
        <v>155280</v>
      </c>
      <c r="F87" s="48">
        <f>+data!M685</f>
        <v>22537</v>
      </c>
      <c r="G87" s="48">
        <f>+data!M686</f>
        <v>592616</v>
      </c>
      <c r="H87" s="48">
        <f>+data!M687</f>
        <v>4610</v>
      </c>
      <c r="I87" s="48">
        <f>+data!M688</f>
        <v>73354</v>
      </c>
    </row>
    <row r="88" spans="1:9" ht="20.100000000000001" customHeight="1" x14ac:dyDescent="0.25">
      <c r="A88" s="23">
        <v>19</v>
      </c>
      <c r="B88" s="48" t="s">
        <v>1182</v>
      </c>
      <c r="C88" s="14">
        <f>data!Q73</f>
        <v>568029</v>
      </c>
      <c r="D88" s="14">
        <f>data!R73</f>
        <v>732747</v>
      </c>
      <c r="E88" s="14">
        <f>data!S73</f>
        <v>2449048</v>
      </c>
      <c r="F88" s="14">
        <f>data!T73</f>
        <v>484338</v>
      </c>
      <c r="G88" s="14">
        <f>data!U73</f>
        <v>4452922</v>
      </c>
      <c r="H88" s="14">
        <f>data!V73</f>
        <v>4065</v>
      </c>
      <c r="I88" s="14">
        <f>data!W73</f>
        <v>217655</v>
      </c>
    </row>
    <row r="89" spans="1:9" ht="20.100000000000001" customHeight="1" x14ac:dyDescent="0.25">
      <c r="A89" s="23">
        <v>20</v>
      </c>
      <c r="B89" s="48" t="s">
        <v>1183</v>
      </c>
      <c r="C89" s="14">
        <f>data!Q74</f>
        <v>1086444</v>
      </c>
      <c r="D89" s="14">
        <f>data!R74</f>
        <v>853456</v>
      </c>
      <c r="E89" s="14">
        <f>data!S74</f>
        <v>3412724</v>
      </c>
      <c r="F89" s="14">
        <f>data!T74</f>
        <v>485847</v>
      </c>
      <c r="G89" s="14">
        <f>data!U74</f>
        <v>11655048</v>
      </c>
      <c r="H89" s="14">
        <f>data!V74</f>
        <v>209728</v>
      </c>
      <c r="I89" s="14">
        <f>data!W74</f>
        <v>2982883</v>
      </c>
    </row>
    <row r="90" spans="1:9" ht="20.100000000000001" customHeight="1" x14ac:dyDescent="0.25">
      <c r="A90" s="23">
        <v>21</v>
      </c>
      <c r="B90" s="48" t="s">
        <v>1184</v>
      </c>
      <c r="C90" s="14">
        <f>data!Q75</f>
        <v>1654473</v>
      </c>
      <c r="D90" s="14">
        <f>data!R75</f>
        <v>1586203</v>
      </c>
      <c r="E90" s="14">
        <f>data!S75</f>
        <v>5861772</v>
      </c>
      <c r="F90" s="14">
        <f>data!T75</f>
        <v>970185</v>
      </c>
      <c r="G90" s="14">
        <f>data!U75</f>
        <v>16107970</v>
      </c>
      <c r="H90" s="14">
        <f>data!V75</f>
        <v>213793</v>
      </c>
      <c r="I90" s="14">
        <f>data!W75</f>
        <v>3200538</v>
      </c>
    </row>
    <row r="91" spans="1:9" ht="20.100000000000001" customHeight="1" x14ac:dyDescent="0.2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00000000000001" customHeight="1" x14ac:dyDescent="0.25">
      <c r="A92" s="23">
        <v>22</v>
      </c>
      <c r="B92" s="14" t="s">
        <v>1186</v>
      </c>
      <c r="C92" s="14">
        <f>data!Q76</f>
        <v>786</v>
      </c>
      <c r="D92" s="14">
        <f>data!R76</f>
        <v>162</v>
      </c>
      <c r="E92" s="14">
        <f>data!S76</f>
        <v>1487</v>
      </c>
      <c r="F92" s="14">
        <f>data!T76</f>
        <v>247</v>
      </c>
      <c r="G92" s="14">
        <f>data!U76</f>
        <v>1900</v>
      </c>
      <c r="H92" s="14">
        <f>data!V76</f>
        <v>86</v>
      </c>
      <c r="I92" s="14">
        <f>data!W76</f>
        <v>0</v>
      </c>
    </row>
    <row r="93" spans="1:9" ht="20.100000000000001" customHeight="1" x14ac:dyDescent="0.2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1188</v>
      </c>
      <c r="C94" s="14">
        <f>data!Q78</f>
        <v>139</v>
      </c>
      <c r="D94" s="14">
        <f>data!R78</f>
        <v>29</v>
      </c>
      <c r="E94" s="14">
        <f>data!S78</f>
        <v>262</v>
      </c>
      <c r="F94" s="14">
        <f>data!T78</f>
        <v>44</v>
      </c>
      <c r="G94" s="14">
        <f>data!U78</f>
        <v>335</v>
      </c>
      <c r="H94" s="14">
        <f>data!V78</f>
        <v>15</v>
      </c>
      <c r="I94" s="14">
        <f>data!W78</f>
        <v>0</v>
      </c>
    </row>
    <row r="95" spans="1:9" ht="20.100000000000001" customHeight="1" x14ac:dyDescent="0.2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1673.89</v>
      </c>
      <c r="F95" s="14">
        <f>data!T79</f>
        <v>0</v>
      </c>
      <c r="G95" s="14">
        <f>data!U79</f>
        <v>419.47</v>
      </c>
      <c r="H95" s="14">
        <f>data!V79</f>
        <v>0</v>
      </c>
      <c r="I95" s="14">
        <f>data!W79</f>
        <v>1627.07</v>
      </c>
    </row>
    <row r="96" spans="1:9" ht="20.100000000000001" customHeight="1" x14ac:dyDescent="0.25">
      <c r="A96" s="23">
        <v>26</v>
      </c>
      <c r="B96" s="14" t="s">
        <v>252</v>
      </c>
      <c r="C96" s="84">
        <f>data!Q80</f>
        <v>4.5999999999999996</v>
      </c>
      <c r="D96" s="84">
        <f>data!R80</f>
        <v>0</v>
      </c>
      <c r="E96" s="84">
        <f>data!S80</f>
        <v>0</v>
      </c>
      <c r="F96" s="84">
        <f>data!T80</f>
        <v>0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00000000000001" customHeight="1" x14ac:dyDescent="0.2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CASCADE VALLEY HOSPITAL</v>
      </c>
      <c r="B100" s="77"/>
      <c r="C100" s="77"/>
      <c r="D100" s="77"/>
      <c r="E100" s="77"/>
      <c r="F100" s="77"/>
      <c r="G100" s="80"/>
      <c r="H100" s="79" t="str">
        <f>"FYE: "&amp;data!C82</f>
        <v>FYE: 12/31/2018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data!X59</f>
        <v>37259</v>
      </c>
      <c r="D105" s="14">
        <f>data!Y59</f>
        <v>37073</v>
      </c>
      <c r="E105" s="14">
        <f>data!Z59</f>
        <v>0</v>
      </c>
      <c r="F105" s="14">
        <f>data!AA59</f>
        <v>3048</v>
      </c>
      <c r="G105" s="212"/>
      <c r="H105" s="14">
        <f>data!AC59</f>
        <v>9976</v>
      </c>
      <c r="I105" s="14">
        <f>data!AD59</f>
        <v>0</v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1</v>
      </c>
      <c r="D106" s="26">
        <f>data!Y60</f>
        <v>15.49</v>
      </c>
      <c r="E106" s="26">
        <f>data!Z60</f>
        <v>0</v>
      </c>
      <c r="F106" s="26">
        <f>data!AA60</f>
        <v>1.01</v>
      </c>
      <c r="G106" s="26">
        <f>data!AB60</f>
        <v>5.68</v>
      </c>
      <c r="H106" s="26">
        <f>data!AC60</f>
        <v>5.81</v>
      </c>
      <c r="I106" s="26">
        <f>data!AD60</f>
        <v>0</v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104353</v>
      </c>
      <c r="D107" s="14">
        <f>data!Y61</f>
        <v>1334246</v>
      </c>
      <c r="E107" s="14">
        <f>data!Z61</f>
        <v>0</v>
      </c>
      <c r="F107" s="14">
        <f>data!AA61</f>
        <v>103179</v>
      </c>
      <c r="G107" s="14">
        <f>data!AB61</f>
        <v>668388</v>
      </c>
      <c r="H107" s="14">
        <f>data!AC61</f>
        <v>484848</v>
      </c>
      <c r="I107" s="14">
        <f>data!AD61</f>
        <v>0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22584</v>
      </c>
      <c r="D108" s="14">
        <f>data!Y62</f>
        <v>288755</v>
      </c>
      <c r="E108" s="14">
        <f>data!Z62</f>
        <v>0</v>
      </c>
      <c r="F108" s="14">
        <f>data!AA62</f>
        <v>22330</v>
      </c>
      <c r="G108" s="14">
        <f>data!AB62</f>
        <v>144651</v>
      </c>
      <c r="H108" s="14">
        <f>data!AC62</f>
        <v>104930</v>
      </c>
      <c r="I108" s="14">
        <f>data!AD62</f>
        <v>0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0</v>
      </c>
      <c r="D109" s="14">
        <f>data!Y63</f>
        <v>13947</v>
      </c>
      <c r="E109" s="14">
        <f>data!Z63</f>
        <v>0</v>
      </c>
      <c r="F109" s="14">
        <f>data!AA63</f>
        <v>0</v>
      </c>
      <c r="G109" s="14">
        <f>data!AB63</f>
        <v>0</v>
      </c>
      <c r="H109" s="14">
        <f>data!AC63</f>
        <v>0</v>
      </c>
      <c r="I109" s="14">
        <f>data!AD63</f>
        <v>0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66553</v>
      </c>
      <c r="D110" s="14">
        <f>data!Y64</f>
        <v>49400</v>
      </c>
      <c r="E110" s="14">
        <f>data!Z64</f>
        <v>0</v>
      </c>
      <c r="F110" s="14">
        <f>data!AA64</f>
        <v>81467</v>
      </c>
      <c r="G110" s="14">
        <f>data!AB64</f>
        <v>938646</v>
      </c>
      <c r="H110" s="14">
        <f>data!AC64</f>
        <v>62410</v>
      </c>
      <c r="I110" s="14">
        <f>data!AD64</f>
        <v>0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0</v>
      </c>
      <c r="D111" s="14">
        <f>data!Y65</f>
        <v>0</v>
      </c>
      <c r="E111" s="14">
        <f>data!Z65</f>
        <v>0</v>
      </c>
      <c r="F111" s="14">
        <f>data!AA65</f>
        <v>0</v>
      </c>
      <c r="G111" s="14">
        <f>data!AB65</f>
        <v>0</v>
      </c>
      <c r="H111" s="14">
        <f>data!AC65</f>
        <v>0</v>
      </c>
      <c r="I111" s="14">
        <f>data!AD65</f>
        <v>0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169937</v>
      </c>
      <c r="D112" s="14">
        <f>data!Y66</f>
        <v>450609</v>
      </c>
      <c r="E112" s="14">
        <f>data!Z66</f>
        <v>0</v>
      </c>
      <c r="F112" s="14">
        <f>data!AA66</f>
        <v>20309</v>
      </c>
      <c r="G112" s="14">
        <f>data!AB66</f>
        <v>203228</v>
      </c>
      <c r="H112" s="14">
        <f>data!AC66</f>
        <v>5942</v>
      </c>
      <c r="I112" s="14">
        <f>data!AD66</f>
        <v>0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2928</v>
      </c>
      <c r="D113" s="14">
        <f>data!Y67</f>
        <v>24083</v>
      </c>
      <c r="E113" s="14">
        <f>data!Z67</f>
        <v>0</v>
      </c>
      <c r="F113" s="14">
        <f>data!AA67</f>
        <v>3395</v>
      </c>
      <c r="G113" s="14">
        <f>data!AB67</f>
        <v>5837</v>
      </c>
      <c r="H113" s="14">
        <f>data!AC67</f>
        <v>5570</v>
      </c>
      <c r="I113" s="14">
        <f>data!AD67</f>
        <v>0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0</v>
      </c>
      <c r="D114" s="14">
        <f>data!Y68</f>
        <v>0</v>
      </c>
      <c r="E114" s="14">
        <f>data!Z68</f>
        <v>0</v>
      </c>
      <c r="F114" s="14">
        <f>data!AA68</f>
        <v>0</v>
      </c>
      <c r="G114" s="14">
        <f>data!AB68</f>
        <v>0</v>
      </c>
      <c r="H114" s="14">
        <f>data!AC68</f>
        <v>52951</v>
      </c>
      <c r="I114" s="14">
        <f>data!AD68</f>
        <v>0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48605.11</v>
      </c>
      <c r="D115" s="14">
        <f>data!Y69</f>
        <v>743108.58</v>
      </c>
      <c r="E115" s="14">
        <f>data!Z69</f>
        <v>0</v>
      </c>
      <c r="F115" s="14">
        <f>data!AA69</f>
        <v>54945.7</v>
      </c>
      <c r="G115" s="14">
        <f>data!AB69</f>
        <v>274756.73</v>
      </c>
      <c r="H115" s="14">
        <f>data!AC69</f>
        <v>278087.42</v>
      </c>
      <c r="I115" s="14">
        <f>data!AD69</f>
        <v>0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0</v>
      </c>
      <c r="H116" s="14">
        <f>-data!AC70</f>
        <v>0</v>
      </c>
      <c r="I116" s="14">
        <f>-data!AD70</f>
        <v>0</v>
      </c>
    </row>
    <row r="117" spans="1:9" ht="20.100000000000001" customHeight="1" x14ac:dyDescent="0.25">
      <c r="A117" s="23">
        <v>16</v>
      </c>
      <c r="B117" s="48" t="s">
        <v>1180</v>
      </c>
      <c r="C117" s="14">
        <f>data!X71</f>
        <v>414960.11</v>
      </c>
      <c r="D117" s="14">
        <f>data!Y71</f>
        <v>2904148.58</v>
      </c>
      <c r="E117" s="14">
        <f>data!Z71</f>
        <v>0</v>
      </c>
      <c r="F117" s="14">
        <f>data!AA71</f>
        <v>285625.7</v>
      </c>
      <c r="G117" s="14">
        <f>data!AB71</f>
        <v>2235506.73</v>
      </c>
      <c r="H117" s="14">
        <f>data!AC71</f>
        <v>994738.41999999993</v>
      </c>
      <c r="I117" s="14">
        <f>data!AD71</f>
        <v>0</v>
      </c>
    </row>
    <row r="118" spans="1:9" ht="20.100000000000001" customHeight="1" x14ac:dyDescent="0.2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00000000000001" customHeight="1" x14ac:dyDescent="0.25">
      <c r="A119" s="23">
        <v>18</v>
      </c>
      <c r="B119" s="14" t="s">
        <v>1181</v>
      </c>
      <c r="C119" s="48">
        <f>+data!M689</f>
        <v>360974</v>
      </c>
      <c r="D119" s="48">
        <f>+data!M690</f>
        <v>492395</v>
      </c>
      <c r="E119" s="48">
        <f>+data!M691</f>
        <v>0</v>
      </c>
      <c r="F119" s="48">
        <f>+data!M692</f>
        <v>44546</v>
      </c>
      <c r="G119" s="48">
        <f>+data!M693</f>
        <v>360758</v>
      </c>
      <c r="H119" s="48">
        <f>+data!M694</f>
        <v>193133</v>
      </c>
      <c r="I119" s="48">
        <f>+data!M695</f>
        <v>0</v>
      </c>
    </row>
    <row r="120" spans="1:9" ht="20.100000000000001" customHeight="1" x14ac:dyDescent="0.25">
      <c r="A120" s="23">
        <v>19</v>
      </c>
      <c r="B120" s="48" t="s">
        <v>1182</v>
      </c>
      <c r="C120" s="14">
        <f>data!X73</f>
        <v>2749347</v>
      </c>
      <c r="D120" s="14">
        <f>data!Y73</f>
        <v>1489469</v>
      </c>
      <c r="E120" s="14">
        <f>data!Z73</f>
        <v>0</v>
      </c>
      <c r="F120" s="14">
        <f>data!AA73</f>
        <v>178757</v>
      </c>
      <c r="G120" s="14">
        <f>data!AB73</f>
        <v>3294021</v>
      </c>
      <c r="H120" s="14">
        <f>data!AC73</f>
        <v>4040066</v>
      </c>
      <c r="I120" s="14">
        <f>data!AD73</f>
        <v>0</v>
      </c>
    </row>
    <row r="121" spans="1:9" ht="20.100000000000001" customHeight="1" x14ac:dyDescent="0.25">
      <c r="A121" s="23">
        <v>20</v>
      </c>
      <c r="B121" s="48" t="s">
        <v>1183</v>
      </c>
      <c r="C121" s="14">
        <f>data!X74</f>
        <v>15276773</v>
      </c>
      <c r="D121" s="14">
        <f>data!Y74</f>
        <v>9380695</v>
      </c>
      <c r="E121" s="14">
        <f>data!Z74</f>
        <v>0</v>
      </c>
      <c r="F121" s="14">
        <f>data!AA74</f>
        <v>767652</v>
      </c>
      <c r="G121" s="14">
        <f>data!AB74</f>
        <v>2204943</v>
      </c>
      <c r="H121" s="14">
        <f>data!AC74</f>
        <v>1165239</v>
      </c>
      <c r="I121" s="14">
        <f>data!AD74</f>
        <v>0</v>
      </c>
    </row>
    <row r="122" spans="1:9" ht="20.100000000000001" customHeight="1" x14ac:dyDescent="0.25">
      <c r="A122" s="23">
        <v>21</v>
      </c>
      <c r="B122" s="48" t="s">
        <v>1184</v>
      </c>
      <c r="C122" s="14">
        <f>data!X75</f>
        <v>18026120</v>
      </c>
      <c r="D122" s="14">
        <f>data!Y75</f>
        <v>10870164</v>
      </c>
      <c r="E122" s="14">
        <f>data!Z75</f>
        <v>0</v>
      </c>
      <c r="F122" s="14">
        <f>data!AA75</f>
        <v>946409</v>
      </c>
      <c r="G122" s="14">
        <f>data!AB75</f>
        <v>5498964</v>
      </c>
      <c r="H122" s="14">
        <f>data!AC75</f>
        <v>5205305</v>
      </c>
      <c r="I122" s="14">
        <f>data!AD75</f>
        <v>0</v>
      </c>
    </row>
    <row r="123" spans="1:9" ht="20.100000000000001" customHeight="1" x14ac:dyDescent="0.2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00000000000001" customHeight="1" x14ac:dyDescent="0.25">
      <c r="A124" s="23">
        <v>22</v>
      </c>
      <c r="B124" s="14" t="s">
        <v>1186</v>
      </c>
      <c r="C124" s="14">
        <f>data!X76</f>
        <v>482</v>
      </c>
      <c r="D124" s="14">
        <f>data!Y76</f>
        <v>3965</v>
      </c>
      <c r="E124" s="14">
        <f>data!Z76</f>
        <v>0</v>
      </c>
      <c r="F124" s="14">
        <f>data!AA76</f>
        <v>559</v>
      </c>
      <c r="G124" s="14">
        <f>data!AB76</f>
        <v>961</v>
      </c>
      <c r="H124" s="14">
        <f>data!AC76</f>
        <v>917</v>
      </c>
      <c r="I124" s="14">
        <f>data!AD76</f>
        <v>0</v>
      </c>
    </row>
    <row r="125" spans="1:9" ht="20.100000000000001" customHeight="1" x14ac:dyDescent="0.2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1188</v>
      </c>
      <c r="C126" s="14">
        <f>data!X78</f>
        <v>85</v>
      </c>
      <c r="D126" s="14">
        <f>data!Y78</f>
        <v>699</v>
      </c>
      <c r="E126" s="14">
        <f>data!Z78</f>
        <v>0</v>
      </c>
      <c r="F126" s="14">
        <f>data!AA78</f>
        <v>99</v>
      </c>
      <c r="G126" s="14">
        <f>data!AB78</f>
        <v>169</v>
      </c>
      <c r="H126" s="14">
        <f>data!AC78</f>
        <v>162</v>
      </c>
      <c r="I126" s="14">
        <f>data!AD78</f>
        <v>0</v>
      </c>
    </row>
    <row r="127" spans="1:9" ht="20.100000000000001" customHeight="1" x14ac:dyDescent="0.25">
      <c r="A127" s="23">
        <v>25</v>
      </c>
      <c r="B127" s="14" t="s">
        <v>1189</v>
      </c>
      <c r="C127" s="14">
        <f>data!X79</f>
        <v>0</v>
      </c>
      <c r="D127" s="14">
        <f>data!Y79</f>
        <v>20516.669999999998</v>
      </c>
      <c r="E127" s="14">
        <f>data!Z79</f>
        <v>0</v>
      </c>
      <c r="F127" s="14">
        <f>data!AA79</f>
        <v>0</v>
      </c>
      <c r="G127" s="14">
        <f>data!AB79</f>
        <v>152.93</v>
      </c>
      <c r="H127" s="14">
        <f>data!AC79</f>
        <v>923.22</v>
      </c>
      <c r="I127" s="14">
        <f>data!AD79</f>
        <v>0</v>
      </c>
    </row>
    <row r="128" spans="1:9" ht="20.100000000000001" customHeight="1" x14ac:dyDescent="0.25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00000000000001" customHeight="1" x14ac:dyDescent="0.2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CASCADE VALLEY HOSPITAL</v>
      </c>
      <c r="B132" s="77"/>
      <c r="C132" s="77"/>
      <c r="D132" s="77"/>
      <c r="E132" s="77"/>
      <c r="F132" s="77"/>
      <c r="G132" s="80"/>
      <c r="H132" s="79" t="str">
        <f>"FYE: "&amp;data!C82</f>
        <v>FYE: 12/31/2018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1055</v>
      </c>
      <c r="D137" s="14">
        <f>data!AF59</f>
        <v>0</v>
      </c>
      <c r="E137" s="14">
        <f>data!AG59</f>
        <v>17270</v>
      </c>
      <c r="F137" s="14">
        <f>data!AH59</f>
        <v>0</v>
      </c>
      <c r="G137" s="14">
        <f>data!AI59</f>
        <v>0</v>
      </c>
      <c r="H137" s="14">
        <f>data!AJ59</f>
        <v>0</v>
      </c>
      <c r="I137" s="14">
        <f>data!AK59</f>
        <v>0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0.91</v>
      </c>
      <c r="D138" s="26">
        <f>data!AF60</f>
        <v>0</v>
      </c>
      <c r="E138" s="26">
        <f>data!AG60</f>
        <v>30.74</v>
      </c>
      <c r="F138" s="26">
        <f>data!AH60</f>
        <v>0</v>
      </c>
      <c r="G138" s="26">
        <f>data!AI60</f>
        <v>0</v>
      </c>
      <c r="H138" s="26">
        <f>data!AJ60</f>
        <v>0.19</v>
      </c>
      <c r="I138" s="26">
        <f>data!AK60</f>
        <v>0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82306</v>
      </c>
      <c r="D139" s="14">
        <f>data!AF61</f>
        <v>0</v>
      </c>
      <c r="E139" s="14">
        <f>data!AG61</f>
        <v>2581693</v>
      </c>
      <c r="F139" s="14">
        <f>data!AH61</f>
        <v>0</v>
      </c>
      <c r="G139" s="14">
        <f>data!AI61</f>
        <v>0</v>
      </c>
      <c r="H139" s="14">
        <f>data!AJ61</f>
        <v>15756</v>
      </c>
      <c r="I139" s="14">
        <f>data!AK61</f>
        <v>0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17812</v>
      </c>
      <c r="D140" s="14">
        <f>data!AF62</f>
        <v>0</v>
      </c>
      <c r="E140" s="14">
        <f>data!AG62</f>
        <v>558724</v>
      </c>
      <c r="F140" s="14">
        <f>data!AH62</f>
        <v>0</v>
      </c>
      <c r="G140" s="14">
        <f>data!AI62</f>
        <v>0</v>
      </c>
      <c r="H140" s="14">
        <f>data!AJ62</f>
        <v>3410</v>
      </c>
      <c r="I140" s="14">
        <f>data!AK62</f>
        <v>0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941204</v>
      </c>
      <c r="F141" s="14">
        <f>data!AH63</f>
        <v>0</v>
      </c>
      <c r="G141" s="14">
        <f>data!AI63</f>
        <v>0</v>
      </c>
      <c r="H141" s="14">
        <f>data!AJ63</f>
        <v>0</v>
      </c>
      <c r="I141" s="14">
        <f>data!AK63</f>
        <v>0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1774</v>
      </c>
      <c r="D142" s="14">
        <f>data!AF64</f>
        <v>0</v>
      </c>
      <c r="E142" s="14">
        <f>data!AG64</f>
        <v>327453</v>
      </c>
      <c r="F142" s="14">
        <f>data!AH64</f>
        <v>0</v>
      </c>
      <c r="G142" s="14">
        <f>data!AI64</f>
        <v>0</v>
      </c>
      <c r="H142" s="14">
        <f>data!AJ64</f>
        <v>1</v>
      </c>
      <c r="I142" s="14">
        <f>data!AK64</f>
        <v>0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0</v>
      </c>
      <c r="F143" s="14">
        <f>data!AH65</f>
        <v>0</v>
      </c>
      <c r="G143" s="14">
        <f>data!AI65</f>
        <v>0</v>
      </c>
      <c r="H143" s="14">
        <f>data!AJ65</f>
        <v>0</v>
      </c>
      <c r="I143" s="14">
        <f>data!AK65</f>
        <v>0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0</v>
      </c>
      <c r="D144" s="14">
        <f>data!AF66</f>
        <v>0</v>
      </c>
      <c r="E144" s="14">
        <f>data!AG66</f>
        <v>98240</v>
      </c>
      <c r="F144" s="14">
        <f>data!AH66</f>
        <v>0</v>
      </c>
      <c r="G144" s="14">
        <f>data!AI66</f>
        <v>0</v>
      </c>
      <c r="H144" s="14">
        <f>data!AJ66</f>
        <v>0</v>
      </c>
      <c r="I144" s="14">
        <f>data!AK66</f>
        <v>0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11091</v>
      </c>
      <c r="D145" s="14">
        <f>data!AF67</f>
        <v>0</v>
      </c>
      <c r="E145" s="14">
        <f>data!AG67</f>
        <v>54786</v>
      </c>
      <c r="F145" s="14">
        <f>data!AH67</f>
        <v>0</v>
      </c>
      <c r="G145" s="14">
        <f>data!AI67</f>
        <v>0</v>
      </c>
      <c r="H145" s="14">
        <f>data!AJ67</f>
        <v>1312</v>
      </c>
      <c r="I145" s="14">
        <f>data!AK67</f>
        <v>0</v>
      </c>
    </row>
    <row r="146" spans="1:9" ht="20.100000000000001" customHeight="1" x14ac:dyDescent="0.25">
      <c r="A146" s="23">
        <v>13</v>
      </c>
      <c r="B146" s="14" t="s">
        <v>474</v>
      </c>
      <c r="C146" s="14">
        <f>data!AE68</f>
        <v>0</v>
      </c>
      <c r="D146" s="14">
        <f>data!AF68</f>
        <v>0</v>
      </c>
      <c r="E146" s="14">
        <f>data!AG68</f>
        <v>0</v>
      </c>
      <c r="F146" s="14">
        <f>data!AH68</f>
        <v>0</v>
      </c>
      <c r="G146" s="14">
        <f>data!AI68</f>
        <v>0</v>
      </c>
      <c r="H146" s="14">
        <f>data!AJ68</f>
        <v>0</v>
      </c>
      <c r="I146" s="14">
        <f>data!AK68</f>
        <v>0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43721.79</v>
      </c>
      <c r="D147" s="14">
        <f>data!AF69</f>
        <v>0</v>
      </c>
      <c r="E147" s="14">
        <f>data!AG69</f>
        <v>1483986.98</v>
      </c>
      <c r="F147" s="14">
        <f>data!AH69</f>
        <v>0</v>
      </c>
      <c r="G147" s="14">
        <f>data!AI69</f>
        <v>0</v>
      </c>
      <c r="H147" s="14">
        <f>data!AJ69</f>
        <v>9093.23</v>
      </c>
      <c r="I147" s="14">
        <f>data!AK69</f>
        <v>0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00000000000001" customHeight="1" x14ac:dyDescent="0.25">
      <c r="A149" s="23">
        <v>16</v>
      </c>
      <c r="B149" s="48" t="s">
        <v>1180</v>
      </c>
      <c r="C149" s="14">
        <f>data!AE71</f>
        <v>156704.79</v>
      </c>
      <c r="D149" s="14">
        <f>data!AF71</f>
        <v>0</v>
      </c>
      <c r="E149" s="14">
        <f>data!AG71</f>
        <v>6046086.9800000004</v>
      </c>
      <c r="F149" s="14">
        <f>data!AH71</f>
        <v>0</v>
      </c>
      <c r="G149" s="14">
        <f>data!AI71</f>
        <v>0</v>
      </c>
      <c r="H149" s="14">
        <f>data!AJ71</f>
        <v>29572.23</v>
      </c>
      <c r="I149" s="14">
        <f>data!AK71</f>
        <v>0</v>
      </c>
    </row>
    <row r="150" spans="1:9" ht="20.100000000000001" customHeight="1" x14ac:dyDescent="0.2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00000000000001" customHeight="1" x14ac:dyDescent="0.25">
      <c r="A151" s="23">
        <v>18</v>
      </c>
      <c r="B151" s="14" t="s">
        <v>1181</v>
      </c>
      <c r="C151" s="48">
        <f>+data!M696</f>
        <v>4626</v>
      </c>
      <c r="D151" s="48">
        <f>+data!M697</f>
        <v>0</v>
      </c>
      <c r="E151" s="48">
        <f>+data!M698</f>
        <v>2038743</v>
      </c>
      <c r="F151" s="48">
        <f>+data!M699</f>
        <v>0</v>
      </c>
      <c r="G151" s="48">
        <f>+data!M700</f>
        <v>0</v>
      </c>
      <c r="H151" s="48">
        <f>+data!M701</f>
        <v>4167</v>
      </c>
      <c r="I151" s="48">
        <f>+data!M702</f>
        <v>0</v>
      </c>
    </row>
    <row r="152" spans="1:9" ht="20.100000000000001" customHeight="1" x14ac:dyDescent="0.25">
      <c r="A152" s="23">
        <v>19</v>
      </c>
      <c r="B152" s="48" t="s">
        <v>1182</v>
      </c>
      <c r="C152" s="14">
        <f>data!AE73</f>
        <v>212516</v>
      </c>
      <c r="D152" s="14">
        <f>data!AF73</f>
        <v>0</v>
      </c>
      <c r="E152" s="14">
        <f>data!AG73</f>
        <v>4424133</v>
      </c>
      <c r="F152" s="14">
        <f>data!AH73</f>
        <v>0</v>
      </c>
      <c r="G152" s="14">
        <f>data!AI73</f>
        <v>0</v>
      </c>
      <c r="H152" s="14">
        <f>data!AJ73</f>
        <v>0</v>
      </c>
      <c r="I152" s="14">
        <f>data!AK73</f>
        <v>0</v>
      </c>
    </row>
    <row r="153" spans="1:9" ht="20.100000000000001" customHeight="1" x14ac:dyDescent="0.25">
      <c r="A153" s="23">
        <v>20</v>
      </c>
      <c r="B153" s="48" t="s">
        <v>1183</v>
      </c>
      <c r="C153" s="14">
        <f>data!AE74</f>
        <v>155900</v>
      </c>
      <c r="D153" s="14">
        <f>data!AF74</f>
        <v>0</v>
      </c>
      <c r="E153" s="14">
        <f>data!AG74</f>
        <v>33483426</v>
      </c>
      <c r="F153" s="14">
        <f>data!AH74</f>
        <v>0</v>
      </c>
      <c r="G153" s="14">
        <f>data!AI74</f>
        <v>0</v>
      </c>
      <c r="H153" s="14">
        <f>data!AJ74</f>
        <v>49750</v>
      </c>
      <c r="I153" s="14">
        <f>data!AK74</f>
        <v>0</v>
      </c>
    </row>
    <row r="154" spans="1:9" ht="20.100000000000001" customHeight="1" x14ac:dyDescent="0.25">
      <c r="A154" s="23">
        <v>21</v>
      </c>
      <c r="B154" s="48" t="s">
        <v>1184</v>
      </c>
      <c r="C154" s="14">
        <f>data!AE75</f>
        <v>368416</v>
      </c>
      <c r="D154" s="14">
        <f>data!AF75</f>
        <v>0</v>
      </c>
      <c r="E154" s="14">
        <f>data!AG75</f>
        <v>37907559</v>
      </c>
      <c r="F154" s="14">
        <f>data!AH75</f>
        <v>0</v>
      </c>
      <c r="G154" s="14">
        <f>data!AI75</f>
        <v>0</v>
      </c>
      <c r="H154" s="14">
        <f>data!AJ75</f>
        <v>49750</v>
      </c>
      <c r="I154" s="14">
        <f>data!AK75</f>
        <v>0</v>
      </c>
    </row>
    <row r="155" spans="1:9" ht="20.100000000000001" customHeight="1" x14ac:dyDescent="0.2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00000000000001" customHeight="1" x14ac:dyDescent="0.25">
      <c r="A156" s="23">
        <v>22</v>
      </c>
      <c r="B156" s="14" t="s">
        <v>1186</v>
      </c>
      <c r="C156" s="14">
        <f>data!AE76</f>
        <v>1826</v>
      </c>
      <c r="D156" s="14">
        <f>data!AF76</f>
        <v>0</v>
      </c>
      <c r="E156" s="14">
        <f>data!AG76</f>
        <v>9020</v>
      </c>
      <c r="F156" s="14">
        <f>data!AH76</f>
        <v>0</v>
      </c>
      <c r="G156" s="14">
        <f>data!AI76</f>
        <v>0</v>
      </c>
      <c r="H156" s="14">
        <f>data!AJ76</f>
        <v>216</v>
      </c>
      <c r="I156" s="14">
        <f>data!AK76</f>
        <v>0</v>
      </c>
    </row>
    <row r="157" spans="1:9" ht="20.100000000000001" customHeight="1" x14ac:dyDescent="0.2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16863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1188</v>
      </c>
      <c r="C158" s="14">
        <f>data!AE78</f>
        <v>322</v>
      </c>
      <c r="D158" s="14">
        <f>data!AF78</f>
        <v>0</v>
      </c>
      <c r="E158" s="14">
        <f>data!AG78</f>
        <v>1590</v>
      </c>
      <c r="F158" s="14">
        <f>data!AH78</f>
        <v>0</v>
      </c>
      <c r="G158" s="14">
        <f>data!AI78</f>
        <v>0</v>
      </c>
      <c r="H158" s="14">
        <f>data!AJ78</f>
        <v>38</v>
      </c>
      <c r="I158" s="14">
        <f>data!AK78</f>
        <v>0</v>
      </c>
    </row>
    <row r="159" spans="1:9" ht="20.100000000000001" customHeight="1" x14ac:dyDescent="0.25">
      <c r="A159" s="23">
        <v>25</v>
      </c>
      <c r="B159" s="14" t="s">
        <v>1189</v>
      </c>
      <c r="C159" s="14">
        <f>data!AE79</f>
        <v>140.07</v>
      </c>
      <c r="D159" s="14">
        <f>data!AF79</f>
        <v>0</v>
      </c>
      <c r="E159" s="14">
        <f>data!AG79</f>
        <v>67737.149999999994</v>
      </c>
      <c r="F159" s="14">
        <f>data!AH79</f>
        <v>0</v>
      </c>
      <c r="G159" s="14">
        <f>data!AI79</f>
        <v>0</v>
      </c>
      <c r="H159" s="14">
        <f>data!AJ79</f>
        <v>1811.77</v>
      </c>
      <c r="I159" s="14">
        <f>data!AK79</f>
        <v>0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23.25</v>
      </c>
      <c r="F160" s="26">
        <f>data!AH80</f>
        <v>0</v>
      </c>
      <c r="G160" s="26">
        <f>data!AI80</f>
        <v>0</v>
      </c>
      <c r="H160" s="26">
        <f>data!AJ80</f>
        <v>0</v>
      </c>
      <c r="I160" s="26">
        <f>data!AK80</f>
        <v>0</v>
      </c>
    </row>
    <row r="161" spans="1:9" ht="20.100000000000001" customHeight="1" x14ac:dyDescent="0.2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CASCADE VALLEY HOSPITAL</v>
      </c>
      <c r="B164" s="77"/>
      <c r="C164" s="77"/>
      <c r="D164" s="77"/>
      <c r="E164" s="77"/>
      <c r="F164" s="77"/>
      <c r="G164" s="80"/>
      <c r="H164" s="79" t="str">
        <f>"FYE: "&amp;data!C82</f>
        <v>FYE: 12/31/2018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1328.5</v>
      </c>
      <c r="G169" s="14">
        <f>data!AP59</f>
        <v>20568</v>
      </c>
      <c r="H169" s="14">
        <f>data!AQ59</f>
        <v>0</v>
      </c>
      <c r="I169" s="14">
        <f>data!AR59</f>
        <v>0</v>
      </c>
    </row>
    <row r="170" spans="1:9" ht="20.100000000000001" customHeight="1" x14ac:dyDescent="0.25">
      <c r="A170" s="23">
        <v>5</v>
      </c>
      <c r="B170" s="14" t="s">
        <v>234</v>
      </c>
      <c r="C170" s="26">
        <f>data!AL60</f>
        <v>0</v>
      </c>
      <c r="D170" s="26">
        <f>data!AM60</f>
        <v>0</v>
      </c>
      <c r="E170" s="26">
        <f>data!AN60</f>
        <v>0</v>
      </c>
      <c r="F170" s="26">
        <f>data!AO60</f>
        <v>3.16</v>
      </c>
      <c r="G170" s="26" t="e">
        <f>data!#REF!</f>
        <v>#REF!</v>
      </c>
      <c r="H170" s="26">
        <f>data!AQ60</f>
        <v>0</v>
      </c>
      <c r="I170" s="26">
        <f>data!AR60</f>
        <v>0</v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270949</v>
      </c>
      <c r="G171" s="14">
        <f>data!AP61</f>
        <v>3697330</v>
      </c>
      <c r="H171" s="14">
        <f>data!AQ61</f>
        <v>0</v>
      </c>
      <c r="I171" s="14">
        <f>data!AR61</f>
        <v>0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58638</v>
      </c>
      <c r="G172" s="14">
        <f>data!AP62</f>
        <v>800168</v>
      </c>
      <c r="H172" s="14">
        <f>data!AQ62</f>
        <v>0</v>
      </c>
      <c r="I172" s="14">
        <f>data!AR62</f>
        <v>0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1673009</v>
      </c>
      <c r="H173" s="14">
        <f>data!AQ63</f>
        <v>0</v>
      </c>
      <c r="I173" s="14">
        <f>data!AR63</f>
        <v>0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0</v>
      </c>
      <c r="D174" s="14">
        <f>data!AM64</f>
        <v>0</v>
      </c>
      <c r="E174" s="14">
        <f>data!AN64</f>
        <v>0</v>
      </c>
      <c r="F174" s="14">
        <f>data!AO64</f>
        <v>34625</v>
      </c>
      <c r="G174" s="14">
        <f>data!AP64</f>
        <v>362344</v>
      </c>
      <c r="H174" s="14">
        <f>data!AQ64</f>
        <v>0</v>
      </c>
      <c r="I174" s="14">
        <f>data!AR64</f>
        <v>0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72812</v>
      </c>
      <c r="H176" s="14">
        <f>data!AQ66</f>
        <v>0</v>
      </c>
      <c r="I176" s="14">
        <f>data!AR66</f>
        <v>0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11984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399498</v>
      </c>
      <c r="H178" s="14">
        <f>data!AQ68</f>
        <v>0</v>
      </c>
      <c r="I178" s="14">
        <f>data!AR68</f>
        <v>0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151234.78</v>
      </c>
      <c r="G179" s="14">
        <f>data!AP69</f>
        <v>1299278.33</v>
      </c>
      <c r="H179" s="14">
        <f>data!AQ69</f>
        <v>0</v>
      </c>
      <c r="I179" s="14">
        <f>data!AR69</f>
        <v>0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00000000000001" customHeight="1" x14ac:dyDescent="0.25">
      <c r="A181" s="23">
        <v>16</v>
      </c>
      <c r="B181" s="48" t="s">
        <v>1180</v>
      </c>
      <c r="C181" s="14">
        <f>data!AL71</f>
        <v>0</v>
      </c>
      <c r="D181" s="14">
        <f>data!AM71</f>
        <v>0</v>
      </c>
      <c r="E181" s="14">
        <f>data!AN71</f>
        <v>0</v>
      </c>
      <c r="F181" s="14">
        <f>data!AO71</f>
        <v>527430.78</v>
      </c>
      <c r="G181" s="14">
        <f>data!AP71</f>
        <v>8304439.3300000001</v>
      </c>
      <c r="H181" s="14">
        <f>data!AQ71</f>
        <v>0</v>
      </c>
      <c r="I181" s="14">
        <f>data!AR71</f>
        <v>0</v>
      </c>
    </row>
    <row r="182" spans="1:9" ht="20.100000000000001" customHeight="1" x14ac:dyDescent="0.2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00000000000001" customHeight="1" x14ac:dyDescent="0.25">
      <c r="A183" s="23">
        <v>18</v>
      </c>
      <c r="B183" s="14" t="s">
        <v>1181</v>
      </c>
      <c r="C183" s="48">
        <f>+data!M703</f>
        <v>0</v>
      </c>
      <c r="D183" s="48">
        <f>+data!M704</f>
        <v>0</v>
      </c>
      <c r="E183" s="48">
        <f>+data!M705</f>
        <v>0</v>
      </c>
      <c r="F183" s="48">
        <f>+data!M706</f>
        <v>37485</v>
      </c>
      <c r="G183" s="48" t="e">
        <f>+data!M707</f>
        <v>#REF!</v>
      </c>
      <c r="H183" s="48">
        <f>+data!M708</f>
        <v>0</v>
      </c>
      <c r="I183" s="48">
        <f>+data!M709</f>
        <v>0</v>
      </c>
    </row>
    <row r="184" spans="1:9" ht="20.100000000000001" customHeight="1" x14ac:dyDescent="0.25">
      <c r="A184" s="23">
        <v>19</v>
      </c>
      <c r="B184" s="48" t="s">
        <v>1182</v>
      </c>
      <c r="C184" s="14">
        <f>data!AL73</f>
        <v>0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1183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6764891</v>
      </c>
      <c r="H185" s="14">
        <f>data!AQ74</f>
        <v>0</v>
      </c>
      <c r="I185" s="14">
        <f>data!AR74</f>
        <v>0</v>
      </c>
    </row>
    <row r="186" spans="1:9" ht="20.100000000000001" customHeight="1" x14ac:dyDescent="0.25">
      <c r="A186" s="23">
        <v>21</v>
      </c>
      <c r="B186" s="48" t="s">
        <v>1184</v>
      </c>
      <c r="C186" s="14">
        <f>data!AL75</f>
        <v>0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6764891</v>
      </c>
      <c r="H186" s="14">
        <f>data!AQ75</f>
        <v>0</v>
      </c>
      <c r="I186" s="14">
        <f>data!AR75</f>
        <v>0</v>
      </c>
    </row>
    <row r="187" spans="1:9" ht="20.100000000000001" customHeight="1" x14ac:dyDescent="0.2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00000000000001" customHeight="1" x14ac:dyDescent="0.2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1973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00000000000001" customHeight="1" x14ac:dyDescent="0.2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348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00000000000001" customHeight="1" x14ac:dyDescent="0.2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5248.97</v>
      </c>
      <c r="H191" s="14">
        <f>data!AQ79</f>
        <v>0</v>
      </c>
      <c r="I191" s="14">
        <f>data!AR79</f>
        <v>0</v>
      </c>
    </row>
    <row r="192" spans="1:9" ht="20.100000000000001" customHeight="1" x14ac:dyDescent="0.2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7.7</v>
      </c>
      <c r="H192" s="26">
        <f>data!AQ80</f>
        <v>0</v>
      </c>
      <c r="I192" s="26">
        <f>data!AR80</f>
        <v>0</v>
      </c>
    </row>
    <row r="193" spans="1:9" ht="20.100000000000001" customHeight="1" x14ac:dyDescent="0.2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CASCADE VALLEY HOSPITAL</v>
      </c>
      <c r="B196" s="77"/>
      <c r="C196" s="77"/>
      <c r="D196" s="77"/>
      <c r="E196" s="77"/>
      <c r="F196" s="77"/>
      <c r="G196" s="80"/>
      <c r="H196" s="79" t="str">
        <f>"FYE: "&amp;data!C82</f>
        <v>FYE: 12/31/2018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112604</v>
      </c>
    </row>
    <row r="202" spans="1:9" ht="20.100000000000001" customHeight="1" x14ac:dyDescent="0.2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data!AP60</f>
        <v>24.740000000000002</v>
      </c>
      <c r="G202" s="26">
        <f>data!AW60</f>
        <v>0</v>
      </c>
      <c r="H202" s="26">
        <f>data!AX60</f>
        <v>0</v>
      </c>
      <c r="I202" s="26">
        <f>data!AY60</f>
        <v>12.95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0</v>
      </c>
      <c r="G203" s="14">
        <f>data!AW61</f>
        <v>0</v>
      </c>
      <c r="H203" s="14">
        <f>data!AX61</f>
        <v>0</v>
      </c>
      <c r="I203" s="14">
        <f>data!AY61</f>
        <v>537973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0</v>
      </c>
      <c r="G204" s="14">
        <f>data!AW62</f>
        <v>0</v>
      </c>
      <c r="H204" s="14">
        <f>data!AX62</f>
        <v>0</v>
      </c>
      <c r="I204" s="14">
        <f>data!AY62</f>
        <v>116427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18300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421072</v>
      </c>
      <c r="G206" s="14">
        <f>data!AW64</f>
        <v>0</v>
      </c>
      <c r="H206" s="14">
        <f>data!AX64</f>
        <v>705</v>
      </c>
      <c r="I206" s="14">
        <f>data!AY64</f>
        <v>338525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556816</v>
      </c>
      <c r="G208" s="14">
        <f>data!AW66</f>
        <v>0</v>
      </c>
      <c r="H208" s="14">
        <f>data!AX66</f>
        <v>0</v>
      </c>
      <c r="I208" s="14">
        <f>data!AY66</f>
        <v>40002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577</v>
      </c>
      <c r="G209" s="14">
        <f>data!AW67</f>
        <v>0</v>
      </c>
      <c r="H209" s="14">
        <f>data!AX67</f>
        <v>0</v>
      </c>
      <c r="I209" s="14">
        <f>data!AY67</f>
        <v>29391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172339</v>
      </c>
      <c r="G210" s="14">
        <f>data!AW68</f>
        <v>0</v>
      </c>
      <c r="H210" s="14">
        <f>data!AX68</f>
        <v>28327</v>
      </c>
      <c r="I210" s="14">
        <f>data!AY68</f>
        <v>0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123</v>
      </c>
      <c r="G211" s="14">
        <f>data!AW69</f>
        <v>0</v>
      </c>
      <c r="H211" s="14">
        <f>data!AX69</f>
        <v>0</v>
      </c>
      <c r="I211" s="14">
        <f>data!AY69</f>
        <v>621195.44999999995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0</v>
      </c>
    </row>
    <row r="213" spans="1:9" ht="20.100000000000001" customHeight="1" x14ac:dyDescent="0.2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1169227</v>
      </c>
      <c r="G213" s="14">
        <f>data!AW71</f>
        <v>0</v>
      </c>
      <c r="H213" s="14">
        <f>data!AX71</f>
        <v>29032</v>
      </c>
      <c r="I213" s="14">
        <f>data!AY71</f>
        <v>1683513.45</v>
      </c>
    </row>
    <row r="214" spans="1:9" ht="20.100000000000001" customHeight="1" x14ac:dyDescent="0.2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00000000000001" customHeight="1" x14ac:dyDescent="0.2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289981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21041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5493694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5514735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00000000000001" customHeight="1" x14ac:dyDescent="0.2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00000000000001" customHeight="1" x14ac:dyDescent="0.2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95</v>
      </c>
      <c r="G220" s="14">
        <f>data!AW76</f>
        <v>0</v>
      </c>
      <c r="H220" s="14">
        <f>data!AX76</f>
        <v>0</v>
      </c>
      <c r="I220" s="85">
        <f>data!AY76</f>
        <v>4839</v>
      </c>
    </row>
    <row r="221" spans="1:9" ht="20.100000000000001" customHeight="1" x14ac:dyDescent="0.2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17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10034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2.0699999999999998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00000000000001" customHeight="1" x14ac:dyDescent="0.2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CASCADE VALLEY HOSPITAL</v>
      </c>
      <c r="B228" s="77"/>
      <c r="C228" s="77"/>
      <c r="D228" s="77"/>
      <c r="E228" s="77"/>
      <c r="F228" s="77"/>
      <c r="G228" s="80"/>
      <c r="H228" s="79" t="str">
        <f>"FYE: "&amp;data!C82</f>
        <v>FYE: 12/31/2018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00000000000001" customHeight="1" x14ac:dyDescent="0.2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89368</v>
      </c>
      <c r="I233" s="212"/>
    </row>
    <row r="234" spans="1:9" ht="20.100000000000001" customHeight="1" x14ac:dyDescent="0.25">
      <c r="A234" s="23">
        <v>5</v>
      </c>
      <c r="B234" s="14" t="s">
        <v>234</v>
      </c>
      <c r="C234" s="26">
        <f>data!AZ60</f>
        <v>0</v>
      </c>
      <c r="D234" s="26">
        <f>data!BA60</f>
        <v>1.05</v>
      </c>
      <c r="E234" s="26">
        <f>data!BB60</f>
        <v>0</v>
      </c>
      <c r="F234" s="26">
        <f>data!BC60</f>
        <v>0</v>
      </c>
      <c r="G234" s="26">
        <f>data!BD60</f>
        <v>4.04</v>
      </c>
      <c r="H234" s="26">
        <f>data!BE60</f>
        <v>4.01</v>
      </c>
      <c r="I234" s="26">
        <f>data!BF60</f>
        <v>9.48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0</v>
      </c>
      <c r="D235" s="14">
        <f>data!BA61</f>
        <v>34130</v>
      </c>
      <c r="E235" s="14">
        <f>data!BB61</f>
        <v>0</v>
      </c>
      <c r="F235" s="14">
        <f>data!BC61</f>
        <v>0</v>
      </c>
      <c r="G235" s="14">
        <f>data!BD61</f>
        <v>169594</v>
      </c>
      <c r="H235" s="14">
        <f>data!BE61</f>
        <v>275575</v>
      </c>
      <c r="I235" s="14">
        <f>data!BF61</f>
        <v>394551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0</v>
      </c>
      <c r="D236" s="14">
        <f>data!BA62</f>
        <v>7386</v>
      </c>
      <c r="E236" s="14">
        <f>data!BB62</f>
        <v>0</v>
      </c>
      <c r="F236" s="14">
        <f>data!BC62</f>
        <v>0</v>
      </c>
      <c r="G236" s="14">
        <f>data!BD62</f>
        <v>36703</v>
      </c>
      <c r="H236" s="14">
        <f>data!BE62</f>
        <v>59639</v>
      </c>
      <c r="I236" s="14">
        <f>data!BF62</f>
        <v>85388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0</v>
      </c>
      <c r="D238" s="14">
        <f>data!BA64</f>
        <v>1679</v>
      </c>
      <c r="E238" s="14">
        <f>data!BB64</f>
        <v>0</v>
      </c>
      <c r="F238" s="14">
        <f>data!BC64</f>
        <v>4549</v>
      </c>
      <c r="G238" s="14">
        <f>data!BD64</f>
        <v>5097</v>
      </c>
      <c r="H238" s="14">
        <f>data!BE64</f>
        <v>77473</v>
      </c>
      <c r="I238" s="14">
        <f>data!BF64</f>
        <v>47883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0</v>
      </c>
      <c r="I239" s="14">
        <f>data!BF65</f>
        <v>0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0</v>
      </c>
      <c r="D240" s="14">
        <f>data!BA66</f>
        <v>147972</v>
      </c>
      <c r="E240" s="14">
        <f>data!BB66</f>
        <v>0</v>
      </c>
      <c r="F240" s="14">
        <f>data!BC66</f>
        <v>0</v>
      </c>
      <c r="G240" s="14">
        <f>data!BD66</f>
        <v>0</v>
      </c>
      <c r="H240" s="14">
        <f>data!BE66</f>
        <v>346451</v>
      </c>
      <c r="I240" s="14">
        <f>data!BF66</f>
        <v>117426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0</v>
      </c>
      <c r="D241" s="14">
        <f>data!BA67</f>
        <v>2253</v>
      </c>
      <c r="E241" s="14">
        <f>data!BB67</f>
        <v>0</v>
      </c>
      <c r="F241" s="14">
        <f>data!BC67</f>
        <v>0</v>
      </c>
      <c r="G241" s="14">
        <f>data!BD67</f>
        <v>9748</v>
      </c>
      <c r="H241" s="14">
        <f>data!BE67</f>
        <v>178607</v>
      </c>
      <c r="I241" s="14">
        <f>data!BF67</f>
        <v>2423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1589</v>
      </c>
      <c r="I242" s="14">
        <f>data!BF68</f>
        <v>0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0</v>
      </c>
      <c r="D243" s="14">
        <f>data!BA69</f>
        <v>50252.06</v>
      </c>
      <c r="E243" s="14">
        <f>data!BB69</f>
        <v>0</v>
      </c>
      <c r="F243" s="14">
        <f>data!BC69</f>
        <v>0</v>
      </c>
      <c r="G243" s="14">
        <f>data!BD69</f>
        <v>19956.8</v>
      </c>
      <c r="H243" s="14">
        <f>data!BE69</f>
        <v>193255.02</v>
      </c>
      <c r="I243" s="14">
        <f>data!BF69</f>
        <v>453743.34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00000000000001" customHeight="1" x14ac:dyDescent="0.25">
      <c r="A245" s="23">
        <v>16</v>
      </c>
      <c r="B245" s="48" t="s">
        <v>1180</v>
      </c>
      <c r="C245" s="14">
        <f>data!AZ71</f>
        <v>0</v>
      </c>
      <c r="D245" s="14">
        <f>data!BA71</f>
        <v>243672.06</v>
      </c>
      <c r="E245" s="14">
        <f>data!BB71</f>
        <v>0</v>
      </c>
      <c r="F245" s="14">
        <f>data!BC71</f>
        <v>4549</v>
      </c>
      <c r="G245" s="14">
        <f>data!BD71</f>
        <v>241098.8</v>
      </c>
      <c r="H245" s="14">
        <f>data!BE71</f>
        <v>1132589.02</v>
      </c>
      <c r="I245" s="14">
        <f>data!BF71</f>
        <v>1101414.3400000001</v>
      </c>
    </row>
    <row r="246" spans="1:9" ht="20.100000000000001" customHeight="1" x14ac:dyDescent="0.2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00000000000001" customHeight="1" x14ac:dyDescent="0.2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00000000000001" customHeight="1" x14ac:dyDescent="0.2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00000000000001" customHeight="1" x14ac:dyDescent="0.25">
      <c r="A252" s="23">
        <v>22</v>
      </c>
      <c r="B252" s="14" t="s">
        <v>1186</v>
      </c>
      <c r="C252" s="85">
        <f>data!AZ76</f>
        <v>0</v>
      </c>
      <c r="D252" s="85">
        <f>data!BA76</f>
        <v>371</v>
      </c>
      <c r="E252" s="85">
        <f>data!BB76</f>
        <v>0</v>
      </c>
      <c r="F252" s="85">
        <f>data!BC76</f>
        <v>0</v>
      </c>
      <c r="G252" s="85">
        <f>data!BD76</f>
        <v>1605</v>
      </c>
      <c r="H252" s="85">
        <f>data!BE76</f>
        <v>29406</v>
      </c>
      <c r="I252" s="85">
        <f>data!BF76</f>
        <v>399</v>
      </c>
    </row>
    <row r="253" spans="1:9" ht="20.100000000000001" customHeight="1" x14ac:dyDescent="0.2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65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00000000000001" customHeight="1" x14ac:dyDescent="0.2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CASCADE VALLEY HOSPITAL</v>
      </c>
      <c r="B260" s="77"/>
      <c r="C260" s="77"/>
      <c r="D260" s="77"/>
      <c r="E260" s="77"/>
      <c r="F260" s="77"/>
      <c r="G260" s="80"/>
      <c r="H260" s="79" t="str">
        <f>"FYE: "&amp;data!C82</f>
        <v>FYE: 12/31/2018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 x14ac:dyDescent="0.2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00000000000001" customHeight="1" x14ac:dyDescent="0.2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0</v>
      </c>
      <c r="D266" s="26">
        <f>data!BH60</f>
        <v>0</v>
      </c>
      <c r="E266" s="26">
        <f>data!BI60</f>
        <v>0</v>
      </c>
      <c r="F266" s="26">
        <f>data!BJ60</f>
        <v>0</v>
      </c>
      <c r="G266" s="26">
        <f>data!BK60</f>
        <v>0</v>
      </c>
      <c r="H266" s="26">
        <f>data!BL60</f>
        <v>9.81</v>
      </c>
      <c r="I266" s="26">
        <f>data!BM60</f>
        <v>0</v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69448</v>
      </c>
      <c r="D267" s="14">
        <f>data!BH61</f>
        <v>0</v>
      </c>
      <c r="E267" s="14">
        <f>data!BI61</f>
        <v>0</v>
      </c>
      <c r="F267" s="14">
        <f>data!BJ61</f>
        <v>0</v>
      </c>
      <c r="G267" s="14">
        <f>data!BK61</f>
        <v>0</v>
      </c>
      <c r="H267" s="14">
        <f>data!BL61</f>
        <v>404167</v>
      </c>
      <c r="I267" s="14">
        <f>data!BM61</f>
        <v>0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15030</v>
      </c>
      <c r="D268" s="14">
        <f>data!BH62</f>
        <v>0</v>
      </c>
      <c r="E268" s="14">
        <f>data!BI62</f>
        <v>0</v>
      </c>
      <c r="F268" s="14">
        <f>data!BJ62</f>
        <v>0</v>
      </c>
      <c r="G268" s="14">
        <f>data!BK62</f>
        <v>0</v>
      </c>
      <c r="H268" s="14">
        <f>data!BL62</f>
        <v>87469</v>
      </c>
      <c r="I268" s="14">
        <f>data!BM62</f>
        <v>0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200</v>
      </c>
      <c r="D270" s="14">
        <f>data!BH64</f>
        <v>0</v>
      </c>
      <c r="E270" s="14">
        <f>data!BI64</f>
        <v>0</v>
      </c>
      <c r="F270" s="14">
        <f>data!BJ64</f>
        <v>0</v>
      </c>
      <c r="G270" s="14">
        <f>data!BK64</f>
        <v>0</v>
      </c>
      <c r="H270" s="14">
        <f>data!BL64</f>
        <v>11903</v>
      </c>
      <c r="I270" s="14">
        <f>data!BM64</f>
        <v>0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0</v>
      </c>
      <c r="D271" s="14">
        <f>data!BH65</f>
        <v>0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2475</v>
      </c>
      <c r="I271" s="14">
        <f>data!BM65</f>
        <v>0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0</v>
      </c>
      <c r="D272" s="14">
        <f>data!BH66</f>
        <v>0</v>
      </c>
      <c r="E272" s="14">
        <f>data!BI66</f>
        <v>0</v>
      </c>
      <c r="F272" s="14">
        <f>data!BJ66</f>
        <v>0</v>
      </c>
      <c r="G272" s="14">
        <f>data!BK66</f>
        <v>0</v>
      </c>
      <c r="H272" s="14">
        <f>data!BL66</f>
        <v>0</v>
      </c>
      <c r="I272" s="14">
        <f>data!BM66</f>
        <v>0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1014</v>
      </c>
      <c r="D273" s="14">
        <f>data!BH67</f>
        <v>0</v>
      </c>
      <c r="E273" s="14">
        <f>data!BI67</f>
        <v>0</v>
      </c>
      <c r="F273" s="14">
        <f>data!BJ67</f>
        <v>0</v>
      </c>
      <c r="G273" s="14">
        <f>data!BK67</f>
        <v>0</v>
      </c>
      <c r="H273" s="14">
        <f>data!BL67</f>
        <v>5023</v>
      </c>
      <c r="I273" s="14">
        <f>data!BM67</f>
        <v>0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13</v>
      </c>
      <c r="D275" s="14">
        <f>data!BH69</f>
        <v>0</v>
      </c>
      <c r="E275" s="14">
        <f>data!BI69</f>
        <v>0</v>
      </c>
      <c r="F275" s="14">
        <f>data!BJ69</f>
        <v>0</v>
      </c>
      <c r="G275" s="14">
        <f>data!BK69</f>
        <v>0</v>
      </c>
      <c r="H275" s="14">
        <f>data!BL69</f>
        <v>469550.85</v>
      </c>
      <c r="I275" s="14">
        <f>data!BM69</f>
        <v>0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 x14ac:dyDescent="0.25">
      <c r="A277" s="23">
        <v>16</v>
      </c>
      <c r="B277" s="48" t="s">
        <v>1180</v>
      </c>
      <c r="C277" s="14">
        <f>data!BG71</f>
        <v>85705</v>
      </c>
      <c r="D277" s="14">
        <f>data!BH71</f>
        <v>0</v>
      </c>
      <c r="E277" s="14">
        <f>data!BI71</f>
        <v>0</v>
      </c>
      <c r="F277" s="14">
        <f>data!BJ71</f>
        <v>0</v>
      </c>
      <c r="G277" s="14">
        <f>data!BK71</f>
        <v>0</v>
      </c>
      <c r="H277" s="14">
        <f>data!BL71</f>
        <v>980587.85</v>
      </c>
      <c r="I277" s="14">
        <f>data!BM71</f>
        <v>0</v>
      </c>
    </row>
    <row r="278" spans="1:9" ht="20.100000000000001" customHeight="1" x14ac:dyDescent="0.2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00000000000001" customHeight="1" x14ac:dyDescent="0.2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00000000000001" customHeight="1" x14ac:dyDescent="0.2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00000000000001" customHeight="1" x14ac:dyDescent="0.25">
      <c r="A284" s="23">
        <v>22</v>
      </c>
      <c r="B284" s="14" t="s">
        <v>1186</v>
      </c>
      <c r="C284" s="85">
        <f>data!BG76</f>
        <v>167</v>
      </c>
      <c r="D284" s="85">
        <f>data!BH76</f>
        <v>0</v>
      </c>
      <c r="E284" s="85">
        <f>data!BI76</f>
        <v>0</v>
      </c>
      <c r="F284" s="85">
        <f>data!BJ76</f>
        <v>0</v>
      </c>
      <c r="G284" s="85">
        <f>data!BK76</f>
        <v>0</v>
      </c>
      <c r="H284" s="85">
        <f>data!BL76</f>
        <v>827</v>
      </c>
      <c r="I284" s="85">
        <f>data!BM76</f>
        <v>0</v>
      </c>
    </row>
    <row r="285" spans="1:9" ht="20.100000000000001" customHeight="1" x14ac:dyDescent="0.2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0</v>
      </c>
      <c r="E286" s="85">
        <f>data!BI78</f>
        <v>0</v>
      </c>
      <c r="F286" s="213" t="str">
        <f>IF(data!BJ78&gt;0,data!BJ78,"")</f>
        <v>x</v>
      </c>
      <c r="G286" s="85">
        <f>data!BK78</f>
        <v>0</v>
      </c>
      <c r="H286" s="85">
        <f>data!BL78</f>
        <v>146</v>
      </c>
      <c r="I286" s="85">
        <f>data!BM78</f>
        <v>0</v>
      </c>
    </row>
    <row r="287" spans="1:9" ht="20.100000000000001" customHeight="1" x14ac:dyDescent="0.2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00000000000001" customHeight="1" x14ac:dyDescent="0.2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CASCADE VALLEY HOSPITAL</v>
      </c>
      <c r="B292" s="77"/>
      <c r="C292" s="77"/>
      <c r="D292" s="77"/>
      <c r="E292" s="77"/>
      <c r="F292" s="77"/>
      <c r="G292" s="80"/>
      <c r="H292" s="79" t="str">
        <f>"FYE: "&amp;data!C82</f>
        <v>FYE: 12/31/2018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00000000000001" customHeight="1" x14ac:dyDescent="0.2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3.01</v>
      </c>
      <c r="D298" s="26">
        <f>data!BO60</f>
        <v>0</v>
      </c>
      <c r="E298" s="26">
        <f>data!BP60</f>
        <v>0</v>
      </c>
      <c r="F298" s="26">
        <f>data!BQ60</f>
        <v>0</v>
      </c>
      <c r="G298" s="26">
        <f>data!BR60</f>
        <v>0</v>
      </c>
      <c r="H298" s="26">
        <f>data!BS60</f>
        <v>0</v>
      </c>
      <c r="I298" s="26">
        <f>data!BT60</f>
        <v>0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280308</v>
      </c>
      <c r="D299" s="14">
        <f>data!BO61</f>
        <v>0</v>
      </c>
      <c r="E299" s="14">
        <f>data!BP61</f>
        <v>0</v>
      </c>
      <c r="F299" s="14">
        <f>data!BQ61</f>
        <v>0</v>
      </c>
      <c r="G299" s="14">
        <f>data!BR61</f>
        <v>0</v>
      </c>
      <c r="H299" s="14">
        <f>data!BS61</f>
        <v>0</v>
      </c>
      <c r="I299" s="14">
        <f>data!BT61</f>
        <v>0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60664</v>
      </c>
      <c r="D300" s="14">
        <f>data!BO62</f>
        <v>0</v>
      </c>
      <c r="E300" s="14">
        <f>data!BP62</f>
        <v>0</v>
      </c>
      <c r="F300" s="14">
        <f>data!BQ62</f>
        <v>0</v>
      </c>
      <c r="G300" s="14">
        <f>data!BR62</f>
        <v>0</v>
      </c>
      <c r="H300" s="14">
        <f>data!BS62</f>
        <v>0</v>
      </c>
      <c r="I300" s="14">
        <f>data!BT62</f>
        <v>0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0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2524</v>
      </c>
      <c r="D302" s="14">
        <f>data!BO64</f>
        <v>0</v>
      </c>
      <c r="E302" s="14">
        <f>data!BP64</f>
        <v>0</v>
      </c>
      <c r="F302" s="14">
        <f>data!BQ64</f>
        <v>0</v>
      </c>
      <c r="G302" s="14">
        <f>data!BR64</f>
        <v>0</v>
      </c>
      <c r="H302" s="14">
        <f>data!BS64</f>
        <v>0</v>
      </c>
      <c r="I302" s="14">
        <f>data!BT64</f>
        <v>0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0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0</v>
      </c>
      <c r="D304" s="14">
        <f>data!BO66</f>
        <v>0</v>
      </c>
      <c r="E304" s="14">
        <f>data!BP66</f>
        <v>0</v>
      </c>
      <c r="F304" s="14">
        <f>data!BQ66</f>
        <v>0</v>
      </c>
      <c r="G304" s="14">
        <f>data!BR66</f>
        <v>0</v>
      </c>
      <c r="H304" s="14">
        <f>data!BS66</f>
        <v>0</v>
      </c>
      <c r="I304" s="14">
        <f>data!BT66</f>
        <v>0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21337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0</v>
      </c>
      <c r="H305" s="14">
        <f>data!BS67</f>
        <v>0</v>
      </c>
      <c r="I305" s="14">
        <f>data!BT67</f>
        <v>0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10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207361.92000000001</v>
      </c>
      <c r="D307" s="14">
        <f>data!BO69</f>
        <v>0</v>
      </c>
      <c r="E307" s="14">
        <f>data!BP69</f>
        <v>0</v>
      </c>
      <c r="F307" s="14">
        <f>data!BQ69</f>
        <v>0</v>
      </c>
      <c r="G307" s="14">
        <f>data!BR69</f>
        <v>0</v>
      </c>
      <c r="H307" s="14">
        <f>data!BS69</f>
        <v>0</v>
      </c>
      <c r="I307" s="14">
        <f>data!BT69</f>
        <v>0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00000000000001" customHeight="1" x14ac:dyDescent="0.25">
      <c r="A309" s="23">
        <v>16</v>
      </c>
      <c r="B309" s="48" t="s">
        <v>1180</v>
      </c>
      <c r="C309" s="14">
        <f>data!BN71</f>
        <v>572204.92000000004</v>
      </c>
      <c r="D309" s="14">
        <f>data!BO71</f>
        <v>0</v>
      </c>
      <c r="E309" s="14">
        <f>data!BP71</f>
        <v>0</v>
      </c>
      <c r="F309" s="14">
        <f>data!BQ71</f>
        <v>0</v>
      </c>
      <c r="G309" s="14">
        <f>data!BR71</f>
        <v>0</v>
      </c>
      <c r="H309" s="14">
        <f>data!BS71</f>
        <v>0</v>
      </c>
      <c r="I309" s="14">
        <f>data!BT71</f>
        <v>0</v>
      </c>
    </row>
    <row r="310" spans="1:9" ht="20.100000000000001" customHeight="1" x14ac:dyDescent="0.2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00000000000001" customHeight="1" x14ac:dyDescent="0.2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00000000000001" customHeight="1" x14ac:dyDescent="0.2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00000000000001" customHeight="1" x14ac:dyDescent="0.25">
      <c r="A316" s="23">
        <v>22</v>
      </c>
      <c r="B316" s="14" t="s">
        <v>1186</v>
      </c>
      <c r="C316" s="85">
        <f>data!BN76</f>
        <v>3513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0</v>
      </c>
      <c r="H316" s="85">
        <f>data!BS76</f>
        <v>0</v>
      </c>
      <c r="I316" s="85">
        <f>data!BT76</f>
        <v>0</v>
      </c>
    </row>
    <row r="317" spans="1:9" ht="20.100000000000001" customHeight="1" x14ac:dyDescent="0.2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00000000000001" customHeight="1" x14ac:dyDescent="0.2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00000000000001" customHeight="1" x14ac:dyDescent="0.2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CASCADE VALLEY HOSPITAL</v>
      </c>
      <c r="B324" s="77"/>
      <c r="C324" s="77"/>
      <c r="D324" s="77"/>
      <c r="E324" s="77"/>
      <c r="F324" s="77"/>
      <c r="G324" s="80"/>
      <c r="H324" s="79" t="str">
        <f>"FYE: "&amp;data!C82</f>
        <v>FYE: 12/31/2018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00000000000001" customHeight="1" x14ac:dyDescent="0.2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00000000000001" customHeight="1" x14ac:dyDescent="0.25">
      <c r="A330" s="23">
        <v>5</v>
      </c>
      <c r="B330" s="14" t="s">
        <v>234</v>
      </c>
      <c r="C330" s="26">
        <f>data!BU60</f>
        <v>0</v>
      </c>
      <c r="D330" s="26">
        <f>data!BV60</f>
        <v>7.84</v>
      </c>
      <c r="E330" s="26">
        <f>data!BW60</f>
        <v>1</v>
      </c>
      <c r="F330" s="26">
        <f>data!BX60</f>
        <v>2</v>
      </c>
      <c r="G330" s="26">
        <f>data!BY60</f>
        <v>8.14</v>
      </c>
      <c r="H330" s="26">
        <f>data!BZ60</f>
        <v>0</v>
      </c>
      <c r="I330" s="26">
        <f>data!CA60</f>
        <v>0</v>
      </c>
    </row>
    <row r="331" spans="1:9" ht="20.100000000000001" customHeight="1" x14ac:dyDescent="0.25">
      <c r="A331" s="23">
        <v>6</v>
      </c>
      <c r="B331" s="14" t="s">
        <v>235</v>
      </c>
      <c r="C331" s="86">
        <f>data!BU61</f>
        <v>0</v>
      </c>
      <c r="D331" s="86">
        <f>data!BV61</f>
        <v>416956</v>
      </c>
      <c r="E331" s="86">
        <f>data!BW61</f>
        <v>107399</v>
      </c>
      <c r="F331" s="86">
        <f>data!BX61</f>
        <v>154946</v>
      </c>
      <c r="G331" s="86">
        <f>data!BY61</f>
        <v>928715</v>
      </c>
      <c r="H331" s="86">
        <f>data!BZ61</f>
        <v>0</v>
      </c>
      <c r="I331" s="86">
        <f>data!CA61</f>
        <v>0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0</v>
      </c>
      <c r="D332" s="86">
        <f>data!BV62</f>
        <v>90237</v>
      </c>
      <c r="E332" s="86">
        <f>data!BW62</f>
        <v>23243</v>
      </c>
      <c r="F332" s="86">
        <f>data!BX62</f>
        <v>33533</v>
      </c>
      <c r="G332" s="86">
        <f>data!BY62</f>
        <v>200990</v>
      </c>
      <c r="H332" s="86">
        <f>data!BZ62</f>
        <v>0</v>
      </c>
      <c r="I332" s="86">
        <f>data!CA62</f>
        <v>0</v>
      </c>
    </row>
    <row r="333" spans="1:9" ht="20.100000000000001" customHeight="1" x14ac:dyDescent="0.2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8730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00000000000001" customHeight="1" x14ac:dyDescent="0.25">
      <c r="A334" s="23">
        <v>9</v>
      </c>
      <c r="B334" s="14" t="s">
        <v>237</v>
      </c>
      <c r="C334" s="86">
        <f>data!BU64</f>
        <v>0</v>
      </c>
      <c r="D334" s="86">
        <f>data!BV64</f>
        <v>675</v>
      </c>
      <c r="E334" s="86">
        <f>data!BW64</f>
        <v>4842</v>
      </c>
      <c r="F334" s="86">
        <f>data!BX64</f>
        <v>1789</v>
      </c>
      <c r="G334" s="86">
        <f>data!BY64</f>
        <v>13080</v>
      </c>
      <c r="H334" s="86">
        <f>data!BZ64</f>
        <v>0</v>
      </c>
      <c r="I334" s="86">
        <f>data!CA64</f>
        <v>0</v>
      </c>
    </row>
    <row r="335" spans="1:9" ht="20.100000000000001" customHeight="1" x14ac:dyDescent="0.2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0</v>
      </c>
      <c r="H335" s="86">
        <f>data!BZ65</f>
        <v>0</v>
      </c>
      <c r="I335" s="86">
        <f>data!CA65</f>
        <v>0</v>
      </c>
    </row>
    <row r="336" spans="1:9" ht="20.100000000000001" customHeight="1" x14ac:dyDescent="0.25">
      <c r="A336" s="23">
        <v>11</v>
      </c>
      <c r="B336" s="14" t="s">
        <v>445</v>
      </c>
      <c r="C336" s="86">
        <f>data!BU66</f>
        <v>0</v>
      </c>
      <c r="D336" s="86">
        <f>data!BV66</f>
        <v>0</v>
      </c>
      <c r="E336" s="86">
        <f>data!BW66</f>
        <v>0</v>
      </c>
      <c r="F336" s="86">
        <f>data!BX66</f>
        <v>145945</v>
      </c>
      <c r="G336" s="86">
        <f>data!BY66</f>
        <v>0</v>
      </c>
      <c r="H336" s="86">
        <f>data!BZ66</f>
        <v>0</v>
      </c>
      <c r="I336" s="86">
        <f>data!CA66</f>
        <v>0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0</v>
      </c>
      <c r="D337" s="86">
        <f>data!BV67</f>
        <v>11243</v>
      </c>
      <c r="E337" s="86">
        <f>data!BW67</f>
        <v>3328</v>
      </c>
      <c r="F337" s="86">
        <f>data!BX67</f>
        <v>5594</v>
      </c>
      <c r="G337" s="86">
        <f>data!BY67</f>
        <v>1816</v>
      </c>
      <c r="H337" s="86">
        <f>data!BZ67</f>
        <v>0</v>
      </c>
      <c r="I337" s="86">
        <f>data!CA67</f>
        <v>0</v>
      </c>
    </row>
    <row r="338" spans="1:9" ht="20.100000000000001" customHeight="1" x14ac:dyDescent="0.2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00000000000001" customHeight="1" x14ac:dyDescent="0.25">
      <c r="A339" s="23">
        <v>14</v>
      </c>
      <c r="B339" s="14" t="s">
        <v>241</v>
      </c>
      <c r="C339" s="86">
        <f>data!BU69</f>
        <v>0</v>
      </c>
      <c r="D339" s="86">
        <f>data!BV69</f>
        <v>437322.41</v>
      </c>
      <c r="E339" s="86">
        <f>data!BW69</f>
        <v>74009.11</v>
      </c>
      <c r="F339" s="86">
        <f>data!BX69</f>
        <v>98288.22</v>
      </c>
      <c r="G339" s="86">
        <f>data!BY69</f>
        <v>444049.14</v>
      </c>
      <c r="H339" s="86">
        <f>data!BZ69</f>
        <v>0</v>
      </c>
      <c r="I339" s="86">
        <f>data!CA69</f>
        <v>0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00000000000001" customHeight="1" x14ac:dyDescent="0.25">
      <c r="A341" s="23">
        <v>16</v>
      </c>
      <c r="B341" s="48" t="s">
        <v>1180</v>
      </c>
      <c r="C341" s="14">
        <f>data!BU71</f>
        <v>0</v>
      </c>
      <c r="D341" s="14">
        <f>data!BV71</f>
        <v>956433.40999999992</v>
      </c>
      <c r="E341" s="14">
        <f>data!BW71</f>
        <v>221551.11</v>
      </c>
      <c r="F341" s="14">
        <f>data!BX71</f>
        <v>440095.22</v>
      </c>
      <c r="G341" s="14">
        <f>data!BY71</f>
        <v>1588650.1400000001</v>
      </c>
      <c r="H341" s="14">
        <f>data!BZ71</f>
        <v>0</v>
      </c>
      <c r="I341" s="14">
        <f>data!CA71</f>
        <v>0</v>
      </c>
    </row>
    <row r="342" spans="1:9" ht="20.100000000000001" customHeight="1" x14ac:dyDescent="0.2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00000000000001" customHeight="1" x14ac:dyDescent="0.2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00000000000001" customHeight="1" x14ac:dyDescent="0.2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00000000000001" customHeight="1" x14ac:dyDescent="0.25">
      <c r="A348" s="23">
        <v>22</v>
      </c>
      <c r="B348" s="14" t="s">
        <v>1186</v>
      </c>
      <c r="C348" s="85">
        <f>data!BU76</f>
        <v>0</v>
      </c>
      <c r="D348" s="85">
        <f>data!BV76</f>
        <v>1851</v>
      </c>
      <c r="E348" s="85">
        <f>data!BW76</f>
        <v>548</v>
      </c>
      <c r="F348" s="85">
        <f>data!BX76</f>
        <v>921</v>
      </c>
      <c r="G348" s="85">
        <f>data!BY76</f>
        <v>299</v>
      </c>
      <c r="H348" s="85">
        <f>data!BZ76</f>
        <v>0</v>
      </c>
      <c r="I348" s="85">
        <f>data!CA76</f>
        <v>0</v>
      </c>
    </row>
    <row r="349" spans="1:9" ht="20.100000000000001" customHeight="1" x14ac:dyDescent="0.2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1188</v>
      </c>
      <c r="C350" s="85">
        <f>data!BU78</f>
        <v>0</v>
      </c>
      <c r="D350" s="85">
        <f>data!BV78</f>
        <v>326</v>
      </c>
      <c r="E350" s="85">
        <f>data!BW78</f>
        <v>927</v>
      </c>
      <c r="F350" s="85">
        <f>data!BX78</f>
        <v>162</v>
      </c>
      <c r="G350" s="85">
        <f>data!BY78</f>
        <v>53</v>
      </c>
      <c r="H350" s="85">
        <f>data!BZ78</f>
        <v>0</v>
      </c>
      <c r="I350" s="85">
        <f>data!CA78</f>
        <v>0</v>
      </c>
    </row>
    <row r="351" spans="1:9" ht="20.100000000000001" customHeight="1" x14ac:dyDescent="0.2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00000000000001" customHeight="1" x14ac:dyDescent="0.2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CASCADE VALLEY HOSPITAL</v>
      </c>
      <c r="B356" s="77"/>
      <c r="C356" s="77"/>
      <c r="D356" s="77"/>
      <c r="E356" s="77"/>
      <c r="F356" s="77"/>
      <c r="G356" s="80"/>
      <c r="H356" s="79" t="str">
        <f>"FYE: "&amp;data!C82</f>
        <v>FYE: 12/31/2018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00000000000001" customHeight="1" x14ac:dyDescent="0.2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0</v>
      </c>
      <c r="D362" s="26">
        <f>data!CC60</f>
        <v>2.85</v>
      </c>
      <c r="E362" s="217"/>
      <c r="F362" s="211"/>
      <c r="G362" s="211"/>
      <c r="H362" s="211"/>
      <c r="I362" s="87">
        <f>data!CE60</f>
        <v>262.79000000000002</v>
      </c>
    </row>
    <row r="363" spans="1:9" ht="20.100000000000001" customHeight="1" x14ac:dyDescent="0.25">
      <c r="A363" s="23">
        <v>6</v>
      </c>
      <c r="B363" s="14" t="s">
        <v>235</v>
      </c>
      <c r="C363" s="86">
        <f>data!CB61</f>
        <v>0</v>
      </c>
      <c r="D363" s="86">
        <f>data!CC61</f>
        <v>318462</v>
      </c>
      <c r="E363" s="218"/>
      <c r="F363" s="219"/>
      <c r="G363" s="219"/>
      <c r="H363" s="219"/>
      <c r="I363" s="86">
        <f>data!CE61</f>
        <v>21207399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0</v>
      </c>
      <c r="D364" s="86">
        <f>data!CC62</f>
        <v>68921</v>
      </c>
      <c r="E364" s="218"/>
      <c r="F364" s="219"/>
      <c r="G364" s="219"/>
      <c r="H364" s="219"/>
      <c r="I364" s="86">
        <f>data!CE62</f>
        <v>4589660</v>
      </c>
    </row>
    <row r="365" spans="1:9" ht="20.100000000000001" customHeight="1" x14ac:dyDescent="0.25">
      <c r="A365" s="23">
        <v>8</v>
      </c>
      <c r="B365" s="14" t="s">
        <v>236</v>
      </c>
      <c r="C365" s="86">
        <f>data!CB63</f>
        <v>0</v>
      </c>
      <c r="D365" s="86">
        <f>data!CC63</f>
        <v>96093</v>
      </c>
      <c r="E365" s="218"/>
      <c r="F365" s="219"/>
      <c r="G365" s="219"/>
      <c r="H365" s="219"/>
      <c r="I365" s="86">
        <f>data!CE63</f>
        <v>4442781</v>
      </c>
    </row>
    <row r="366" spans="1:9" ht="20.100000000000001" customHeight="1" x14ac:dyDescent="0.25">
      <c r="A366" s="23">
        <v>9</v>
      </c>
      <c r="B366" s="14" t="s">
        <v>237</v>
      </c>
      <c r="C366" s="86">
        <f>data!CB64</f>
        <v>0</v>
      </c>
      <c r="D366" s="86">
        <f>data!CC64</f>
        <v>62042</v>
      </c>
      <c r="E366" s="218"/>
      <c r="F366" s="219"/>
      <c r="G366" s="219"/>
      <c r="H366" s="219"/>
      <c r="I366" s="86">
        <f>data!CE64</f>
        <v>6805433</v>
      </c>
    </row>
    <row r="367" spans="1:9" ht="20.100000000000001" customHeight="1" x14ac:dyDescent="0.25">
      <c r="A367" s="23">
        <v>10</v>
      </c>
      <c r="B367" s="14" t="s">
        <v>444</v>
      </c>
      <c r="C367" s="86">
        <f>data!CB65</f>
        <v>0</v>
      </c>
      <c r="D367" s="86">
        <f>data!CC65</f>
        <v>793078</v>
      </c>
      <c r="E367" s="218"/>
      <c r="F367" s="219"/>
      <c r="G367" s="219"/>
      <c r="H367" s="219"/>
      <c r="I367" s="86">
        <f>data!CE65</f>
        <v>795553</v>
      </c>
    </row>
    <row r="368" spans="1:9" ht="20.100000000000001" customHeight="1" x14ac:dyDescent="0.25">
      <c r="A368" s="23">
        <v>11</v>
      </c>
      <c r="B368" s="14" t="s">
        <v>445</v>
      </c>
      <c r="C368" s="86">
        <f>data!CB66</f>
        <v>0</v>
      </c>
      <c r="D368" s="86">
        <f>data!CC66</f>
        <v>1559424</v>
      </c>
      <c r="E368" s="218"/>
      <c r="F368" s="219"/>
      <c r="G368" s="219"/>
      <c r="H368" s="219"/>
      <c r="I368" s="86">
        <f>data!CE66</f>
        <v>4559398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0</v>
      </c>
      <c r="D369" s="86">
        <f>data!CC67</f>
        <v>4276</v>
      </c>
      <c r="E369" s="218"/>
      <c r="F369" s="219"/>
      <c r="G369" s="219"/>
      <c r="H369" s="219"/>
      <c r="I369" s="86">
        <f>data!CE67</f>
        <v>542804</v>
      </c>
    </row>
    <row r="370" spans="1:9" ht="20.100000000000001" customHeight="1" x14ac:dyDescent="0.25">
      <c r="A370" s="23">
        <v>13</v>
      </c>
      <c r="B370" s="14" t="s">
        <v>474</v>
      </c>
      <c r="C370" s="86">
        <f>data!CB68</f>
        <v>0</v>
      </c>
      <c r="D370" s="86">
        <f>data!CC68</f>
        <v>0</v>
      </c>
      <c r="E370" s="218"/>
      <c r="F370" s="219"/>
      <c r="G370" s="219"/>
      <c r="H370" s="219"/>
      <c r="I370" s="86">
        <f>data!CE68</f>
        <v>695250</v>
      </c>
    </row>
    <row r="371" spans="1:9" ht="20.100000000000001" customHeight="1" x14ac:dyDescent="0.25">
      <c r="A371" s="23">
        <v>14</v>
      </c>
      <c r="B371" s="14" t="s">
        <v>241</v>
      </c>
      <c r="C371" s="86">
        <f>data!CB69</f>
        <v>0</v>
      </c>
      <c r="D371" s="86">
        <f>data!CC69</f>
        <v>1838684.0899999999</v>
      </c>
      <c r="E371" s="86">
        <f>data!CD69</f>
        <v>0</v>
      </c>
      <c r="F371" s="219"/>
      <c r="G371" s="219"/>
      <c r="H371" s="219"/>
      <c r="I371" s="86">
        <f>data!CE69</f>
        <v>13602393.530000001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9">
        <f>data!CD70</f>
        <v>2394307</v>
      </c>
      <c r="F372" s="220"/>
      <c r="G372" s="220"/>
      <c r="H372" s="220"/>
      <c r="I372" s="14">
        <f>-data!CE70</f>
        <v>-2394307</v>
      </c>
    </row>
    <row r="373" spans="1:9" ht="20.100000000000001" customHeight="1" x14ac:dyDescent="0.25">
      <c r="A373" s="23">
        <v>16</v>
      </c>
      <c r="B373" s="48" t="s">
        <v>1180</v>
      </c>
      <c r="C373" s="86">
        <f>data!CB71</f>
        <v>0</v>
      </c>
      <c r="D373" s="86">
        <f>data!CC71</f>
        <v>4740980.09</v>
      </c>
      <c r="E373" s="86">
        <f>data!CD71</f>
        <v>-2394307</v>
      </c>
      <c r="F373" s="219"/>
      <c r="G373" s="219"/>
      <c r="H373" s="219"/>
      <c r="I373" s="14">
        <f>data!CE71</f>
        <v>54846364.530000001</v>
      </c>
    </row>
    <row r="374" spans="1:9" ht="20.100000000000001" customHeight="1" x14ac:dyDescent="0.2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00000000000001" customHeight="1" x14ac:dyDescent="0.2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54529229</v>
      </c>
    </row>
    <row r="377" spans="1:9" ht="20.100000000000001" customHeight="1" x14ac:dyDescent="0.2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109469696</v>
      </c>
    </row>
    <row r="378" spans="1:9" ht="20.100000000000001" customHeight="1" x14ac:dyDescent="0.2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163998925</v>
      </c>
    </row>
    <row r="379" spans="1:9" ht="20.100000000000001" customHeight="1" x14ac:dyDescent="0.2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00000000000001" customHeight="1" x14ac:dyDescent="0.25">
      <c r="A380" s="23">
        <v>22</v>
      </c>
      <c r="B380" s="14" t="s">
        <v>1186</v>
      </c>
      <c r="C380" s="85">
        <f>data!CB76</f>
        <v>0</v>
      </c>
      <c r="D380" s="85">
        <f>data!CC76</f>
        <v>704</v>
      </c>
      <c r="E380" s="214"/>
      <c r="F380" s="211"/>
      <c r="G380" s="211"/>
      <c r="H380" s="211"/>
      <c r="I380" s="14">
        <f>data!CE76</f>
        <v>89368</v>
      </c>
    </row>
    <row r="381" spans="1:9" ht="20.100000000000001" customHeight="1" x14ac:dyDescent="0.2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112604</v>
      </c>
    </row>
    <row r="382" spans="1:9" ht="20.100000000000001" customHeight="1" x14ac:dyDescent="0.2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16585.54</v>
      </c>
    </row>
    <row r="383" spans="1:9" ht="20.100000000000001" customHeight="1" x14ac:dyDescent="0.2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204565.24</v>
      </c>
    </row>
    <row r="384" spans="1:9" ht="20.100000000000001" customHeight="1" x14ac:dyDescent="0.2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91.429999999999993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Cascade Valley Hospital Year End Report</dc:title>
  <dc:subject>2018 Cascade Valley Hospital Year End Report</dc:subject>
  <dc:creator>Washington State Dept of Health - HSQA - Community Health Systems</dc:creator>
  <cp:keywords>hospital financial reports</cp:keywords>
  <cp:lastModifiedBy>Huyck, Randall  (DOH)</cp:lastModifiedBy>
  <cp:lastPrinted>2019-06-24T19:01:52Z</cp:lastPrinted>
  <dcterms:created xsi:type="dcterms:W3CDTF">1999-06-02T22:01:56Z</dcterms:created>
  <dcterms:modified xsi:type="dcterms:W3CDTF">2019-07-09T20:29:26Z</dcterms:modified>
</cp:coreProperties>
</file>