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17256" windowHeight="7008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66" i="1" l="1"/>
  <c r="C327" i="1" l="1"/>
  <c r="C267" i="1"/>
  <c r="B195" i="1"/>
  <c r="C384" i="1"/>
  <c r="C380" i="1"/>
  <c r="C364" i="1"/>
  <c r="C203" i="1"/>
  <c r="D142" i="1" l="1"/>
  <c r="C118" i="1" l="1"/>
  <c r="AV80" i="1"/>
  <c r="AV79" i="1"/>
  <c r="AV78" i="1"/>
  <c r="E77" i="1"/>
  <c r="AY76" i="1"/>
  <c r="AZ76" i="1" s="1"/>
  <c r="AY70" i="1" l="1"/>
  <c r="AZ70" i="1" s="1"/>
  <c r="AV74" i="1"/>
  <c r="AC74" i="1"/>
  <c r="AC73" i="1"/>
  <c r="CD69" i="1"/>
  <c r="AY69" i="1"/>
  <c r="AZ69" i="1" s="1"/>
  <c r="AY68" i="1"/>
  <c r="AZ68" i="1" s="1"/>
  <c r="AY66" i="1"/>
  <c r="AZ66" i="1" s="1"/>
  <c r="AC66" i="1"/>
  <c r="AY65" i="1"/>
  <c r="AZ65" i="1" s="1"/>
  <c r="AY64" i="1"/>
  <c r="AZ64" i="1" s="1"/>
  <c r="AC64" i="1"/>
  <c r="AY63" i="1"/>
  <c r="AZ63" i="1" s="1"/>
  <c r="AY61" i="1"/>
  <c r="AZ61" i="1" s="1"/>
  <c r="AC61" i="1"/>
  <c r="AY60" i="1"/>
  <c r="AZ60" i="1" s="1"/>
  <c r="CC51" i="1" l="1"/>
  <c r="AY51" i="1"/>
  <c r="AZ51" i="1" s="1"/>
  <c r="CC47" i="1"/>
  <c r="AY47" i="1"/>
  <c r="AZ47" i="1" s="1"/>
  <c r="AC47" i="1" l="1"/>
  <c r="O817" i="10" l="1"/>
  <c r="M817" i="10"/>
  <c r="L817" i="10"/>
  <c r="K817" i="10"/>
  <c r="I817" i="10"/>
  <c r="H817" i="10"/>
  <c r="G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M812" i="10"/>
  <c r="I812" i="10"/>
  <c r="H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S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M760" i="10"/>
  <c r="K760" i="10"/>
  <c r="F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C730" i="10"/>
  <c r="CB730" i="10"/>
  <c r="CA730" i="10"/>
  <c r="BZ730" i="10"/>
  <c r="BY730" i="10"/>
  <c r="BX730" i="10"/>
  <c r="BV730" i="10"/>
  <c r="BU730" i="10"/>
  <c r="BT730" i="10"/>
  <c r="BR730" i="10"/>
  <c r="BQ730" i="10"/>
  <c r="BP730" i="10"/>
  <c r="BO730" i="10"/>
  <c r="BN730" i="10"/>
  <c r="BM730" i="10"/>
  <c r="BK730" i="10"/>
  <c r="BJ730" i="10"/>
  <c r="BF730" i="10"/>
  <c r="BE730" i="10"/>
  <c r="BB730" i="10"/>
  <c r="BA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E550" i="10"/>
  <c r="F550" i="10"/>
  <c r="F546" i="10"/>
  <c r="E546" i="10"/>
  <c r="E545" i="10"/>
  <c r="F545" i="10"/>
  <c r="F544" i="10"/>
  <c r="E544" i="10"/>
  <c r="H540" i="10"/>
  <c r="F540" i="10"/>
  <c r="E540" i="10"/>
  <c r="E539" i="10"/>
  <c r="E538" i="10"/>
  <c r="H537" i="10"/>
  <c r="F537" i="10"/>
  <c r="E537" i="10"/>
  <c r="H536" i="10"/>
  <c r="E536" i="10"/>
  <c r="F536" i="10"/>
  <c r="F535" i="10"/>
  <c r="E535" i="10"/>
  <c r="H535" i="10"/>
  <c r="F534" i="10"/>
  <c r="E534" i="10"/>
  <c r="H534" i="10"/>
  <c r="E533" i="10"/>
  <c r="H533" i="10"/>
  <c r="H532" i="10"/>
  <c r="F532" i="10"/>
  <c r="E532" i="10"/>
  <c r="E531" i="10"/>
  <c r="E530" i="10"/>
  <c r="F529" i="10"/>
  <c r="E529" i="10"/>
  <c r="H528" i="10"/>
  <c r="E528" i="10"/>
  <c r="F528" i="10"/>
  <c r="F527" i="10"/>
  <c r="E527" i="10"/>
  <c r="H527" i="10"/>
  <c r="F526" i="10"/>
  <c r="E526" i="10"/>
  <c r="E525" i="10"/>
  <c r="H525" i="10"/>
  <c r="E524" i="10"/>
  <c r="F524" i="10"/>
  <c r="E523" i="10"/>
  <c r="E522" i="10"/>
  <c r="F521" i="10"/>
  <c r="F520" i="10"/>
  <c r="E520" i="10"/>
  <c r="E519" i="10"/>
  <c r="E518" i="10"/>
  <c r="F518" i="10"/>
  <c r="E517" i="10"/>
  <c r="E516" i="10"/>
  <c r="F515" i="10"/>
  <c r="E515" i="10"/>
  <c r="E514" i="10"/>
  <c r="F514" i="10"/>
  <c r="F513" i="10"/>
  <c r="F511" i="10"/>
  <c r="E511" i="10"/>
  <c r="E510" i="10"/>
  <c r="F510" i="10"/>
  <c r="F509" i="10"/>
  <c r="E509" i="10"/>
  <c r="F508" i="10"/>
  <c r="E508" i="10"/>
  <c r="H508" i="10"/>
  <c r="E507" i="10"/>
  <c r="H507" i="10"/>
  <c r="H506" i="10"/>
  <c r="F506" i="10"/>
  <c r="E506" i="10"/>
  <c r="E505" i="10"/>
  <c r="E504" i="10"/>
  <c r="H503" i="10"/>
  <c r="F503" i="10"/>
  <c r="E503" i="10"/>
  <c r="H502" i="10"/>
  <c r="E502" i="10"/>
  <c r="F502" i="10"/>
  <c r="F501" i="10"/>
  <c r="E501" i="10"/>
  <c r="F500" i="10"/>
  <c r="E500" i="10"/>
  <c r="H500" i="10"/>
  <c r="E499" i="10"/>
  <c r="E498" i="10"/>
  <c r="F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4" i="10"/>
  <c r="B439" i="10"/>
  <c r="B438" i="10"/>
  <c r="B437" i="10"/>
  <c r="B436" i="10"/>
  <c r="B435" i="10"/>
  <c r="B434" i="10"/>
  <c r="B432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4" i="10"/>
  <c r="B433" i="10" s="1"/>
  <c r="C380" i="10"/>
  <c r="D372" i="10"/>
  <c r="C364" i="10"/>
  <c r="D361" i="10"/>
  <c r="B465" i="10" s="1"/>
  <c r="D329" i="10"/>
  <c r="C327" i="10"/>
  <c r="AZ7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C204" i="10"/>
  <c r="D203" i="10"/>
  <c r="AR722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B195" i="10"/>
  <c r="R722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AV80" i="10"/>
  <c r="CF79" i="10"/>
  <c r="CE79" i="10"/>
  <c r="AV78" i="10"/>
  <c r="E77" i="10"/>
  <c r="Q736" i="10" s="1"/>
  <c r="AY76" i="10"/>
  <c r="P782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AV75" i="10" s="1"/>
  <c r="N779" i="10" s="1"/>
  <c r="AC74" i="10"/>
  <c r="AC73" i="10"/>
  <c r="O760" i="10" s="1"/>
  <c r="AY70" i="10"/>
  <c r="M782" i="10" s="1"/>
  <c r="CD69" i="10"/>
  <c r="CD71" i="10" s="1"/>
  <c r="C575" i="10" s="1"/>
  <c r="CC69" i="10"/>
  <c r="L812" i="10" s="1"/>
  <c r="AY69" i="10"/>
  <c r="L782" i="10" s="1"/>
  <c r="AC69" i="10"/>
  <c r="CC68" i="10"/>
  <c r="K812" i="10" s="1"/>
  <c r="AY68" i="10"/>
  <c r="K782" i="10" s="1"/>
  <c r="AY66" i="10"/>
  <c r="I782" i="10" s="1"/>
  <c r="AC66" i="10"/>
  <c r="AY65" i="10"/>
  <c r="H782" i="10" s="1"/>
  <c r="AC65" i="10"/>
  <c r="H760" i="10" s="1"/>
  <c r="CC64" i="10"/>
  <c r="G812" i="10" s="1"/>
  <c r="AY64" i="10"/>
  <c r="AC64" i="10"/>
  <c r="CC63" i="10"/>
  <c r="F812" i="10" s="1"/>
  <c r="AY63" i="10"/>
  <c r="F782" i="10" s="1"/>
  <c r="CC61" i="10"/>
  <c r="D812" i="10" s="1"/>
  <c r="AY61" i="10"/>
  <c r="D782" i="10" s="1"/>
  <c r="AC61" i="10"/>
  <c r="CC60" i="10"/>
  <c r="C812" i="10" s="1"/>
  <c r="AY60" i="10"/>
  <c r="C782" i="10" s="1"/>
  <c r="B53" i="10"/>
  <c r="AY51" i="10"/>
  <c r="B49" i="10"/>
  <c r="CC47" i="10"/>
  <c r="AY47" i="10"/>
  <c r="AZ47" i="10" s="1"/>
  <c r="AC47" i="10"/>
  <c r="B440" i="10" l="1"/>
  <c r="CE74" i="10"/>
  <c r="C464" i="10" s="1"/>
  <c r="D464" i="10"/>
  <c r="CE73" i="10"/>
  <c r="O816" i="10" s="1"/>
  <c r="D277" i="10"/>
  <c r="D292" i="10" s="1"/>
  <c r="D341" i="10" s="1"/>
  <c r="C481" i="10" s="1"/>
  <c r="D390" i="10"/>
  <c r="B441" i="10" s="1"/>
  <c r="AZ60" i="10"/>
  <c r="C783" i="10" s="1"/>
  <c r="C815" i="10" s="1"/>
  <c r="AZ65" i="10"/>
  <c r="H783" i="10" s="1"/>
  <c r="H815" i="10" s="1"/>
  <c r="D204" i="10"/>
  <c r="D242" i="10"/>
  <c r="B448" i="10" s="1"/>
  <c r="AC75" i="10"/>
  <c r="N760" i="10" s="1"/>
  <c r="N815" i="10" s="1"/>
  <c r="Q815" i="10"/>
  <c r="E195" i="10"/>
  <c r="C468" i="10" s="1"/>
  <c r="AZ69" i="10"/>
  <c r="L783" i="10" s="1"/>
  <c r="AZ66" i="10"/>
  <c r="I783" i="10" s="1"/>
  <c r="AZ68" i="10"/>
  <c r="K783" i="10" s="1"/>
  <c r="K815" i="10" s="1"/>
  <c r="AZ76" i="10"/>
  <c r="P783" i="10" s="1"/>
  <c r="P815" i="10" s="1"/>
  <c r="CE77" i="10"/>
  <c r="CF77" i="10" s="1"/>
  <c r="B204" i="10"/>
  <c r="I760" i="10"/>
  <c r="AZ51" i="10"/>
  <c r="AZ61" i="10"/>
  <c r="D783" i="10" s="1"/>
  <c r="CE47" i="10"/>
  <c r="F517" i="10"/>
  <c r="G782" i="10"/>
  <c r="AZ64" i="10"/>
  <c r="G783" i="10" s="1"/>
  <c r="G760" i="10"/>
  <c r="H539" i="10"/>
  <c r="F539" i="10"/>
  <c r="AZ70" i="10"/>
  <c r="D760" i="10"/>
  <c r="L760" i="10"/>
  <c r="D435" i="10"/>
  <c r="D438" i="10"/>
  <c r="E217" i="10"/>
  <c r="C478" i="10" s="1"/>
  <c r="F817" i="10"/>
  <c r="B429" i="10"/>
  <c r="BS730" i="10"/>
  <c r="F522" i="10"/>
  <c r="C473" i="10"/>
  <c r="F496" i="10"/>
  <c r="F530" i="10"/>
  <c r="R779" i="10"/>
  <c r="R815" i="10" s="1"/>
  <c r="CE78" i="10"/>
  <c r="AZ63" i="10"/>
  <c r="U813" i="10"/>
  <c r="U815" i="10" s="1"/>
  <c r="C615" i="10"/>
  <c r="C438" i="10"/>
  <c r="S816" i="10"/>
  <c r="J612" i="10"/>
  <c r="CD722" i="10"/>
  <c r="B444" i="10"/>
  <c r="F516" i="10"/>
  <c r="H523" i="10"/>
  <c r="F523" i="10"/>
  <c r="D463" i="10"/>
  <c r="F504" i="10"/>
  <c r="H504" i="10"/>
  <c r="N817" i="10"/>
  <c r="F497" i="10"/>
  <c r="F531" i="10"/>
  <c r="F538" i="10"/>
  <c r="H538" i="10"/>
  <c r="T779" i="10"/>
  <c r="T815" i="10" s="1"/>
  <c r="CE80" i="10"/>
  <c r="BL730" i="10"/>
  <c r="C445" i="10"/>
  <c r="D367" i="10"/>
  <c r="C448" i="10" s="1"/>
  <c r="H505" i="10"/>
  <c r="F505" i="10"/>
  <c r="F512" i="10"/>
  <c r="BW730" i="10"/>
  <c r="J817" i="10"/>
  <c r="F499" i="10"/>
  <c r="F507" i="10"/>
  <c r="F519" i="10"/>
  <c r="F525" i="10"/>
  <c r="F533" i="10"/>
  <c r="E203" i="10"/>
  <c r="C475" i="10" s="1"/>
  <c r="D328" i="10"/>
  <c r="D330" i="10" s="1"/>
  <c r="D339" i="10" s="1"/>
  <c r="C482" i="10" s="1"/>
  <c r="O815" i="10"/>
  <c r="S815" i="10"/>
  <c r="D465" i="10" l="1"/>
  <c r="G612" i="10"/>
  <c r="CE65" i="10"/>
  <c r="H816" i="10" s="1"/>
  <c r="CE61" i="10"/>
  <c r="D816" i="10" s="1"/>
  <c r="CE75" i="10"/>
  <c r="C465" i="10" s="1"/>
  <c r="CE66" i="10"/>
  <c r="C432" i="10" s="1"/>
  <c r="C463" i="10"/>
  <c r="CE76" i="10"/>
  <c r="CE69" i="10"/>
  <c r="L816" i="10" s="1"/>
  <c r="CE64" i="10"/>
  <c r="F612" i="10" s="1"/>
  <c r="CE68" i="10"/>
  <c r="K816" i="10" s="1"/>
  <c r="D368" i="10"/>
  <c r="D373" i="10" s="1"/>
  <c r="D391" i="10" s="1"/>
  <c r="D393" i="10" s="1"/>
  <c r="D396" i="10" s="1"/>
  <c r="C439" i="10"/>
  <c r="I815" i="10"/>
  <c r="CE60" i="10"/>
  <c r="C816" i="10" s="1"/>
  <c r="Q816" i="10"/>
  <c r="L815" i="10"/>
  <c r="D815" i="10"/>
  <c r="E204" i="10"/>
  <c r="C476" i="10" s="1"/>
  <c r="G815" i="10"/>
  <c r="CE51" i="10"/>
  <c r="T816" i="10"/>
  <c r="L612" i="10"/>
  <c r="F783" i="10"/>
  <c r="F815" i="10" s="1"/>
  <c r="CE63" i="10"/>
  <c r="R816" i="10"/>
  <c r="I612" i="10"/>
  <c r="M783" i="10"/>
  <c r="M815" i="10" s="1"/>
  <c r="CE70" i="10"/>
  <c r="BX48" i="10" l="1"/>
  <c r="BX62" i="10" s="1"/>
  <c r="E807" i="10" s="1"/>
  <c r="G48" i="10"/>
  <c r="G62" i="10" s="1"/>
  <c r="E738" i="10" s="1"/>
  <c r="Z48" i="10"/>
  <c r="Z62" i="10" s="1"/>
  <c r="E757" i="10" s="1"/>
  <c r="U48" i="10"/>
  <c r="U62" i="10" s="1"/>
  <c r="E752" i="10" s="1"/>
  <c r="AD48" i="10"/>
  <c r="AD62" i="10" s="1"/>
  <c r="E761" i="10" s="1"/>
  <c r="BC48" i="10"/>
  <c r="BC62" i="10" s="1"/>
  <c r="E786" i="10" s="1"/>
  <c r="BN48" i="10"/>
  <c r="BN62" i="10" s="1"/>
  <c r="E797" i="10" s="1"/>
  <c r="V48" i="10"/>
  <c r="V62" i="10" s="1"/>
  <c r="E753" i="10" s="1"/>
  <c r="BU48" i="10"/>
  <c r="BU62" i="10" s="1"/>
  <c r="E804" i="10" s="1"/>
  <c r="P48" i="10"/>
  <c r="P62" i="10" s="1"/>
  <c r="E747" i="10" s="1"/>
  <c r="AA48" i="10"/>
  <c r="AA62" i="10" s="1"/>
  <c r="E758" i="10" s="1"/>
  <c r="M48" i="10"/>
  <c r="M62" i="10" s="1"/>
  <c r="E744" i="10" s="1"/>
  <c r="AJ48" i="10"/>
  <c r="AJ62" i="10" s="1"/>
  <c r="E767" i="10" s="1"/>
  <c r="BD48" i="10"/>
  <c r="BD62" i="10" s="1"/>
  <c r="E787" i="10" s="1"/>
  <c r="C431" i="10"/>
  <c r="AO48" i="10"/>
  <c r="AO62" i="10" s="1"/>
  <c r="E772" i="10" s="1"/>
  <c r="AK48" i="10"/>
  <c r="AK62" i="10" s="1"/>
  <c r="E768" i="10" s="1"/>
  <c r="BB48" i="10"/>
  <c r="BB62" i="10" s="1"/>
  <c r="E785" i="10" s="1"/>
  <c r="BI48" i="10"/>
  <c r="BI62" i="10" s="1"/>
  <c r="E792" i="10" s="1"/>
  <c r="AC48" i="10"/>
  <c r="AC62" i="10" s="1"/>
  <c r="E760" i="10" s="1"/>
  <c r="BJ48" i="10"/>
  <c r="BJ62" i="10" s="1"/>
  <c r="E793" i="10" s="1"/>
  <c r="AW48" i="10"/>
  <c r="AW62" i="10" s="1"/>
  <c r="E780" i="10" s="1"/>
  <c r="AZ48" i="10"/>
  <c r="AZ62" i="10" s="1"/>
  <c r="E783" i="10" s="1"/>
  <c r="W48" i="10"/>
  <c r="W62" i="10" s="1"/>
  <c r="E754" i="10" s="1"/>
  <c r="BK48" i="10"/>
  <c r="BK62" i="10" s="1"/>
  <c r="E794" i="10" s="1"/>
  <c r="X48" i="10"/>
  <c r="X62" i="10" s="1"/>
  <c r="E755" i="10" s="1"/>
  <c r="BT48" i="10"/>
  <c r="BT62" i="10" s="1"/>
  <c r="E803" i="10" s="1"/>
  <c r="AH48" i="10"/>
  <c r="AH62" i="10" s="1"/>
  <c r="E765" i="10" s="1"/>
  <c r="BV48" i="10"/>
  <c r="BV62" i="10" s="1"/>
  <c r="E805" i="10" s="1"/>
  <c r="BG48" i="10"/>
  <c r="BG62" i="10" s="1"/>
  <c r="E790" i="10" s="1"/>
  <c r="BQ48" i="10"/>
  <c r="BQ62" i="10" s="1"/>
  <c r="E800" i="10" s="1"/>
  <c r="BR48" i="10"/>
  <c r="BR62" i="10" s="1"/>
  <c r="E801" i="10" s="1"/>
  <c r="Y48" i="10"/>
  <c r="Y62" i="10" s="1"/>
  <c r="E756" i="10" s="1"/>
  <c r="BY48" i="10"/>
  <c r="BY62" i="10" s="1"/>
  <c r="E808" i="10" s="1"/>
  <c r="BZ48" i="10"/>
  <c r="BZ62" i="10" s="1"/>
  <c r="E809" i="10" s="1"/>
  <c r="CC48" i="10"/>
  <c r="CC62" i="10" s="1"/>
  <c r="E812" i="10" s="1"/>
  <c r="BE48" i="10"/>
  <c r="BE62" i="10" s="1"/>
  <c r="E788" i="10" s="1"/>
  <c r="AE48" i="10"/>
  <c r="AE62" i="10" s="1"/>
  <c r="E762" i="10" s="1"/>
  <c r="BS48" i="10"/>
  <c r="BS62" i="10" s="1"/>
  <c r="E802" i="10" s="1"/>
  <c r="AN48" i="10"/>
  <c r="AN62" i="10" s="1"/>
  <c r="E771" i="10" s="1"/>
  <c r="CB48" i="10"/>
  <c r="CB62" i="10" s="1"/>
  <c r="E811" i="10" s="1"/>
  <c r="AP48" i="10"/>
  <c r="AP62" i="10" s="1"/>
  <c r="E773" i="10" s="1"/>
  <c r="K48" i="10"/>
  <c r="K62" i="10" s="1"/>
  <c r="E742" i="10" s="1"/>
  <c r="C427" i="10"/>
  <c r="BM48" i="10"/>
  <c r="BM62" i="10" s="1"/>
  <c r="E796" i="10" s="1"/>
  <c r="F48" i="10"/>
  <c r="F62" i="10" s="1"/>
  <c r="E737" i="10" s="1"/>
  <c r="AB48" i="10"/>
  <c r="AB62" i="10" s="1"/>
  <c r="E759" i="10" s="1"/>
  <c r="AR48" i="10"/>
  <c r="AR62" i="10" s="1"/>
  <c r="E775" i="10" s="1"/>
  <c r="N48" i="10"/>
  <c r="N62" i="10" s="1"/>
  <c r="E745" i="10" s="1"/>
  <c r="I48" i="10"/>
  <c r="I62" i="10" s="1"/>
  <c r="E740" i="10" s="1"/>
  <c r="T48" i="10"/>
  <c r="T62" i="10" s="1"/>
  <c r="E751" i="10" s="1"/>
  <c r="E48" i="10"/>
  <c r="E62" i="10" s="1"/>
  <c r="E736" i="10" s="1"/>
  <c r="AM48" i="10"/>
  <c r="AM62" i="10" s="1"/>
  <c r="E770" i="10" s="1"/>
  <c r="H48" i="10"/>
  <c r="H62" i="10" s="1"/>
  <c r="E739" i="10" s="1"/>
  <c r="AV48" i="10"/>
  <c r="AV62" i="10" s="1"/>
  <c r="E779" i="10" s="1"/>
  <c r="J48" i="10"/>
  <c r="J62" i="10" s="1"/>
  <c r="E741" i="10" s="1"/>
  <c r="BF48" i="10"/>
  <c r="BF62" i="10" s="1"/>
  <c r="E789" i="10" s="1"/>
  <c r="S48" i="10"/>
  <c r="S62" i="10" s="1"/>
  <c r="E750" i="10" s="1"/>
  <c r="AG48" i="10"/>
  <c r="AG62" i="10" s="1"/>
  <c r="E764" i="10" s="1"/>
  <c r="BA48" i="10"/>
  <c r="BA62" i="10" s="1"/>
  <c r="E784" i="10" s="1"/>
  <c r="AL48" i="10"/>
  <c r="AL62" i="10" s="1"/>
  <c r="E769" i="10" s="1"/>
  <c r="BH48" i="10"/>
  <c r="BH62" i="10" s="1"/>
  <c r="E791" i="10" s="1"/>
  <c r="L48" i="10"/>
  <c r="L62" i="10" s="1"/>
  <c r="E743" i="10" s="1"/>
  <c r="AS48" i="10"/>
  <c r="AS62" i="10" s="1"/>
  <c r="E776" i="10" s="1"/>
  <c r="AT48" i="10"/>
  <c r="AT62" i="10" s="1"/>
  <c r="E777" i="10" s="1"/>
  <c r="Q48" i="10"/>
  <c r="Q62" i="10" s="1"/>
  <c r="D48" i="10"/>
  <c r="D62" i="10" s="1"/>
  <c r="E735" i="10" s="1"/>
  <c r="BP48" i="10"/>
  <c r="BP62" i="10" s="1"/>
  <c r="E799" i="10" s="1"/>
  <c r="O48" i="10"/>
  <c r="O62" i="10" s="1"/>
  <c r="E746" i="10" s="1"/>
  <c r="AU48" i="10"/>
  <c r="AU62" i="10" s="1"/>
  <c r="E778" i="10" s="1"/>
  <c r="CA48" i="10"/>
  <c r="CA62" i="10" s="1"/>
  <c r="E810" i="10" s="1"/>
  <c r="AF48" i="10"/>
  <c r="AF62" i="10" s="1"/>
  <c r="E763" i="10" s="1"/>
  <c r="BL48" i="10"/>
  <c r="BL62" i="10" s="1"/>
  <c r="E795" i="10" s="1"/>
  <c r="R48" i="10"/>
  <c r="R62" i="10" s="1"/>
  <c r="E749" i="10" s="1"/>
  <c r="AX48" i="10"/>
  <c r="AX62" i="10" s="1"/>
  <c r="E781" i="10" s="1"/>
  <c r="C48" i="10"/>
  <c r="C62" i="10" s="1"/>
  <c r="AI48" i="10"/>
  <c r="AI62" i="10" s="1"/>
  <c r="E766" i="10" s="1"/>
  <c r="BO48" i="10"/>
  <c r="BO62" i="10" s="1"/>
  <c r="E798" i="10" s="1"/>
  <c r="D612" i="10"/>
  <c r="CF76" i="10"/>
  <c r="BE52" i="10" s="1"/>
  <c r="BE67" i="10" s="1"/>
  <c r="AQ48" i="10"/>
  <c r="AQ62" i="10" s="1"/>
  <c r="E774" i="10" s="1"/>
  <c r="BW48" i="10"/>
  <c r="BW62" i="10" s="1"/>
  <c r="E806" i="10" s="1"/>
  <c r="AY48" i="10"/>
  <c r="AY62" i="10" s="1"/>
  <c r="E782" i="10" s="1"/>
  <c r="P816" i="10"/>
  <c r="I816" i="10"/>
  <c r="G816" i="10"/>
  <c r="C430" i="10"/>
  <c r="K612" i="10"/>
  <c r="C440" i="10"/>
  <c r="N816" i="10"/>
  <c r="BI730" i="10"/>
  <c r="H612" i="10"/>
  <c r="C434" i="10"/>
  <c r="E748" i="10"/>
  <c r="F816" i="10"/>
  <c r="C429" i="10"/>
  <c r="M816" i="10"/>
  <c r="C458" i="10"/>
  <c r="M52" i="10" l="1"/>
  <c r="M67" i="10" s="1"/>
  <c r="J744" i="10" s="1"/>
  <c r="I52" i="10"/>
  <c r="I67" i="10" s="1"/>
  <c r="J740" i="10" s="1"/>
  <c r="AX52" i="10"/>
  <c r="AX67" i="10" s="1"/>
  <c r="J781" i="10" s="1"/>
  <c r="AJ52" i="10"/>
  <c r="AJ67" i="10" s="1"/>
  <c r="J767" i="10" s="1"/>
  <c r="AY52" i="10"/>
  <c r="AY67" i="10" s="1"/>
  <c r="J782" i="10" s="1"/>
  <c r="CA52" i="10"/>
  <c r="CA67" i="10" s="1"/>
  <c r="J810" i="10" s="1"/>
  <c r="BV52" i="10"/>
  <c r="BV67" i="10" s="1"/>
  <c r="J805" i="10" s="1"/>
  <c r="AZ52" i="10"/>
  <c r="AZ67" i="10" s="1"/>
  <c r="J783" i="10" s="1"/>
  <c r="BW52" i="10"/>
  <c r="BW67" i="10" s="1"/>
  <c r="J806" i="10" s="1"/>
  <c r="AE52" i="10"/>
  <c r="AE67" i="10" s="1"/>
  <c r="J762" i="10" s="1"/>
  <c r="BR52" i="10"/>
  <c r="BR67" i="10" s="1"/>
  <c r="J801" i="10" s="1"/>
  <c r="G52" i="10"/>
  <c r="G67" i="10" s="1"/>
  <c r="J738" i="10" s="1"/>
  <c r="BL52" i="10"/>
  <c r="BL67" i="10" s="1"/>
  <c r="J795" i="10" s="1"/>
  <c r="BF52" i="10"/>
  <c r="BF67" i="10" s="1"/>
  <c r="J789" i="10" s="1"/>
  <c r="BJ52" i="10"/>
  <c r="BJ67" i="10" s="1"/>
  <c r="J793" i="10" s="1"/>
  <c r="BY52" i="10"/>
  <c r="BY67" i="10" s="1"/>
  <c r="J808" i="10" s="1"/>
  <c r="V52" i="10"/>
  <c r="V67" i="10" s="1"/>
  <c r="J753" i="10" s="1"/>
  <c r="P52" i="10"/>
  <c r="P67" i="10" s="1"/>
  <c r="J747" i="10" s="1"/>
  <c r="AH52" i="10"/>
  <c r="AH67" i="10" s="1"/>
  <c r="J765" i="10" s="1"/>
  <c r="BB52" i="10"/>
  <c r="BB67" i="10" s="1"/>
  <c r="J785" i="10" s="1"/>
  <c r="N52" i="10"/>
  <c r="N67" i="10" s="1"/>
  <c r="J745" i="10" s="1"/>
  <c r="AL52" i="10"/>
  <c r="AL67" i="10" s="1"/>
  <c r="J769" i="10" s="1"/>
  <c r="AF52" i="10"/>
  <c r="AF67" i="10" s="1"/>
  <c r="J763" i="10" s="1"/>
  <c r="AB52" i="10"/>
  <c r="AB67" i="10" s="1"/>
  <c r="J759" i="10" s="1"/>
  <c r="BK52" i="10"/>
  <c r="BK67" i="10" s="1"/>
  <c r="J794" i="10" s="1"/>
  <c r="BU52" i="10"/>
  <c r="BU67" i="10" s="1"/>
  <c r="J804" i="10" s="1"/>
  <c r="CB52" i="10"/>
  <c r="CB67" i="10" s="1"/>
  <c r="J811" i="10" s="1"/>
  <c r="BD52" i="10"/>
  <c r="BD67" i="10" s="1"/>
  <c r="J787" i="10" s="1"/>
  <c r="AW52" i="10"/>
  <c r="AW67" i="10" s="1"/>
  <c r="J780" i="10" s="1"/>
  <c r="H52" i="10"/>
  <c r="H67" i="10" s="1"/>
  <c r="J739" i="10" s="1"/>
  <c r="AP52" i="10"/>
  <c r="AP67" i="10" s="1"/>
  <c r="J773" i="10" s="1"/>
  <c r="J52" i="10"/>
  <c r="J67" i="10" s="1"/>
  <c r="AS52" i="10"/>
  <c r="AS67" i="10" s="1"/>
  <c r="AC52" i="10"/>
  <c r="AC67" i="10" s="1"/>
  <c r="J760" i="10" s="1"/>
  <c r="BN52" i="10"/>
  <c r="BN67" i="10" s="1"/>
  <c r="J797" i="10" s="1"/>
  <c r="BT52" i="10"/>
  <c r="BT67" i="10" s="1"/>
  <c r="J803" i="10" s="1"/>
  <c r="AO52" i="10"/>
  <c r="AO67" i="10" s="1"/>
  <c r="C52" i="10"/>
  <c r="C67" i="10" s="1"/>
  <c r="C71" i="10" s="1"/>
  <c r="AD52" i="10"/>
  <c r="AD67" i="10" s="1"/>
  <c r="J761" i="10" s="1"/>
  <c r="CC52" i="10"/>
  <c r="CC67" i="10" s="1"/>
  <c r="J812" i="10" s="1"/>
  <c r="BG52" i="10"/>
  <c r="BG67" i="10" s="1"/>
  <c r="J790" i="10" s="1"/>
  <c r="AV52" i="10"/>
  <c r="AV67" i="10" s="1"/>
  <c r="J779" i="10" s="1"/>
  <c r="W52" i="10"/>
  <c r="W67" i="10" s="1"/>
  <c r="J754" i="10" s="1"/>
  <c r="AT52" i="10"/>
  <c r="AT67" i="10" s="1"/>
  <c r="J777" i="10" s="1"/>
  <c r="BP52" i="10"/>
  <c r="BP67" i="10" s="1"/>
  <c r="J799" i="10" s="1"/>
  <c r="E52" i="10"/>
  <c r="E67" i="10" s="1"/>
  <c r="BM52" i="10"/>
  <c r="BM67" i="10" s="1"/>
  <c r="BO52" i="10"/>
  <c r="BO67" i="10" s="1"/>
  <c r="J798" i="10" s="1"/>
  <c r="S52" i="10"/>
  <c r="S67" i="10" s="1"/>
  <c r="AR52" i="10"/>
  <c r="AR67" i="10" s="1"/>
  <c r="F52" i="10"/>
  <c r="F67" i="10" s="1"/>
  <c r="AM52" i="10"/>
  <c r="AM67" i="10" s="1"/>
  <c r="O52" i="10"/>
  <c r="O67" i="10" s="1"/>
  <c r="J746" i="10" s="1"/>
  <c r="Z52" i="10"/>
  <c r="Z67" i="10" s="1"/>
  <c r="J757" i="10" s="1"/>
  <c r="AK52" i="10"/>
  <c r="AK67" i="10" s="1"/>
  <c r="J768" i="10" s="1"/>
  <c r="AU52" i="10"/>
  <c r="AU67" i="10" s="1"/>
  <c r="J778" i="10" s="1"/>
  <c r="BS52" i="10"/>
  <c r="BS67" i="10" s="1"/>
  <c r="J802" i="10" s="1"/>
  <c r="AG52" i="10"/>
  <c r="AG67" i="10" s="1"/>
  <c r="J764" i="10" s="1"/>
  <c r="BH52" i="10"/>
  <c r="BH67" i="10" s="1"/>
  <c r="J791" i="10" s="1"/>
  <c r="Q52" i="10"/>
  <c r="Q67" i="10" s="1"/>
  <c r="J748" i="10" s="1"/>
  <c r="AA52" i="10"/>
  <c r="AA67" i="10" s="1"/>
  <c r="J758" i="10" s="1"/>
  <c r="BQ52" i="10"/>
  <c r="BQ67" i="10" s="1"/>
  <c r="J800" i="10" s="1"/>
  <c r="T52" i="10"/>
  <c r="T67" i="10" s="1"/>
  <c r="J751" i="10" s="1"/>
  <c r="L52" i="10"/>
  <c r="L67" i="10" s="1"/>
  <c r="J743" i="10" s="1"/>
  <c r="AI52" i="10"/>
  <c r="AI67" i="10" s="1"/>
  <c r="J766" i="10" s="1"/>
  <c r="U52" i="10"/>
  <c r="U67" i="10" s="1"/>
  <c r="J752" i="10" s="1"/>
  <c r="BX52" i="10"/>
  <c r="BX67" i="10" s="1"/>
  <c r="J807" i="10" s="1"/>
  <c r="BZ52" i="10"/>
  <c r="BZ67" i="10" s="1"/>
  <c r="J809" i="10" s="1"/>
  <c r="R52" i="10"/>
  <c r="R67" i="10" s="1"/>
  <c r="J749" i="10" s="1"/>
  <c r="D52" i="10"/>
  <c r="D67" i="10" s="1"/>
  <c r="J735" i="10" s="1"/>
  <c r="BI52" i="10"/>
  <c r="BI67" i="10" s="1"/>
  <c r="J792" i="10" s="1"/>
  <c r="J788" i="10"/>
  <c r="BE71" i="10"/>
  <c r="C550" i="10" s="1"/>
  <c r="AN52" i="10"/>
  <c r="AN67" i="10" s="1"/>
  <c r="J771" i="10" s="1"/>
  <c r="K52" i="10"/>
  <c r="K67" i="10" s="1"/>
  <c r="J742" i="10" s="1"/>
  <c r="X52" i="10"/>
  <c r="X67" i="10" s="1"/>
  <c r="CE48" i="10"/>
  <c r="BA52" i="10"/>
  <c r="BA67" i="10" s="1"/>
  <c r="J784" i="10" s="1"/>
  <c r="BC52" i="10"/>
  <c r="BC67" i="10" s="1"/>
  <c r="AQ52" i="10"/>
  <c r="AQ67" i="10" s="1"/>
  <c r="Y52" i="10"/>
  <c r="Y67" i="10" s="1"/>
  <c r="E734" i="10"/>
  <c r="E815" i="10" s="1"/>
  <c r="CE62" i="10"/>
  <c r="M71" i="10" l="1"/>
  <c r="C506" i="10" s="1"/>
  <c r="G506" i="10" s="1"/>
  <c r="AP71" i="10"/>
  <c r="C535" i="10" s="1"/>
  <c r="G535" i="10" s="1"/>
  <c r="I71" i="10"/>
  <c r="C502" i="10" s="1"/>
  <c r="G502" i="10" s="1"/>
  <c r="AC71" i="10"/>
  <c r="C522" i="10" s="1"/>
  <c r="G522" i="10" s="1"/>
  <c r="H522" i="10" s="1"/>
  <c r="AJ71" i="10"/>
  <c r="C529" i="10" s="1"/>
  <c r="G529" i="10" s="1"/>
  <c r="H529" i="10" s="1"/>
  <c r="BN71" i="10"/>
  <c r="C619" i="10" s="1"/>
  <c r="AK71" i="10"/>
  <c r="C530" i="10" s="1"/>
  <c r="G530" i="10" s="1"/>
  <c r="H530" i="10" s="1"/>
  <c r="D71" i="10"/>
  <c r="C669" i="10" s="1"/>
  <c r="AX71" i="10"/>
  <c r="C543" i="10" s="1"/>
  <c r="Z71" i="10"/>
  <c r="C519" i="10" s="1"/>
  <c r="H519" i="10" s="1"/>
  <c r="BJ71" i="10"/>
  <c r="C555" i="10" s="1"/>
  <c r="BH71" i="10"/>
  <c r="C636" i="10" s="1"/>
  <c r="AD71" i="10"/>
  <c r="C523" i="10" s="1"/>
  <c r="G523" i="10" s="1"/>
  <c r="CB71" i="10"/>
  <c r="C622" i="10" s="1"/>
  <c r="G71" i="10"/>
  <c r="C500" i="10" s="1"/>
  <c r="G500" i="10" s="1"/>
  <c r="AF71" i="10"/>
  <c r="C697" i="10" s="1"/>
  <c r="AH71" i="10"/>
  <c r="C699" i="10" s="1"/>
  <c r="W71" i="10"/>
  <c r="C516" i="10" s="1"/>
  <c r="G516" i="10" s="1"/>
  <c r="H516" i="10" s="1"/>
  <c r="BY71" i="10"/>
  <c r="AZ71" i="10"/>
  <c r="C545" i="10" s="1"/>
  <c r="G545" i="10" s="1"/>
  <c r="H545" i="10" s="1"/>
  <c r="BX71" i="10"/>
  <c r="C644" i="10" s="1"/>
  <c r="Q71" i="10"/>
  <c r="C510" i="10" s="1"/>
  <c r="G510" i="10" s="1"/>
  <c r="H510" i="10" s="1"/>
  <c r="AY71" i="10"/>
  <c r="C544" i="10" s="1"/>
  <c r="G544" i="10" s="1"/>
  <c r="H544" i="10" s="1"/>
  <c r="CA71" i="10"/>
  <c r="C572" i="10" s="1"/>
  <c r="BU71" i="10"/>
  <c r="C641" i="10" s="1"/>
  <c r="AV71" i="10"/>
  <c r="C541" i="10" s="1"/>
  <c r="U71" i="10"/>
  <c r="C514" i="10" s="1"/>
  <c r="G514" i="10" s="1"/>
  <c r="H514" i="10" s="1"/>
  <c r="BV71" i="10"/>
  <c r="C642" i="10" s="1"/>
  <c r="AL71" i="10"/>
  <c r="C531" i="10" s="1"/>
  <c r="G531" i="10" s="1"/>
  <c r="H531" i="10" s="1"/>
  <c r="BQ71" i="10"/>
  <c r="C562" i="10" s="1"/>
  <c r="H71" i="10"/>
  <c r="C501" i="10" s="1"/>
  <c r="G501" i="10" s="1"/>
  <c r="H501" i="10" s="1"/>
  <c r="AG71" i="10"/>
  <c r="C698" i="10" s="1"/>
  <c r="BI71" i="10"/>
  <c r="BD71" i="10"/>
  <c r="C549" i="10" s="1"/>
  <c r="AU71" i="10"/>
  <c r="C712" i="10" s="1"/>
  <c r="BW71" i="10"/>
  <c r="C643" i="10" s="1"/>
  <c r="L71" i="10"/>
  <c r="C677" i="10" s="1"/>
  <c r="BB71" i="10"/>
  <c r="C632" i="10" s="1"/>
  <c r="BO71" i="10"/>
  <c r="C627" i="10" s="1"/>
  <c r="CC71" i="10"/>
  <c r="C620" i="10" s="1"/>
  <c r="V71" i="10"/>
  <c r="C515" i="10" s="1"/>
  <c r="G515" i="10" s="1"/>
  <c r="H515" i="10" s="1"/>
  <c r="BT71" i="10"/>
  <c r="C640" i="10" s="1"/>
  <c r="AB71" i="10"/>
  <c r="C693" i="10" s="1"/>
  <c r="C614" i="10"/>
  <c r="D615" i="10" s="1"/>
  <c r="AI71" i="10"/>
  <c r="C700" i="10" s="1"/>
  <c r="AE71" i="10"/>
  <c r="C696" i="10" s="1"/>
  <c r="BL71" i="10"/>
  <c r="BZ71" i="10"/>
  <c r="BG71" i="10"/>
  <c r="C552" i="10" s="1"/>
  <c r="P71" i="10"/>
  <c r="C509" i="10" s="1"/>
  <c r="G509" i="10" s="1"/>
  <c r="H509" i="10" s="1"/>
  <c r="O71" i="10"/>
  <c r="N71" i="10"/>
  <c r="C679" i="10" s="1"/>
  <c r="AW71" i="10"/>
  <c r="C631" i="10" s="1"/>
  <c r="BP71" i="10"/>
  <c r="C561" i="10" s="1"/>
  <c r="BF71" i="10"/>
  <c r="AA71" i="10"/>
  <c r="C692" i="10" s="1"/>
  <c r="BS71" i="10"/>
  <c r="C639" i="10" s="1"/>
  <c r="BK71" i="10"/>
  <c r="C556" i="10" s="1"/>
  <c r="R71" i="10"/>
  <c r="BR71" i="10"/>
  <c r="J770" i="10"/>
  <c r="AM71" i="10"/>
  <c r="J741" i="10"/>
  <c r="J71" i="10"/>
  <c r="J737" i="10"/>
  <c r="F71" i="10"/>
  <c r="J796" i="10"/>
  <c r="BM71" i="10"/>
  <c r="K71" i="10"/>
  <c r="J775" i="10"/>
  <c r="AR71" i="10"/>
  <c r="J736" i="10"/>
  <c r="E71" i="10"/>
  <c r="T71" i="10"/>
  <c r="AN71" i="10"/>
  <c r="J750" i="10"/>
  <c r="S71" i="10"/>
  <c r="J772" i="10"/>
  <c r="AO71" i="10"/>
  <c r="J776" i="10"/>
  <c r="AS71" i="10"/>
  <c r="AT71" i="10"/>
  <c r="J755" i="10"/>
  <c r="X71" i="10"/>
  <c r="J756" i="10"/>
  <c r="Y71" i="10"/>
  <c r="CE52" i="10"/>
  <c r="J774" i="10"/>
  <c r="AQ71" i="10"/>
  <c r="J786" i="10"/>
  <c r="BC71" i="10"/>
  <c r="BA71" i="10"/>
  <c r="J734" i="10"/>
  <c r="CE67" i="10"/>
  <c r="CE71" i="10" s="1"/>
  <c r="C716" i="10" s="1"/>
  <c r="E816" i="10"/>
  <c r="C428" i="10"/>
  <c r="G550" i="10"/>
  <c r="H550" i="10" s="1"/>
  <c r="C496" i="10"/>
  <c r="C668" i="10"/>
  <c r="C707" i="10" l="1"/>
  <c r="G519" i="10"/>
  <c r="C559" i="10"/>
  <c r="C527" i="10"/>
  <c r="G527" i="10" s="1"/>
  <c r="C695" i="10"/>
  <c r="C616" i="10"/>
  <c r="C569" i="10"/>
  <c r="C702" i="10"/>
  <c r="C674" i="10"/>
  <c r="C678" i="10"/>
  <c r="C574" i="10"/>
  <c r="C497" i="10"/>
  <c r="G497" i="10" s="1"/>
  <c r="H497" i="10" s="1"/>
  <c r="C553" i="10"/>
  <c r="C694" i="10"/>
  <c r="C628" i="10"/>
  <c r="C624" i="10"/>
  <c r="C617" i="10"/>
  <c r="C672" i="10"/>
  <c r="C701" i="10"/>
  <c r="C521" i="10"/>
  <c r="H521" i="10" s="1"/>
  <c r="C560" i="10"/>
  <c r="C525" i="10"/>
  <c r="G525" i="10" s="1"/>
  <c r="C691" i="10"/>
  <c r="C566" i="10"/>
  <c r="C570" i="10"/>
  <c r="C645" i="10"/>
  <c r="C573" i="10"/>
  <c r="C703" i="10"/>
  <c r="C688" i="10"/>
  <c r="C568" i="10"/>
  <c r="C625" i="10"/>
  <c r="C682" i="10"/>
  <c r="C567" i="10"/>
  <c r="C647" i="10"/>
  <c r="C526" i="10"/>
  <c r="G526" i="10" s="1"/>
  <c r="H526" i="10" s="1"/>
  <c r="C524" i="10"/>
  <c r="G524" i="10" s="1"/>
  <c r="H524" i="10" s="1"/>
  <c r="C623" i="10"/>
  <c r="C713" i="10"/>
  <c r="C505" i="10"/>
  <c r="G505" i="10" s="1"/>
  <c r="C681" i="10"/>
  <c r="C507" i="10"/>
  <c r="G507" i="10" s="1"/>
  <c r="C687" i="10"/>
  <c r="C686" i="10"/>
  <c r="C673" i="10"/>
  <c r="C554" i="10"/>
  <c r="C634" i="10"/>
  <c r="C547" i="10"/>
  <c r="C565" i="10"/>
  <c r="C540" i="10"/>
  <c r="G540" i="10" s="1"/>
  <c r="C635" i="10"/>
  <c r="C528" i="10"/>
  <c r="G528" i="10" s="1"/>
  <c r="C564" i="10"/>
  <c r="C621" i="10"/>
  <c r="C557" i="10"/>
  <c r="C637" i="10"/>
  <c r="C618" i="10"/>
  <c r="C571" i="10"/>
  <c r="C646" i="10"/>
  <c r="C626" i="10"/>
  <c r="C563" i="10"/>
  <c r="C508" i="10"/>
  <c r="G508" i="10" s="1"/>
  <c r="C680" i="10"/>
  <c r="C542" i="10"/>
  <c r="C683" i="10"/>
  <c r="C511" i="10"/>
  <c r="G511" i="10" s="1"/>
  <c r="H511" i="10" s="1"/>
  <c r="C520" i="10"/>
  <c r="G520" i="10" s="1"/>
  <c r="H520" i="10" s="1"/>
  <c r="C551" i="10"/>
  <c r="C629" i="10"/>
  <c r="C534" i="10"/>
  <c r="G534" i="10" s="1"/>
  <c r="C706" i="10"/>
  <c r="C533" i="10"/>
  <c r="G533" i="10" s="1"/>
  <c r="C705" i="10"/>
  <c r="C638" i="10"/>
  <c r="C558" i="10"/>
  <c r="C675" i="10"/>
  <c r="C503" i="10"/>
  <c r="G503" i="10" s="1"/>
  <c r="C711" i="10"/>
  <c r="C539" i="10"/>
  <c r="G539" i="10" s="1"/>
  <c r="C513" i="10"/>
  <c r="C685" i="10"/>
  <c r="C537" i="10"/>
  <c r="G537" i="10" s="1"/>
  <c r="C709" i="10"/>
  <c r="C538" i="10"/>
  <c r="G538" i="10" s="1"/>
  <c r="C710" i="10"/>
  <c r="C512" i="10"/>
  <c r="C684" i="10"/>
  <c r="C499" i="10"/>
  <c r="G499" i="10" s="1"/>
  <c r="H499" i="10" s="1"/>
  <c r="C671" i="10"/>
  <c r="C704" i="10"/>
  <c r="C532" i="10"/>
  <c r="G532" i="10" s="1"/>
  <c r="C498" i="10"/>
  <c r="G498" i="10" s="1"/>
  <c r="H498" i="10" s="1"/>
  <c r="C670" i="10"/>
  <c r="C676" i="10"/>
  <c r="C504" i="10"/>
  <c r="G504" i="10" s="1"/>
  <c r="C689" i="10"/>
  <c r="C517" i="10"/>
  <c r="G517" i="10" s="1"/>
  <c r="H517" i="10" s="1"/>
  <c r="J815" i="10"/>
  <c r="C546" i="10"/>
  <c r="C630" i="10"/>
  <c r="C708" i="10"/>
  <c r="C536" i="10"/>
  <c r="G536" i="10" s="1"/>
  <c r="C518" i="10"/>
  <c r="G518" i="10" s="1"/>
  <c r="H518" i="10" s="1"/>
  <c r="C690" i="10"/>
  <c r="C548" i="10"/>
  <c r="C633" i="10"/>
  <c r="C433" i="10"/>
  <c r="C441" i="10" s="1"/>
  <c r="J816" i="10"/>
  <c r="D712" i="10"/>
  <c r="D704" i="10"/>
  <c r="D696" i="10"/>
  <c r="D688" i="10"/>
  <c r="D709" i="10"/>
  <c r="D701" i="10"/>
  <c r="D693" i="10"/>
  <c r="D706" i="10"/>
  <c r="D698" i="10"/>
  <c r="D690" i="10"/>
  <c r="D711" i="10"/>
  <c r="D703" i="10"/>
  <c r="D695" i="10"/>
  <c r="D713" i="10"/>
  <c r="D705" i="10"/>
  <c r="D697" i="10"/>
  <c r="D689" i="10"/>
  <c r="D710" i="10"/>
  <c r="D702" i="10"/>
  <c r="D694" i="10"/>
  <c r="D707" i="10"/>
  <c r="D680" i="10"/>
  <c r="D672" i="10"/>
  <c r="D620" i="10"/>
  <c r="D616" i="10"/>
  <c r="D692" i="10"/>
  <c r="D685" i="10"/>
  <c r="D677" i="10"/>
  <c r="D669" i="10"/>
  <c r="D627" i="10"/>
  <c r="D716" i="10"/>
  <c r="D682" i="10"/>
  <c r="D674" i="10"/>
  <c r="D623" i="10"/>
  <c r="D619" i="10"/>
  <c r="D700" i="10"/>
  <c r="D687" i="10"/>
  <c r="D679" i="10"/>
  <c r="D671" i="10"/>
  <c r="D625" i="10"/>
  <c r="D675" i="10"/>
  <c r="D644" i="10"/>
  <c r="D642" i="10"/>
  <c r="D640" i="10"/>
  <c r="D638" i="10"/>
  <c r="D636" i="10"/>
  <c r="D634" i="10"/>
  <c r="D632" i="10"/>
  <c r="D630" i="10"/>
  <c r="D624" i="10"/>
  <c r="D676" i="10"/>
  <c r="D622" i="10"/>
  <c r="D673" i="10"/>
  <c r="D699" i="10"/>
  <c r="D686" i="10"/>
  <c r="D670" i="10"/>
  <c r="D647" i="10"/>
  <c r="D645" i="10"/>
  <c r="D629" i="10"/>
  <c r="D626" i="10"/>
  <c r="D621" i="10"/>
  <c r="D683" i="10"/>
  <c r="D643" i="10"/>
  <c r="D641" i="10"/>
  <c r="D639" i="10"/>
  <c r="D637" i="10"/>
  <c r="D635" i="10"/>
  <c r="D633" i="10"/>
  <c r="D631" i="10"/>
  <c r="D678" i="10"/>
  <c r="D646" i="10"/>
  <c r="D617" i="10"/>
  <c r="D668" i="10"/>
  <c r="D618" i="10"/>
  <c r="D684" i="10"/>
  <c r="D691" i="10"/>
  <c r="D628" i="10"/>
  <c r="D681" i="10"/>
  <c r="D708" i="10"/>
  <c r="G496" i="10"/>
  <c r="H496" i="10" s="1"/>
  <c r="G521" i="10" l="1"/>
  <c r="G513" i="10"/>
  <c r="H513" i="10"/>
  <c r="H512" i="10"/>
  <c r="G512" i="10"/>
  <c r="C648" i="10"/>
  <c r="M716" i="10" s="1"/>
  <c r="Y816" i="10" s="1"/>
  <c r="C715" i="10"/>
  <c r="G546" i="10"/>
  <c r="H546" i="10"/>
  <c r="E612" i="10"/>
  <c r="D715" i="10"/>
  <c r="E623" i="10"/>
  <c r="E709" i="10" l="1"/>
  <c r="E701" i="10"/>
  <c r="E693" i="10"/>
  <c r="E706" i="10"/>
  <c r="E698" i="10"/>
  <c r="E690" i="10"/>
  <c r="E711" i="10"/>
  <c r="E703" i="10"/>
  <c r="E695" i="10"/>
  <c r="E708" i="10"/>
  <c r="E700" i="10"/>
  <c r="E692" i="10"/>
  <c r="E710" i="10"/>
  <c r="E702" i="10"/>
  <c r="E694" i="10"/>
  <c r="E716" i="10"/>
  <c r="E707" i="10"/>
  <c r="E699" i="10"/>
  <c r="E691" i="10"/>
  <c r="E704" i="10"/>
  <c r="E685" i="10"/>
  <c r="E677" i="10"/>
  <c r="E669" i="10"/>
  <c r="E627" i="10"/>
  <c r="E689" i="10"/>
  <c r="E682" i="10"/>
  <c r="E674" i="10"/>
  <c r="E712" i="10"/>
  <c r="E687" i="10"/>
  <c r="E679" i="10"/>
  <c r="E671" i="10"/>
  <c r="E625" i="10"/>
  <c r="E697" i="10"/>
  <c r="E684" i="10"/>
  <c r="E676" i="10"/>
  <c r="E668" i="10"/>
  <c r="E628" i="10"/>
  <c r="E713" i="10"/>
  <c r="E672" i="10"/>
  <c r="E688" i="10"/>
  <c r="E673" i="10"/>
  <c r="E705" i="10"/>
  <c r="E686" i="10"/>
  <c r="E670" i="10"/>
  <c r="E647" i="10"/>
  <c r="E645" i="10"/>
  <c r="E629" i="10"/>
  <c r="E626" i="10"/>
  <c r="E683" i="10"/>
  <c r="E643" i="10"/>
  <c r="E641" i="10"/>
  <c r="E639" i="10"/>
  <c r="E637" i="10"/>
  <c r="E635" i="10"/>
  <c r="E633" i="10"/>
  <c r="E631" i="10"/>
  <c r="E680" i="10"/>
  <c r="E696" i="10"/>
  <c r="E675" i="10"/>
  <c r="E644" i="10"/>
  <c r="E642" i="10"/>
  <c r="E640" i="10"/>
  <c r="E638" i="10"/>
  <c r="E636" i="10"/>
  <c r="E634" i="10"/>
  <c r="E632" i="10"/>
  <c r="E630" i="10"/>
  <c r="E624" i="10"/>
  <c r="E678" i="10"/>
  <c r="E646" i="10"/>
  <c r="E681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697" i="10"/>
  <c r="F689" i="10"/>
  <c r="F716" i="10"/>
  <c r="F707" i="10"/>
  <c r="F699" i="10"/>
  <c r="F691" i="10"/>
  <c r="F712" i="10"/>
  <c r="F704" i="10"/>
  <c r="F696" i="10"/>
  <c r="F688" i="10"/>
  <c r="F701" i="10"/>
  <c r="F682" i="10"/>
  <c r="F674" i="10"/>
  <c r="F687" i="10"/>
  <c r="F679" i="10"/>
  <c r="F671" i="10"/>
  <c r="F625" i="10"/>
  <c r="F709" i="10"/>
  <c r="F684" i="10"/>
  <c r="F676" i="10"/>
  <c r="F668" i="10"/>
  <c r="F628" i="10"/>
  <c r="F694" i="10"/>
  <c r="F681" i="10"/>
  <c r="F673" i="10"/>
  <c r="F685" i="10"/>
  <c r="F669" i="10"/>
  <c r="F627" i="10"/>
  <c r="F686" i="10"/>
  <c r="F670" i="10"/>
  <c r="F647" i="10"/>
  <c r="F645" i="10"/>
  <c r="F629" i="10"/>
  <c r="F626" i="10"/>
  <c r="F683" i="10"/>
  <c r="F643" i="10"/>
  <c r="F641" i="10"/>
  <c r="F639" i="10"/>
  <c r="F637" i="10"/>
  <c r="F635" i="10"/>
  <c r="F633" i="10"/>
  <c r="F631" i="10"/>
  <c r="F693" i="10"/>
  <c r="F680" i="10"/>
  <c r="F710" i="10"/>
  <c r="F677" i="10"/>
  <c r="F672" i="10"/>
  <c r="F702" i="10"/>
  <c r="F640" i="10"/>
  <c r="F632" i="10"/>
  <c r="F678" i="10"/>
  <c r="F646" i="10"/>
  <c r="F638" i="10"/>
  <c r="F630" i="10"/>
  <c r="F644" i="10"/>
  <c r="F636" i="10"/>
  <c r="F642" i="10"/>
  <c r="F634" i="10"/>
  <c r="F675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689" i="10"/>
  <c r="G710" i="10"/>
  <c r="G702" i="10"/>
  <c r="G694" i="10"/>
  <c r="G712" i="10"/>
  <c r="G704" i="10"/>
  <c r="G696" i="10"/>
  <c r="G688" i="10"/>
  <c r="G709" i="10"/>
  <c r="G701" i="10"/>
  <c r="G693" i="10"/>
  <c r="G698" i="10"/>
  <c r="G687" i="10"/>
  <c r="G679" i="10"/>
  <c r="G671" i="10"/>
  <c r="G716" i="10"/>
  <c r="G684" i="10"/>
  <c r="G676" i="10"/>
  <c r="G668" i="10"/>
  <c r="G628" i="10"/>
  <c r="G706" i="10"/>
  <c r="G681" i="10"/>
  <c r="G673" i="10"/>
  <c r="G691" i="10"/>
  <c r="G686" i="10"/>
  <c r="G678" i="10"/>
  <c r="G670" i="10"/>
  <c r="G647" i="10"/>
  <c r="G646" i="10"/>
  <c r="G645" i="10"/>
  <c r="G629" i="10"/>
  <c r="G626" i="10"/>
  <c r="G707" i="10"/>
  <c r="G682" i="10"/>
  <c r="G683" i="10"/>
  <c r="G643" i="10"/>
  <c r="G641" i="10"/>
  <c r="G639" i="10"/>
  <c r="G637" i="10"/>
  <c r="G635" i="10"/>
  <c r="G633" i="10"/>
  <c r="G631" i="10"/>
  <c r="G699" i="10"/>
  <c r="G680" i="10"/>
  <c r="G677" i="10"/>
  <c r="G674" i="10"/>
  <c r="G690" i="10"/>
  <c r="G685" i="10"/>
  <c r="G669" i="10"/>
  <c r="G627" i="10"/>
  <c r="G640" i="10"/>
  <c r="G632" i="10"/>
  <c r="G638" i="10"/>
  <c r="G630" i="10"/>
  <c r="G672" i="10"/>
  <c r="G644" i="10"/>
  <c r="G636" i="10"/>
  <c r="G634" i="10"/>
  <c r="G675" i="10"/>
  <c r="G642" i="10"/>
  <c r="H628" i="10" l="1"/>
  <c r="H700" i="10" s="1"/>
  <c r="G715" i="10"/>
  <c r="H671" i="10" l="1"/>
  <c r="H638" i="10"/>
  <c r="H686" i="10"/>
  <c r="H699" i="10"/>
  <c r="H696" i="10"/>
  <c r="H646" i="10"/>
  <c r="H677" i="10"/>
  <c r="H642" i="10"/>
  <c r="H712" i="10"/>
  <c r="H702" i="10"/>
  <c r="H634" i="10"/>
  <c r="H630" i="10"/>
  <c r="H683" i="10"/>
  <c r="H695" i="10"/>
  <c r="H705" i="10"/>
  <c r="H693" i="10"/>
  <c r="H672" i="10"/>
  <c r="H680" i="10"/>
  <c r="H631" i="10"/>
  <c r="H635" i="10"/>
  <c r="H639" i="10"/>
  <c r="H643" i="10"/>
  <c r="H688" i="10"/>
  <c r="H647" i="10"/>
  <c r="H703" i="10"/>
  <c r="H668" i="10"/>
  <c r="H690" i="10"/>
  <c r="H701" i="10"/>
  <c r="H707" i="10"/>
  <c r="H710" i="10"/>
  <c r="H713" i="10"/>
  <c r="H711" i="10"/>
  <c r="H636" i="10"/>
  <c r="H629" i="10"/>
  <c r="H673" i="10"/>
  <c r="H676" i="10"/>
  <c r="H698" i="10"/>
  <c r="H709" i="10"/>
  <c r="H716" i="10"/>
  <c r="H689" i="10"/>
  <c r="H692" i="10"/>
  <c r="H687" i="10"/>
  <c r="H685" i="10"/>
  <c r="H704" i="10"/>
  <c r="H632" i="10"/>
  <c r="H640" i="10"/>
  <c r="H644" i="10"/>
  <c r="H670" i="10"/>
  <c r="H669" i="10"/>
  <c r="H682" i="10"/>
  <c r="H674" i="10"/>
  <c r="H679" i="10"/>
  <c r="H633" i="10"/>
  <c r="H637" i="10"/>
  <c r="H641" i="10"/>
  <c r="H675" i="10"/>
  <c r="H645" i="10"/>
  <c r="H678" i="10"/>
  <c r="H681" i="10"/>
  <c r="H684" i="10"/>
  <c r="H706" i="10"/>
  <c r="H691" i="10"/>
  <c r="H694" i="10"/>
  <c r="H697" i="10"/>
  <c r="H708" i="10"/>
  <c r="I629" i="10"/>
  <c r="H715" i="10" l="1"/>
  <c r="I713" i="10"/>
  <c r="I705" i="10"/>
  <c r="I697" i="10"/>
  <c r="I689" i="10"/>
  <c r="I710" i="10"/>
  <c r="I702" i="10"/>
  <c r="I694" i="10"/>
  <c r="I716" i="10"/>
  <c r="I707" i="10"/>
  <c r="I699" i="10"/>
  <c r="I691" i="10"/>
  <c r="I712" i="10"/>
  <c r="I704" i="10"/>
  <c r="I696" i="10"/>
  <c r="I688" i="10"/>
  <c r="I706" i="10"/>
  <c r="I698" i="10"/>
  <c r="I690" i="10"/>
  <c r="I711" i="10"/>
  <c r="I703" i="10"/>
  <c r="I695" i="10"/>
  <c r="I692" i="10"/>
  <c r="I681" i="10"/>
  <c r="I673" i="10"/>
  <c r="I709" i="10"/>
  <c r="I686" i="10"/>
  <c r="I678" i="10"/>
  <c r="I670" i="10"/>
  <c r="I647" i="10"/>
  <c r="I646" i="10"/>
  <c r="I645" i="10"/>
  <c r="I700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0" i="10"/>
  <c r="I672" i="10"/>
  <c r="I701" i="10"/>
  <c r="I676" i="10"/>
  <c r="I677" i="10"/>
  <c r="I693" i="10"/>
  <c r="I674" i="10"/>
  <c r="I687" i="10"/>
  <c r="I671" i="10"/>
  <c r="I684" i="10"/>
  <c r="I668" i="10"/>
  <c r="I679" i="10"/>
  <c r="I685" i="10"/>
  <c r="I682" i="10"/>
  <c r="I708" i="10"/>
  <c r="I669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688" i="10"/>
  <c r="J709" i="10"/>
  <c r="J701" i="10"/>
  <c r="J693" i="10"/>
  <c r="J711" i="10"/>
  <c r="J703" i="10"/>
  <c r="J695" i="10"/>
  <c r="J687" i="10"/>
  <c r="J708" i="10"/>
  <c r="J700" i="10"/>
  <c r="J692" i="10"/>
  <c r="J689" i="10"/>
  <c r="J686" i="10"/>
  <c r="J678" i="10"/>
  <c r="J670" i="10"/>
  <c r="J647" i="10"/>
  <c r="J646" i="10"/>
  <c r="J645" i="10"/>
  <c r="J706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7" i="10"/>
  <c r="J680" i="10"/>
  <c r="J672" i="10"/>
  <c r="J685" i="10"/>
  <c r="J677" i="10"/>
  <c r="J669" i="10"/>
  <c r="J673" i="10"/>
  <c r="J705" i="10"/>
  <c r="J674" i="10"/>
  <c r="J671" i="10"/>
  <c r="J684" i="10"/>
  <c r="J668" i="10"/>
  <c r="J698" i="10"/>
  <c r="J681" i="10"/>
  <c r="J713" i="10"/>
  <c r="J676" i="10"/>
  <c r="J679" i="10"/>
  <c r="J682" i="10"/>
  <c r="J690" i="10"/>
  <c r="K644" i="10" l="1"/>
  <c r="K716" i="10" s="1"/>
  <c r="J715" i="10"/>
  <c r="L647" i="10"/>
  <c r="K676" i="10" l="1"/>
  <c r="K702" i="10"/>
  <c r="K678" i="10"/>
  <c r="K710" i="10"/>
  <c r="K671" i="10"/>
  <c r="K684" i="10"/>
  <c r="K686" i="10"/>
  <c r="K669" i="10"/>
  <c r="K680" i="10"/>
  <c r="K697" i="10"/>
  <c r="K690" i="10"/>
  <c r="K709" i="10"/>
  <c r="K679" i="10"/>
  <c r="K681" i="10"/>
  <c r="K687" i="10"/>
  <c r="K695" i="10"/>
  <c r="K677" i="10"/>
  <c r="K703" i="10"/>
  <c r="K713" i="10"/>
  <c r="K698" i="10"/>
  <c r="K688" i="10"/>
  <c r="K674" i="10"/>
  <c r="K685" i="10"/>
  <c r="K683" i="10"/>
  <c r="K692" i="10"/>
  <c r="K706" i="10"/>
  <c r="K704" i="10"/>
  <c r="K673" i="10"/>
  <c r="K668" i="10"/>
  <c r="K670" i="10"/>
  <c r="K682" i="10"/>
  <c r="K672" i="10"/>
  <c r="K689" i="10"/>
  <c r="K700" i="10"/>
  <c r="K701" i="10"/>
  <c r="K712" i="10"/>
  <c r="K691" i="10"/>
  <c r="K711" i="10"/>
  <c r="K694" i="10"/>
  <c r="K675" i="10"/>
  <c r="K705" i="10"/>
  <c r="K708" i="10"/>
  <c r="K693" i="10"/>
  <c r="K696" i="10"/>
  <c r="K699" i="10"/>
  <c r="K707" i="10"/>
  <c r="L712" i="10"/>
  <c r="L704" i="10"/>
  <c r="L696" i="10"/>
  <c r="L688" i="10"/>
  <c r="L709" i="10"/>
  <c r="L701" i="10"/>
  <c r="L693" i="10"/>
  <c r="L706" i="10"/>
  <c r="M706" i="10" s="1"/>
  <c r="Y772" i="10" s="1"/>
  <c r="L698" i="10"/>
  <c r="L690" i="10"/>
  <c r="L711" i="10"/>
  <c r="L703" i="10"/>
  <c r="M703" i="10" s="1"/>
  <c r="Y769" i="10" s="1"/>
  <c r="L695" i="10"/>
  <c r="L687" i="10"/>
  <c r="L713" i="10"/>
  <c r="L705" i="10"/>
  <c r="L697" i="10"/>
  <c r="L689" i="10"/>
  <c r="L710" i="10"/>
  <c r="L702" i="10"/>
  <c r="M702" i="10" s="1"/>
  <c r="Y768" i="10" s="1"/>
  <c r="L694" i="10"/>
  <c r="M694" i="10" s="1"/>
  <c r="Y760" i="10" s="1"/>
  <c r="L716" i="10"/>
  <c r="L680" i="10"/>
  <c r="M680" i="10" s="1"/>
  <c r="Y746" i="10" s="1"/>
  <c r="L672" i="10"/>
  <c r="L700" i="10"/>
  <c r="L685" i="10"/>
  <c r="L677" i="10"/>
  <c r="M677" i="10" s="1"/>
  <c r="Y743" i="10" s="1"/>
  <c r="L669" i="10"/>
  <c r="L691" i="10"/>
  <c r="L682" i="10"/>
  <c r="L674" i="10"/>
  <c r="L708" i="10"/>
  <c r="M708" i="10" s="1"/>
  <c r="Y774" i="10" s="1"/>
  <c r="L679" i="10"/>
  <c r="L671" i="10"/>
  <c r="L683" i="10"/>
  <c r="L699" i="10"/>
  <c r="L684" i="10"/>
  <c r="L668" i="10"/>
  <c r="L681" i="10"/>
  <c r="L678" i="10"/>
  <c r="L692" i="10"/>
  <c r="L675" i="10"/>
  <c r="M675" i="10" s="1"/>
  <c r="Y741" i="10" s="1"/>
  <c r="L707" i="10"/>
  <c r="L686" i="10"/>
  <c r="L670" i="10"/>
  <c r="L673" i="10"/>
  <c r="M673" i="10" s="1"/>
  <c r="Y739" i="10" s="1"/>
  <c r="L676" i="10"/>
  <c r="M676" i="10" s="1"/>
  <c r="Y742" i="10" s="1"/>
  <c r="M670" i="10" l="1"/>
  <c r="Y736" i="10" s="1"/>
  <c r="M684" i="10"/>
  <c r="Y750" i="10" s="1"/>
  <c r="M671" i="10"/>
  <c r="Y737" i="10" s="1"/>
  <c r="M679" i="10"/>
  <c r="Y745" i="10" s="1"/>
  <c r="M691" i="10"/>
  <c r="Y757" i="10" s="1"/>
  <c r="M692" i="10"/>
  <c r="Y758" i="10" s="1"/>
  <c r="M700" i="10"/>
  <c r="Y766" i="10" s="1"/>
  <c r="M697" i="10"/>
  <c r="Y763" i="10" s="1"/>
  <c r="M678" i="10"/>
  <c r="Y744" i="10" s="1"/>
  <c r="M681" i="10"/>
  <c r="Y747" i="10" s="1"/>
  <c r="M674" i="10"/>
  <c r="Y740" i="10" s="1"/>
  <c r="M683" i="10"/>
  <c r="Y749" i="10" s="1"/>
  <c r="M710" i="10"/>
  <c r="Y776" i="10" s="1"/>
  <c r="M695" i="10"/>
  <c r="Y761" i="10" s="1"/>
  <c r="M698" i="10"/>
  <c r="Y764" i="10" s="1"/>
  <c r="M709" i="10"/>
  <c r="Y775" i="10" s="1"/>
  <c r="M689" i="10"/>
  <c r="Y755" i="10" s="1"/>
  <c r="M682" i="10"/>
  <c r="Y748" i="10" s="1"/>
  <c r="M685" i="10"/>
  <c r="Y751" i="10" s="1"/>
  <c r="M687" i="10"/>
  <c r="Y753" i="10" s="1"/>
  <c r="M690" i="10"/>
  <c r="Y756" i="10" s="1"/>
  <c r="M713" i="10"/>
  <c r="Y779" i="10" s="1"/>
  <c r="M712" i="10"/>
  <c r="Y778" i="10" s="1"/>
  <c r="M693" i="10"/>
  <c r="Y759" i="10" s="1"/>
  <c r="M701" i="10"/>
  <c r="Y767" i="10" s="1"/>
  <c r="M704" i="10"/>
  <c r="Y770" i="10" s="1"/>
  <c r="M686" i="10"/>
  <c r="Y752" i="10" s="1"/>
  <c r="M669" i="10"/>
  <c r="Y735" i="10" s="1"/>
  <c r="M672" i="10"/>
  <c r="Y738" i="10" s="1"/>
  <c r="M688" i="10"/>
  <c r="Y754" i="10" s="1"/>
  <c r="M707" i="10"/>
  <c r="Y773" i="10" s="1"/>
  <c r="M711" i="10"/>
  <c r="Y777" i="10" s="1"/>
  <c r="M696" i="10"/>
  <c r="Y762" i="10" s="1"/>
  <c r="K715" i="10"/>
  <c r="M699" i="10"/>
  <c r="Y765" i="10" s="1"/>
  <c r="M705" i="10"/>
  <c r="Y771" i="10" s="1"/>
  <c r="L715" i="10"/>
  <c r="M668" i="10"/>
  <c r="M715" i="10" l="1"/>
  <c r="Y734" i="10"/>
  <c r="Y815" i="10" s="1"/>
  <c r="F493" i="1" l="1"/>
  <c r="D493" i="1"/>
  <c r="B493" i="1"/>
  <c r="B575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CF76" i="1" s="1"/>
  <c r="AV52" i="1" s="1"/>
  <c r="AV67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C615" i="1"/>
  <c r="E372" i="9"/>
  <c r="BF48" i="1" l="1"/>
  <c r="BF62" i="1" s="1"/>
  <c r="I236" i="9" s="1"/>
  <c r="P48" i="1"/>
  <c r="P62" i="1" s="1"/>
  <c r="V48" i="1"/>
  <c r="V62" i="1" s="1"/>
  <c r="AG48" i="1"/>
  <c r="AG62" i="1" s="1"/>
  <c r="AH48" i="1"/>
  <c r="AH62" i="1" s="1"/>
  <c r="F140" i="9" s="1"/>
  <c r="BN48" i="1"/>
  <c r="BN62" i="1" s="1"/>
  <c r="C300" i="9" s="1"/>
  <c r="S48" i="1"/>
  <c r="S62" i="1" s="1"/>
  <c r="BM48" i="1"/>
  <c r="BM62" i="1" s="1"/>
  <c r="O48" i="1"/>
  <c r="O62" i="1" s="1"/>
  <c r="H44" i="9" s="1"/>
  <c r="I363" i="9"/>
  <c r="AS48" i="1"/>
  <c r="AS62" i="1" s="1"/>
  <c r="C204" i="9" s="1"/>
  <c r="AP48" i="1"/>
  <c r="AP62" i="1" s="1"/>
  <c r="G172" i="9" s="1"/>
  <c r="BV48" i="1"/>
  <c r="BV62" i="1" s="1"/>
  <c r="D332" i="9" s="1"/>
  <c r="AY48" i="1"/>
  <c r="AY62" i="1" s="1"/>
  <c r="I204" i="9" s="1"/>
  <c r="AK48" i="1"/>
  <c r="AK62" i="1" s="1"/>
  <c r="BS48" i="1"/>
  <c r="BS62" i="1" s="1"/>
  <c r="B465" i="1"/>
  <c r="C470" i="1"/>
  <c r="F48" i="1"/>
  <c r="F62" i="1" s="1"/>
  <c r="AX48" i="1"/>
  <c r="AX62" i="1" s="1"/>
  <c r="CC48" i="1"/>
  <c r="CC62" i="1" s="1"/>
  <c r="BZ48" i="1"/>
  <c r="BZ62" i="1" s="1"/>
  <c r="H332" i="9" s="1"/>
  <c r="I612" i="1"/>
  <c r="J48" i="1"/>
  <c r="J62" i="1" s="1"/>
  <c r="C44" i="9" s="1"/>
  <c r="Z48" i="1"/>
  <c r="Z62" i="1" s="1"/>
  <c r="E108" i="9" s="1"/>
  <c r="AJ48" i="1"/>
  <c r="AJ62" i="1" s="1"/>
  <c r="AR48" i="1"/>
  <c r="AR62" i="1" s="1"/>
  <c r="AZ48" i="1"/>
  <c r="AZ62" i="1" s="1"/>
  <c r="C236" i="9" s="1"/>
  <c r="BH48" i="1"/>
  <c r="BH62" i="1" s="1"/>
  <c r="D268" i="9" s="1"/>
  <c r="BP48" i="1"/>
  <c r="BP62" i="1" s="1"/>
  <c r="E300" i="9" s="1"/>
  <c r="BX48" i="1"/>
  <c r="BX62" i="1" s="1"/>
  <c r="AA48" i="1"/>
  <c r="AA62" i="1" s="1"/>
  <c r="F108" i="9" s="1"/>
  <c r="BG48" i="1"/>
  <c r="BG62" i="1" s="1"/>
  <c r="C268" i="9" s="1"/>
  <c r="I48" i="1"/>
  <c r="I62" i="1" s="1"/>
  <c r="AO48" i="1"/>
  <c r="AO62" i="1" s="1"/>
  <c r="BU48" i="1"/>
  <c r="BU62" i="1" s="1"/>
  <c r="C332" i="9" s="1"/>
  <c r="BA48" i="1"/>
  <c r="BA62" i="1" s="1"/>
  <c r="D236" i="9" s="1"/>
  <c r="C427" i="1"/>
  <c r="BC48" i="1"/>
  <c r="BC62" i="1" s="1"/>
  <c r="F236" i="9" s="1"/>
  <c r="AU48" i="1"/>
  <c r="AU62" i="1" s="1"/>
  <c r="D48" i="1"/>
  <c r="D62" i="1" s="1"/>
  <c r="D12" i="9" s="1"/>
  <c r="T48" i="1"/>
  <c r="T62" i="1" s="1"/>
  <c r="F76" i="9" s="1"/>
  <c r="C33" i="8"/>
  <c r="W48" i="1"/>
  <c r="W62" i="1" s="1"/>
  <c r="I76" i="9" s="1"/>
  <c r="N48" i="1"/>
  <c r="N62" i="1" s="1"/>
  <c r="G44" i="9" s="1"/>
  <c r="AD48" i="1"/>
  <c r="AD62" i="1" s="1"/>
  <c r="I108" i="9" s="1"/>
  <c r="AL48" i="1"/>
  <c r="AL62" i="1" s="1"/>
  <c r="AT48" i="1"/>
  <c r="AT62" i="1" s="1"/>
  <c r="BB48" i="1"/>
  <c r="BB62" i="1" s="1"/>
  <c r="BJ48" i="1"/>
  <c r="BJ62" i="1" s="1"/>
  <c r="BR48" i="1"/>
  <c r="BR62" i="1" s="1"/>
  <c r="G300" i="9" s="1"/>
  <c r="BY48" i="1"/>
  <c r="BY62" i="1" s="1"/>
  <c r="CB48" i="1"/>
  <c r="CB62" i="1" s="1"/>
  <c r="C364" i="9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E12" i="9" s="1"/>
  <c r="BQ48" i="1"/>
  <c r="BQ62" i="1" s="1"/>
  <c r="F300" i="9" s="1"/>
  <c r="BI48" i="1"/>
  <c r="BI62" i="1" s="1"/>
  <c r="E268" i="9" s="1"/>
  <c r="AE48" i="1"/>
  <c r="AE62" i="1" s="1"/>
  <c r="C140" i="9" s="1"/>
  <c r="AC48" i="1"/>
  <c r="AC62" i="1" s="1"/>
  <c r="H108" i="9" s="1"/>
  <c r="H48" i="1"/>
  <c r="H62" i="1" s="1"/>
  <c r="X48" i="1"/>
  <c r="X62" i="1" s="1"/>
  <c r="C108" i="9" s="1"/>
  <c r="B476" i="1"/>
  <c r="R48" i="1"/>
  <c r="R62" i="1" s="1"/>
  <c r="AF48" i="1"/>
  <c r="AF62" i="1" s="1"/>
  <c r="AN48" i="1"/>
  <c r="AN62" i="1" s="1"/>
  <c r="AV48" i="1"/>
  <c r="AV62" i="1" s="1"/>
  <c r="BD48" i="1"/>
  <c r="BD62" i="1" s="1"/>
  <c r="BL48" i="1"/>
  <c r="BL62" i="1" s="1"/>
  <c r="H268" i="9" s="1"/>
  <c r="BT48" i="1"/>
  <c r="BT62" i="1" s="1"/>
  <c r="I300" i="9" s="1"/>
  <c r="CA48" i="1"/>
  <c r="CA62" i="1" s="1"/>
  <c r="C48" i="1"/>
  <c r="C62" i="1" s="1"/>
  <c r="C12" i="9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AM48" i="1"/>
  <c r="AM62" i="1" s="1"/>
  <c r="M48" i="1"/>
  <c r="M62" i="1" s="1"/>
  <c r="F44" i="9" s="1"/>
  <c r="G48" i="1"/>
  <c r="G62" i="1" s="1"/>
  <c r="G12" i="9" s="1"/>
  <c r="L48" i="1"/>
  <c r="L62" i="1" s="1"/>
  <c r="E44" i="9" s="1"/>
  <c r="AB48" i="1"/>
  <c r="AB62" i="1" s="1"/>
  <c r="C421" i="1"/>
  <c r="C434" i="1"/>
  <c r="D330" i="1"/>
  <c r="C86" i="8" s="1"/>
  <c r="D13" i="7"/>
  <c r="D433" i="1"/>
  <c r="F11" i="6"/>
  <c r="B19" i="4"/>
  <c r="F15" i="6"/>
  <c r="C84" i="8"/>
  <c r="C34" i="5"/>
  <c r="G19" i="4"/>
  <c r="C473" i="1"/>
  <c r="F90" i="9"/>
  <c r="D463" i="1"/>
  <c r="G10" i="4"/>
  <c r="C464" i="1"/>
  <c r="E19" i="4"/>
  <c r="C141" i="8"/>
  <c r="F12" i="6"/>
  <c r="C14" i="5"/>
  <c r="I380" i="9"/>
  <c r="D612" i="1"/>
  <c r="C27" i="5"/>
  <c r="C440" i="1"/>
  <c r="C430" i="1"/>
  <c r="F8" i="6"/>
  <c r="I366" i="9"/>
  <c r="C218" i="9"/>
  <c r="G122" i="9"/>
  <c r="C432" i="1"/>
  <c r="I372" i="9"/>
  <c r="BA52" i="1"/>
  <c r="BA67" i="1" s="1"/>
  <c r="B10" i="4"/>
  <c r="O52" i="1"/>
  <c r="O67" i="1" s="1"/>
  <c r="AF52" i="1"/>
  <c r="AF67" i="1" s="1"/>
  <c r="AR52" i="1"/>
  <c r="AR67" i="1" s="1"/>
  <c r="P52" i="1"/>
  <c r="P67" i="1" s="1"/>
  <c r="I49" i="9" s="1"/>
  <c r="BW52" i="1"/>
  <c r="BW67" i="1" s="1"/>
  <c r="Q52" i="1"/>
  <c r="Q67" i="1" s="1"/>
  <c r="BZ52" i="1"/>
  <c r="BZ67" i="1" s="1"/>
  <c r="H337" i="9" s="1"/>
  <c r="Y52" i="1"/>
  <c r="Y67" i="1" s="1"/>
  <c r="BB52" i="1"/>
  <c r="BB67" i="1" s="1"/>
  <c r="E241" i="9" s="1"/>
  <c r="CA52" i="1"/>
  <c r="CA67" i="1" s="1"/>
  <c r="I337" i="9" s="1"/>
  <c r="BG52" i="1"/>
  <c r="BG67" i="1" s="1"/>
  <c r="AH52" i="1"/>
  <c r="AH67" i="1" s="1"/>
  <c r="F145" i="9" s="1"/>
  <c r="CC52" i="1"/>
  <c r="CC67" i="1" s="1"/>
  <c r="H52" i="1"/>
  <c r="H67" i="1" s="1"/>
  <c r="C575" i="1"/>
  <c r="B440" i="1"/>
  <c r="I362" i="9"/>
  <c r="AJ52" i="1"/>
  <c r="AJ67" i="1" s="1"/>
  <c r="H145" i="9" s="1"/>
  <c r="AZ52" i="1"/>
  <c r="AZ67" i="1" s="1"/>
  <c r="BX52" i="1"/>
  <c r="BX67" i="1" s="1"/>
  <c r="F337" i="9" s="1"/>
  <c r="V52" i="1"/>
  <c r="V67" i="1" s="1"/>
  <c r="D5" i="7"/>
  <c r="CF77" i="1"/>
  <c r="D368" i="1"/>
  <c r="C120" i="8" s="1"/>
  <c r="I381" i="9"/>
  <c r="C119" i="8"/>
  <c r="C10" i="4"/>
  <c r="D186" i="9"/>
  <c r="AN52" i="1"/>
  <c r="AN67" i="1" s="1"/>
  <c r="AQ52" i="1"/>
  <c r="AQ67" i="1" s="1"/>
  <c r="H177" i="9" s="1"/>
  <c r="AS52" i="1"/>
  <c r="AS67" i="1" s="1"/>
  <c r="BH52" i="1"/>
  <c r="BH67" i="1" s="1"/>
  <c r="E52" i="1"/>
  <c r="E67" i="1" s="1"/>
  <c r="L52" i="1"/>
  <c r="L67" i="1" s="1"/>
  <c r="AD52" i="1"/>
  <c r="AD67" i="1" s="1"/>
  <c r="BP52" i="1"/>
  <c r="BP67" i="1" s="1"/>
  <c r="E305" i="9" s="1"/>
  <c r="AC52" i="1"/>
  <c r="AC67" i="1" s="1"/>
  <c r="W52" i="1"/>
  <c r="W67" i="1" s="1"/>
  <c r="N52" i="1"/>
  <c r="N67" i="1" s="1"/>
  <c r="Z52" i="1"/>
  <c r="Z67" i="1" s="1"/>
  <c r="R52" i="1"/>
  <c r="R67" i="1" s="1"/>
  <c r="AT52" i="1"/>
  <c r="AT67" i="1" s="1"/>
  <c r="BS52" i="1"/>
  <c r="BS67" i="1" s="1"/>
  <c r="H305" i="9" s="1"/>
  <c r="I52" i="1"/>
  <c r="I67" i="1" s="1"/>
  <c r="AG52" i="1"/>
  <c r="AG67" i="1" s="1"/>
  <c r="U52" i="1"/>
  <c r="U67" i="1" s="1"/>
  <c r="G81" i="9" s="1"/>
  <c r="BK52" i="1"/>
  <c r="BK67" i="1" s="1"/>
  <c r="G273" i="9" s="1"/>
  <c r="BJ52" i="1"/>
  <c r="BJ67" i="1" s="1"/>
  <c r="X52" i="1"/>
  <c r="X67" i="1" s="1"/>
  <c r="AL52" i="1"/>
  <c r="AL67" i="1" s="1"/>
  <c r="C177" i="9" s="1"/>
  <c r="S52" i="1"/>
  <c r="S67" i="1" s="1"/>
  <c r="AO52" i="1"/>
  <c r="AO67" i="1" s="1"/>
  <c r="F177" i="9" s="1"/>
  <c r="AP52" i="1"/>
  <c r="AP67" i="1" s="1"/>
  <c r="BC52" i="1"/>
  <c r="BC67" i="1" s="1"/>
  <c r="BU52" i="1"/>
  <c r="BU67" i="1" s="1"/>
  <c r="C337" i="9" s="1"/>
  <c r="J52" i="1"/>
  <c r="J67" i="1" s="1"/>
  <c r="C52" i="1"/>
  <c r="C67" i="1" s="1"/>
  <c r="C17" i="9" s="1"/>
  <c r="BO52" i="1"/>
  <c r="BO67" i="1" s="1"/>
  <c r="BI52" i="1"/>
  <c r="BI67" i="1" s="1"/>
  <c r="AE52" i="1"/>
  <c r="AE67" i="1" s="1"/>
  <c r="C145" i="9" s="1"/>
  <c r="BT52" i="1"/>
  <c r="BT67" i="1" s="1"/>
  <c r="AU52" i="1"/>
  <c r="AU67" i="1" s="1"/>
  <c r="AI52" i="1"/>
  <c r="AI67" i="1" s="1"/>
  <c r="K52" i="1"/>
  <c r="K67" i="1" s="1"/>
  <c r="BL52" i="1"/>
  <c r="BL67" i="1" s="1"/>
  <c r="AB52" i="1"/>
  <c r="AB67" i="1" s="1"/>
  <c r="G113" i="9" s="1"/>
  <c r="I90" i="9"/>
  <c r="G28" i="4"/>
  <c r="F209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BF71" i="1" l="1"/>
  <c r="C629" i="1" s="1"/>
  <c r="AK71" i="1"/>
  <c r="C530" i="1" s="1"/>
  <c r="G530" i="1" s="1"/>
  <c r="D364" i="9"/>
  <c r="BM71" i="1"/>
  <c r="C638" i="1" s="1"/>
  <c r="I268" i="9"/>
  <c r="I44" i="9"/>
  <c r="F71" i="1"/>
  <c r="F21" i="9" s="1"/>
  <c r="BR71" i="1"/>
  <c r="G309" i="9" s="1"/>
  <c r="E140" i="9"/>
  <c r="H76" i="9"/>
  <c r="H204" i="9"/>
  <c r="AX71" i="1"/>
  <c r="H213" i="9" s="1"/>
  <c r="E76" i="9"/>
  <c r="BN71" i="1"/>
  <c r="C619" i="1" s="1"/>
  <c r="F12" i="9"/>
  <c r="BV71" i="1"/>
  <c r="C642" i="1" s="1"/>
  <c r="H300" i="9"/>
  <c r="I140" i="9"/>
  <c r="AS71" i="1"/>
  <c r="C213" i="9" s="1"/>
  <c r="D465" i="1"/>
  <c r="AY71" i="1"/>
  <c r="AA71" i="1"/>
  <c r="C692" i="1" s="1"/>
  <c r="CB71" i="1"/>
  <c r="C622" i="1" s="1"/>
  <c r="I332" i="9"/>
  <c r="D339" i="1"/>
  <c r="E236" i="9"/>
  <c r="E332" i="9"/>
  <c r="N71" i="1"/>
  <c r="C507" i="1" s="1"/>
  <c r="G507" i="1" s="1"/>
  <c r="C76" i="9"/>
  <c r="CA71" i="1"/>
  <c r="C647" i="1" s="1"/>
  <c r="F204" i="9"/>
  <c r="D172" i="9"/>
  <c r="G108" i="9"/>
  <c r="BW71" i="1"/>
  <c r="C568" i="1" s="1"/>
  <c r="E204" i="9"/>
  <c r="AV71" i="1"/>
  <c r="C541" i="1" s="1"/>
  <c r="AM71" i="1"/>
  <c r="C704" i="1" s="1"/>
  <c r="AP71" i="1"/>
  <c r="C707" i="1" s="1"/>
  <c r="I172" i="9"/>
  <c r="G140" i="9"/>
  <c r="D44" i="9"/>
  <c r="C172" i="9"/>
  <c r="G71" i="1"/>
  <c r="C672" i="1" s="1"/>
  <c r="D71" i="1"/>
  <c r="C497" i="1" s="1"/>
  <c r="G497" i="1" s="1"/>
  <c r="F332" i="9"/>
  <c r="D140" i="9"/>
  <c r="BE71" i="1"/>
  <c r="H245" i="9" s="1"/>
  <c r="I12" i="9"/>
  <c r="AI71" i="1"/>
  <c r="C528" i="1" s="1"/>
  <c r="G528" i="1" s="1"/>
  <c r="BL71" i="1"/>
  <c r="C637" i="1" s="1"/>
  <c r="BB71" i="1"/>
  <c r="E245" i="9" s="1"/>
  <c r="Q71" i="1"/>
  <c r="C510" i="1" s="1"/>
  <c r="G510" i="1" s="1"/>
  <c r="H140" i="9"/>
  <c r="D145" i="9"/>
  <c r="AF71" i="1"/>
  <c r="C525" i="1" s="1"/>
  <c r="G525" i="1" s="1"/>
  <c r="AH71" i="1"/>
  <c r="C699" i="1" s="1"/>
  <c r="BJ71" i="1"/>
  <c r="C555" i="1" s="1"/>
  <c r="AD71" i="1"/>
  <c r="C523" i="1" s="1"/>
  <c r="G523" i="1" s="1"/>
  <c r="CC71" i="1"/>
  <c r="C620" i="1" s="1"/>
  <c r="BD71" i="1"/>
  <c r="C624" i="1" s="1"/>
  <c r="G204" i="9"/>
  <c r="F268" i="9"/>
  <c r="BX71" i="1"/>
  <c r="C569" i="1" s="1"/>
  <c r="BH71" i="1"/>
  <c r="D277" i="9" s="1"/>
  <c r="AR71" i="1"/>
  <c r="C537" i="1" s="1"/>
  <c r="G537" i="1" s="1"/>
  <c r="H172" i="9"/>
  <c r="BT71" i="1"/>
  <c r="C565" i="1" s="1"/>
  <c r="S71" i="1"/>
  <c r="E85" i="9" s="1"/>
  <c r="AG71" i="1"/>
  <c r="C698" i="1" s="1"/>
  <c r="AN71" i="1"/>
  <c r="C533" i="1" s="1"/>
  <c r="G533" i="1" s="1"/>
  <c r="O71" i="1"/>
  <c r="H53" i="9" s="1"/>
  <c r="E172" i="9"/>
  <c r="AJ71" i="1"/>
  <c r="H149" i="9" s="1"/>
  <c r="E71" i="1"/>
  <c r="E21" i="9" s="1"/>
  <c r="AQ71" i="1"/>
  <c r="C708" i="1" s="1"/>
  <c r="AC71" i="1"/>
  <c r="C694" i="1" s="1"/>
  <c r="AB71" i="1"/>
  <c r="C521" i="1" s="1"/>
  <c r="G521" i="1" s="1"/>
  <c r="BK71" i="1"/>
  <c r="C556" i="1" s="1"/>
  <c r="P71" i="1"/>
  <c r="C509" i="1" s="1"/>
  <c r="G509" i="1" s="1"/>
  <c r="BS71" i="1"/>
  <c r="C639" i="1" s="1"/>
  <c r="I71" i="1"/>
  <c r="U71" i="1"/>
  <c r="G85" i="9" s="1"/>
  <c r="AE71" i="1"/>
  <c r="C524" i="1" s="1"/>
  <c r="G524" i="1" s="1"/>
  <c r="V71" i="1"/>
  <c r="H85" i="9" s="1"/>
  <c r="BZ71" i="1"/>
  <c r="C646" i="1" s="1"/>
  <c r="L71" i="1"/>
  <c r="C505" i="1" s="1"/>
  <c r="G505" i="1" s="1"/>
  <c r="BU71" i="1"/>
  <c r="C341" i="9" s="1"/>
  <c r="BA71" i="1"/>
  <c r="C630" i="1" s="1"/>
  <c r="X71" i="1"/>
  <c r="AU71" i="1"/>
  <c r="C540" i="1" s="1"/>
  <c r="G540" i="1" s="1"/>
  <c r="AL71" i="1"/>
  <c r="C181" i="9" s="1"/>
  <c r="Z71" i="1"/>
  <c r="E117" i="9" s="1"/>
  <c r="BP71" i="1"/>
  <c r="C621" i="1" s="1"/>
  <c r="Y71" i="1"/>
  <c r="C690" i="1" s="1"/>
  <c r="BY71" i="1"/>
  <c r="C570" i="1" s="1"/>
  <c r="AT71" i="1"/>
  <c r="C539" i="1" s="1"/>
  <c r="G539" i="1" s="1"/>
  <c r="AO71" i="1"/>
  <c r="F181" i="9" s="1"/>
  <c r="W71" i="1"/>
  <c r="C516" i="1" s="1"/>
  <c r="G516" i="1" s="1"/>
  <c r="M71" i="1"/>
  <c r="F53" i="9" s="1"/>
  <c r="D241" i="9"/>
  <c r="D76" i="9"/>
  <c r="H71" i="1"/>
  <c r="C673" i="1" s="1"/>
  <c r="E337" i="9"/>
  <c r="D108" i="9"/>
  <c r="G332" i="9"/>
  <c r="T71" i="1"/>
  <c r="F85" i="9" s="1"/>
  <c r="G236" i="9"/>
  <c r="R71" i="1"/>
  <c r="D85" i="9" s="1"/>
  <c r="C81" i="9"/>
  <c r="BC71" i="1"/>
  <c r="F245" i="9" s="1"/>
  <c r="CE62" i="1"/>
  <c r="D373" i="1"/>
  <c r="C126" i="8" s="1"/>
  <c r="D204" i="9"/>
  <c r="F172" i="9"/>
  <c r="AZ71" i="1"/>
  <c r="C628" i="1" s="1"/>
  <c r="J71" i="1"/>
  <c r="C503" i="1" s="1"/>
  <c r="G503" i="1" s="1"/>
  <c r="C71" i="1"/>
  <c r="C21" i="9" s="1"/>
  <c r="BQ71" i="1"/>
  <c r="F309" i="9" s="1"/>
  <c r="H12" i="9"/>
  <c r="BO71" i="1"/>
  <c r="C627" i="1" s="1"/>
  <c r="CE48" i="1"/>
  <c r="K71" i="1"/>
  <c r="D53" i="9" s="1"/>
  <c r="BI71" i="1"/>
  <c r="C634" i="1" s="1"/>
  <c r="G76" i="9"/>
  <c r="AW71" i="1"/>
  <c r="C631" i="1" s="1"/>
  <c r="BG71" i="1"/>
  <c r="C618" i="1" s="1"/>
  <c r="H49" i="9"/>
  <c r="E145" i="9"/>
  <c r="H17" i="9"/>
  <c r="C49" i="9"/>
  <c r="I177" i="9"/>
  <c r="H81" i="9"/>
  <c r="F273" i="9"/>
  <c r="D369" i="9"/>
  <c r="E49" i="9"/>
  <c r="I81" i="9"/>
  <c r="G177" i="9"/>
  <c r="CE67" i="1"/>
  <c r="C433" i="1" s="1"/>
  <c r="D273" i="9"/>
  <c r="E113" i="9"/>
  <c r="C273" i="9"/>
  <c r="D113" i="9"/>
  <c r="E273" i="9"/>
  <c r="C241" i="9"/>
  <c r="G49" i="9"/>
  <c r="CE52" i="1"/>
  <c r="H113" i="9"/>
  <c r="E177" i="9"/>
  <c r="H273" i="9"/>
  <c r="D81" i="9"/>
  <c r="C706" i="1"/>
  <c r="E17" i="9"/>
  <c r="I305" i="9"/>
  <c r="E81" i="9"/>
  <c r="D49" i="9"/>
  <c r="C113" i="9"/>
  <c r="I17" i="9"/>
  <c r="G145" i="9"/>
  <c r="I113" i="9"/>
  <c r="C209" i="9"/>
  <c r="E209" i="9"/>
  <c r="D305" i="9"/>
  <c r="F241" i="9"/>
  <c r="D209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D341" i="1"/>
  <c r="C481" i="1" s="1"/>
  <c r="C50" i="8"/>
  <c r="H209" i="9"/>
  <c r="D337" i="9"/>
  <c r="F81" i="9"/>
  <c r="I209" i="9"/>
  <c r="I241" i="9"/>
  <c r="I378" i="9"/>
  <c r="K612" i="1"/>
  <c r="C465" i="1"/>
  <c r="F32" i="6"/>
  <c r="C478" i="1"/>
  <c r="C305" i="9"/>
  <c r="H241" i="9"/>
  <c r="I145" i="9"/>
  <c r="G209" i="9"/>
  <c r="G337" i="9"/>
  <c r="D177" i="9"/>
  <c r="C476" i="1"/>
  <c r="F16" i="6"/>
  <c r="I245" i="9"/>
  <c r="D17" i="9"/>
  <c r="F305" i="9"/>
  <c r="G305" i="9"/>
  <c r="F113" i="9"/>
  <c r="F49" i="9"/>
  <c r="C369" i="9"/>
  <c r="F17" i="9"/>
  <c r="G241" i="9"/>
  <c r="C551" i="1" l="1"/>
  <c r="C102" i="8"/>
  <c r="F339" i="1"/>
  <c r="C309" i="9"/>
  <c r="H341" i="9"/>
  <c r="C572" i="1"/>
  <c r="C373" i="9"/>
  <c r="C567" i="1"/>
  <c r="C669" i="1"/>
  <c r="F277" i="9"/>
  <c r="C671" i="1"/>
  <c r="I149" i="9"/>
  <c r="C558" i="1"/>
  <c r="D341" i="9"/>
  <c r="C499" i="1"/>
  <c r="G499" i="1" s="1"/>
  <c r="I277" i="9"/>
  <c r="C702" i="1"/>
  <c r="C626" i="1"/>
  <c r="I117" i="9"/>
  <c r="C563" i="1"/>
  <c r="C543" i="1"/>
  <c r="C616" i="1"/>
  <c r="C538" i="1"/>
  <c r="G538" i="1" s="1"/>
  <c r="C679" i="1"/>
  <c r="D149" i="9"/>
  <c r="C559" i="1"/>
  <c r="E341" i="9"/>
  <c r="C632" i="1"/>
  <c r="C482" i="1"/>
  <c r="C520" i="1"/>
  <c r="G520" i="1" s="1"/>
  <c r="F117" i="9"/>
  <c r="C573" i="1"/>
  <c r="C713" i="1"/>
  <c r="I341" i="9"/>
  <c r="C553" i="1"/>
  <c r="C710" i="1"/>
  <c r="C684" i="1"/>
  <c r="C695" i="1"/>
  <c r="C643" i="1"/>
  <c r="I213" i="9"/>
  <c r="C625" i="1"/>
  <c r="C544" i="1"/>
  <c r="G544" i="1" s="1"/>
  <c r="G53" i="9"/>
  <c r="I205" i="9"/>
  <c r="CE63" i="1"/>
  <c r="C532" i="1"/>
  <c r="G532" i="1" s="1"/>
  <c r="G181" i="9"/>
  <c r="C535" i="1"/>
  <c r="G535" i="1" s="1"/>
  <c r="D181" i="9"/>
  <c r="E181" i="9"/>
  <c r="D373" i="9"/>
  <c r="G21" i="9"/>
  <c r="G149" i="9"/>
  <c r="C522" i="1"/>
  <c r="G522" i="1" s="1"/>
  <c r="C701" i="1"/>
  <c r="C617" i="1"/>
  <c r="D21" i="9"/>
  <c r="F213" i="9"/>
  <c r="C557" i="1"/>
  <c r="C550" i="1"/>
  <c r="G550" i="1" s="1"/>
  <c r="H277" i="9"/>
  <c r="G245" i="9"/>
  <c r="C614" i="1"/>
  <c r="D615" i="1" s="1"/>
  <c r="C686" i="1"/>
  <c r="C514" i="1"/>
  <c r="G514" i="1" s="1"/>
  <c r="C500" i="1"/>
  <c r="G500" i="1" s="1"/>
  <c r="C700" i="1"/>
  <c r="C677" i="1"/>
  <c r="C527" i="1"/>
  <c r="G527" i="1" s="1"/>
  <c r="C705" i="1"/>
  <c r="C571" i="1"/>
  <c r="C561" i="1"/>
  <c r="H117" i="9"/>
  <c r="C697" i="1"/>
  <c r="C529" i="1"/>
  <c r="G529" i="1" s="1"/>
  <c r="C536" i="1"/>
  <c r="G536" i="1" s="1"/>
  <c r="C709" i="1"/>
  <c r="C547" i="1"/>
  <c r="I181" i="9"/>
  <c r="C688" i="1"/>
  <c r="C85" i="9"/>
  <c r="C508" i="1"/>
  <c r="G508" i="1" s="1"/>
  <c r="G117" i="9"/>
  <c r="F149" i="9"/>
  <c r="C498" i="1"/>
  <c r="G498" i="1" s="1"/>
  <c r="C640" i="1"/>
  <c r="C693" i="1"/>
  <c r="E53" i="9"/>
  <c r="C680" i="1"/>
  <c r="I85" i="9"/>
  <c r="C670" i="1"/>
  <c r="C574" i="1"/>
  <c r="C682" i="1"/>
  <c r="I309" i="9"/>
  <c r="C644" i="1"/>
  <c r="F341" i="9"/>
  <c r="C277" i="9"/>
  <c r="C534" i="1"/>
  <c r="G534" i="1" s="1"/>
  <c r="E309" i="9"/>
  <c r="C531" i="1"/>
  <c r="G531" i="1" s="1"/>
  <c r="C549" i="1"/>
  <c r="C636" i="1"/>
  <c r="C513" i="1"/>
  <c r="G513" i="1" s="1"/>
  <c r="C691" i="1"/>
  <c r="D117" i="9"/>
  <c r="C678" i="1"/>
  <c r="C703" i="1"/>
  <c r="C645" i="1"/>
  <c r="C512" i="1"/>
  <c r="G512" i="1" s="1"/>
  <c r="C526" i="1"/>
  <c r="G526" i="1" s="1"/>
  <c r="D245" i="9"/>
  <c r="C687" i="1"/>
  <c r="E149" i="9"/>
  <c r="C711" i="1"/>
  <c r="C518" i="1"/>
  <c r="G518" i="1" s="1"/>
  <c r="C501" i="1"/>
  <c r="G501" i="1" s="1"/>
  <c r="C519" i="1"/>
  <c r="G519" i="1" s="1"/>
  <c r="C668" i="1"/>
  <c r="C506" i="1"/>
  <c r="G506" i="1" s="1"/>
  <c r="D213" i="9"/>
  <c r="G341" i="9"/>
  <c r="C515" i="1"/>
  <c r="G515" i="1" s="1"/>
  <c r="H181" i="9"/>
  <c r="I53" i="9"/>
  <c r="C546" i="1"/>
  <c r="G546" i="1" s="1"/>
  <c r="C676" i="1"/>
  <c r="C681" i="1"/>
  <c r="C635" i="1"/>
  <c r="G277" i="9"/>
  <c r="D309" i="9"/>
  <c r="C675" i="1"/>
  <c r="H309" i="9"/>
  <c r="C560" i="1"/>
  <c r="C53" i="9"/>
  <c r="C566" i="1"/>
  <c r="C548" i="1"/>
  <c r="C149" i="9"/>
  <c r="C712" i="1"/>
  <c r="E213" i="9"/>
  <c r="C641" i="1"/>
  <c r="C633" i="1"/>
  <c r="C696" i="1"/>
  <c r="C564" i="1"/>
  <c r="C117" i="9"/>
  <c r="C517" i="1"/>
  <c r="G517" i="1" s="1"/>
  <c r="C689" i="1"/>
  <c r="I21" i="9"/>
  <c r="C674" i="1"/>
  <c r="C502" i="1"/>
  <c r="G502" i="1" s="1"/>
  <c r="H21" i="9"/>
  <c r="C511" i="1"/>
  <c r="G511" i="1" s="1"/>
  <c r="C504" i="1"/>
  <c r="G504" i="1" s="1"/>
  <c r="C496" i="1"/>
  <c r="G496" i="1" s="1"/>
  <c r="C683" i="1"/>
  <c r="D391" i="1"/>
  <c r="C142" i="8" s="1"/>
  <c r="C245" i="9"/>
  <c r="C545" i="1"/>
  <c r="G545" i="1" s="1"/>
  <c r="E277" i="9"/>
  <c r="C623" i="1"/>
  <c r="I364" i="9"/>
  <c r="C428" i="1"/>
  <c r="C685" i="1"/>
  <c r="C554" i="1"/>
  <c r="C562" i="1"/>
  <c r="C552" i="1"/>
  <c r="G213" i="9"/>
  <c r="C542" i="1"/>
  <c r="I369" i="9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B528" i="1"/>
  <c r="B514" i="1"/>
  <c r="F514" i="1" s="1"/>
  <c r="B497" i="1"/>
  <c r="F513" i="1"/>
  <c r="F534" i="1"/>
  <c r="H534" i="1"/>
  <c r="H502" i="1"/>
  <c r="F502" i="1"/>
  <c r="F526" i="1"/>
  <c r="F518" i="1"/>
  <c r="F506" i="1"/>
  <c r="H506" i="1"/>
  <c r="F509" i="1"/>
  <c r="H509" i="1" s="1"/>
  <c r="H518" i="1" l="1"/>
  <c r="H513" i="1"/>
  <c r="I365" i="9"/>
  <c r="C429" i="1"/>
  <c r="C441" i="1" s="1"/>
  <c r="CE71" i="1"/>
  <c r="C716" i="1" s="1"/>
  <c r="H526" i="1"/>
  <c r="D393" i="1"/>
  <c r="D396" i="1" s="1"/>
  <c r="C151" i="8" s="1"/>
  <c r="H498" i="1"/>
  <c r="H515" i="1"/>
  <c r="H501" i="1"/>
  <c r="C715" i="1"/>
  <c r="C648" i="1"/>
  <c r="M716" i="1" s="1"/>
  <c r="H503" i="1"/>
  <c r="H508" i="1"/>
  <c r="H512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92" i="1"/>
  <c r="D700" i="1"/>
  <c r="D628" i="1"/>
  <c r="D711" i="1"/>
  <c r="D630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7" i="1"/>
  <c r="D645" i="1"/>
  <c r="D704" i="1"/>
  <c r="D623" i="1"/>
  <c r="D699" i="1"/>
  <c r="D631" i="1"/>
  <c r="D682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44" i="1"/>
  <c r="D622" i="1"/>
  <c r="D639" i="1"/>
  <c r="D686" i="1"/>
  <c r="D705" i="1"/>
  <c r="D675" i="1"/>
  <c r="D706" i="1"/>
  <c r="F500" i="1"/>
  <c r="F507" i="1"/>
  <c r="H538" i="1"/>
  <c r="H510" i="1"/>
  <c r="H546" i="1"/>
  <c r="H504" i="1"/>
  <c r="H522" i="1"/>
  <c r="F499" i="1"/>
  <c r="H499" i="1" s="1"/>
  <c r="H536" i="1"/>
  <c r="F536" i="1"/>
  <c r="H505" i="1"/>
  <c r="F505" i="1"/>
  <c r="B496" i="1"/>
  <c r="F516" i="1"/>
  <c r="H516" i="1" s="1"/>
  <c r="F511" i="1"/>
  <c r="H511" i="1" s="1"/>
  <c r="F517" i="1"/>
  <c r="H517" i="1" s="1"/>
  <c r="H514" i="1"/>
  <c r="F530" i="1"/>
  <c r="H530" i="1" s="1"/>
  <c r="F524" i="1"/>
  <c r="H524" i="1" s="1"/>
  <c r="F497" i="1"/>
  <c r="H497" i="1" s="1"/>
  <c r="H528" i="1"/>
  <c r="F528" i="1"/>
  <c r="H532" i="1"/>
  <c r="F532" i="1"/>
  <c r="F520" i="1"/>
  <c r="H520" i="1" s="1"/>
  <c r="F550" i="1"/>
  <c r="H550" i="1" s="1"/>
  <c r="F544" i="1"/>
  <c r="H544" i="1" s="1"/>
  <c r="F545" i="1"/>
  <c r="H545" i="1" s="1"/>
  <c r="H525" i="1"/>
  <c r="F525" i="1"/>
  <c r="F529" i="1"/>
  <c r="H529" i="1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E623" i="1" l="1"/>
  <c r="E716" i="1" s="1"/>
  <c r="C146" i="8"/>
  <c r="I373" i="9"/>
  <c r="E612" i="1"/>
  <c r="D715" i="1"/>
  <c r="F496" i="1"/>
  <c r="H496" i="1" s="1"/>
  <c r="E710" i="1" l="1"/>
  <c r="E697" i="1"/>
  <c r="E646" i="1"/>
  <c r="E692" i="1"/>
  <c r="E695" i="1"/>
  <c r="E691" i="1"/>
  <c r="E693" i="1"/>
  <c r="E637" i="1"/>
  <c r="E694" i="1"/>
  <c r="E686" i="1"/>
  <c r="E689" i="1"/>
  <c r="E683" i="1"/>
  <c r="E633" i="1"/>
  <c r="E682" i="1"/>
  <c r="E625" i="1"/>
  <c r="E711" i="1"/>
  <c r="E679" i="1"/>
  <c r="E626" i="1"/>
  <c r="E673" i="1"/>
  <c r="E640" i="1"/>
  <c r="E707" i="1"/>
  <c r="E702" i="1"/>
  <c r="E676" i="1"/>
  <c r="E634" i="1"/>
  <c r="E630" i="1"/>
  <c r="E635" i="1"/>
  <c r="E668" i="1"/>
  <c r="E639" i="1"/>
  <c r="E698" i="1"/>
  <c r="E704" i="1"/>
  <c r="E638" i="1"/>
  <c r="E674" i="1"/>
  <c r="E709" i="1"/>
  <c r="E685" i="1"/>
  <c r="E642" i="1"/>
  <c r="E681" i="1"/>
  <c r="E677" i="1"/>
  <c r="E701" i="1"/>
  <c r="E645" i="1"/>
  <c r="E708" i="1"/>
  <c r="E641" i="1"/>
  <c r="E700" i="1"/>
  <c r="E699" i="1"/>
  <c r="E672" i="1"/>
  <c r="E713" i="1"/>
  <c r="E680" i="1"/>
  <c r="E703" i="1"/>
  <c r="E671" i="1"/>
  <c r="E644" i="1"/>
  <c r="E684" i="1"/>
  <c r="E670" i="1"/>
  <c r="E636" i="1"/>
  <c r="E687" i="1"/>
  <c r="E712" i="1"/>
  <c r="E706" i="1"/>
  <c r="E627" i="1"/>
  <c r="E675" i="1"/>
  <c r="E643" i="1"/>
  <c r="E688" i="1"/>
  <c r="E629" i="1"/>
  <c r="E705" i="1"/>
  <c r="E647" i="1"/>
  <c r="E678" i="1"/>
  <c r="E696" i="1"/>
  <c r="E690" i="1"/>
  <c r="E632" i="1"/>
  <c r="E631" i="1"/>
  <c r="E669" i="1"/>
  <c r="E624" i="1"/>
  <c r="F624" i="1" s="1"/>
  <c r="F637" i="1" s="1"/>
  <c r="E628" i="1"/>
  <c r="F693" i="1" l="1"/>
  <c r="F680" i="1"/>
  <c r="F700" i="1"/>
  <c r="F694" i="1"/>
  <c r="F627" i="1"/>
  <c r="F710" i="1"/>
  <c r="F632" i="1"/>
  <c r="F673" i="1"/>
  <c r="F644" i="1"/>
  <c r="F629" i="1"/>
  <c r="F707" i="1"/>
  <c r="F699" i="1"/>
  <c r="F638" i="1"/>
  <c r="F668" i="1"/>
  <c r="F713" i="1"/>
  <c r="F690" i="1"/>
  <c r="F683" i="1"/>
  <c r="F635" i="1"/>
  <c r="F643" i="1"/>
  <c r="F670" i="1"/>
  <c r="F646" i="1"/>
  <c r="F675" i="1"/>
  <c r="F630" i="1"/>
  <c r="F705" i="1"/>
  <c r="F677" i="1"/>
  <c r="F669" i="1"/>
  <c r="F706" i="1"/>
  <c r="F678" i="1"/>
  <c r="F695" i="1"/>
  <c r="F633" i="1"/>
  <c r="F684" i="1"/>
  <c r="F697" i="1"/>
  <c r="F682" i="1"/>
  <c r="F687" i="1"/>
  <c r="F686" i="1"/>
  <c r="F692" i="1"/>
  <c r="F681" i="1"/>
  <c r="F674" i="1"/>
  <c r="F640" i="1"/>
  <c r="F689" i="1"/>
  <c r="F685" i="1"/>
  <c r="F636" i="1"/>
  <c r="F647" i="1"/>
  <c r="F702" i="1"/>
  <c r="F626" i="1"/>
  <c r="F688" i="1"/>
  <c r="F672" i="1"/>
  <c r="F634" i="1"/>
  <c r="F716" i="1"/>
  <c r="F625" i="1"/>
  <c r="G625" i="1" s="1"/>
  <c r="F679" i="1"/>
  <c r="F631" i="1"/>
  <c r="F709" i="1"/>
  <c r="F676" i="1"/>
  <c r="F703" i="1"/>
  <c r="F712" i="1"/>
  <c r="F696" i="1"/>
  <c r="F701" i="1"/>
  <c r="F704" i="1"/>
  <c r="F711" i="1"/>
  <c r="F698" i="1"/>
  <c r="F691" i="1"/>
  <c r="F642" i="1"/>
  <c r="F671" i="1"/>
  <c r="F645" i="1"/>
  <c r="F641" i="1"/>
  <c r="F628" i="1"/>
  <c r="F639" i="1"/>
  <c r="F708" i="1"/>
  <c r="E715" i="1"/>
  <c r="F715" i="1" l="1"/>
  <c r="G712" i="1"/>
  <c r="G693" i="1"/>
  <c r="G691" i="1"/>
  <c r="G692" i="1"/>
  <c r="G683" i="1"/>
  <c r="G675" i="1"/>
  <c r="G635" i="1"/>
  <c r="G643" i="1"/>
  <c r="G708" i="1"/>
  <c r="G674" i="1"/>
  <c r="G632" i="1"/>
  <c r="G686" i="1"/>
  <c r="G629" i="1"/>
  <c r="G711" i="1"/>
  <c r="G638" i="1"/>
  <c r="G688" i="1"/>
  <c r="G706" i="1"/>
  <c r="G626" i="1"/>
  <c r="G670" i="1"/>
  <c r="G701" i="1"/>
  <c r="G647" i="1"/>
  <c r="G637" i="1"/>
  <c r="G685" i="1"/>
  <c r="G699" i="1"/>
  <c r="G676" i="1"/>
  <c r="G700" i="1"/>
  <c r="G695" i="1"/>
  <c r="G644" i="1"/>
  <c r="G642" i="1"/>
  <c r="G630" i="1"/>
  <c r="G673" i="1"/>
  <c r="G677" i="1"/>
  <c r="G668" i="1"/>
  <c r="G704" i="1"/>
  <c r="G713" i="1"/>
  <c r="G641" i="1"/>
  <c r="G628" i="1"/>
  <c r="G696" i="1"/>
  <c r="G705" i="1"/>
  <c r="G671" i="1"/>
  <c r="G681" i="1"/>
  <c r="G646" i="1"/>
  <c r="G640" i="1"/>
  <c r="G710" i="1"/>
  <c r="G702" i="1"/>
  <c r="G679" i="1"/>
  <c r="G669" i="1"/>
  <c r="G680" i="1"/>
  <c r="G698" i="1"/>
  <c r="G703" i="1"/>
  <c r="G627" i="1"/>
  <c r="G684" i="1"/>
  <c r="G678" i="1"/>
  <c r="G716" i="1"/>
  <c r="G697" i="1"/>
  <c r="G707" i="1"/>
  <c r="G709" i="1"/>
  <c r="G687" i="1"/>
  <c r="G682" i="1"/>
  <c r="G672" i="1"/>
  <c r="G634" i="1"/>
  <c r="G689" i="1"/>
  <c r="G636" i="1"/>
  <c r="G645" i="1"/>
  <c r="G631" i="1"/>
  <c r="G633" i="1"/>
  <c r="G639" i="1"/>
  <c r="G694" i="1"/>
  <c r="G690" i="1"/>
  <c r="H628" i="1" l="1"/>
  <c r="H684" i="1" s="1"/>
  <c r="G715" i="1"/>
  <c r="H716" i="1" l="1"/>
  <c r="H636" i="1"/>
  <c r="H709" i="1"/>
  <c r="H682" i="1"/>
  <c r="H711" i="1"/>
  <c r="H700" i="1"/>
  <c r="H677" i="1"/>
  <c r="H681" i="1"/>
  <c r="H704" i="1"/>
  <c r="H641" i="1"/>
  <c r="H640" i="1"/>
  <c r="H712" i="1"/>
  <c r="H675" i="1"/>
  <c r="H646" i="1"/>
  <c r="H695" i="1"/>
  <c r="H707" i="1"/>
  <c r="H685" i="1"/>
  <c r="H669" i="1"/>
  <c r="H683" i="1"/>
  <c r="H706" i="1"/>
  <c r="H693" i="1"/>
  <c r="H678" i="1"/>
  <c r="H642" i="1"/>
  <c r="H638" i="1"/>
  <c r="H692" i="1"/>
  <c r="H643" i="1"/>
  <c r="H635" i="1"/>
  <c r="H679" i="1"/>
  <c r="H668" i="1"/>
  <c r="H686" i="1"/>
  <c r="H672" i="1"/>
  <c r="H632" i="1"/>
  <c r="H676" i="1"/>
  <c r="H691" i="1"/>
  <c r="H633" i="1"/>
  <c r="H645" i="1"/>
  <c r="H710" i="1"/>
  <c r="H689" i="1"/>
  <c r="H705" i="1"/>
  <c r="H687" i="1"/>
  <c r="H673" i="1"/>
  <c r="H629" i="1"/>
  <c r="I629" i="1" s="1"/>
  <c r="I698" i="1" s="1"/>
  <c r="H697" i="1"/>
  <c r="H631" i="1"/>
  <c r="H680" i="1"/>
  <c r="H647" i="1"/>
  <c r="H694" i="1"/>
  <c r="H670" i="1"/>
  <c r="H699" i="1"/>
  <c r="H639" i="1"/>
  <c r="H713" i="1"/>
  <c r="H703" i="1"/>
  <c r="H701" i="1"/>
  <c r="H702" i="1"/>
  <c r="H671" i="1"/>
  <c r="H696" i="1"/>
  <c r="H637" i="1"/>
  <c r="H708" i="1"/>
  <c r="H688" i="1"/>
  <c r="H698" i="1"/>
  <c r="H690" i="1"/>
  <c r="H630" i="1"/>
  <c r="H644" i="1"/>
  <c r="H674" i="1"/>
  <c r="H634" i="1"/>
  <c r="I686" i="1" l="1"/>
  <c r="I700" i="1"/>
  <c r="I640" i="1"/>
  <c r="I644" i="1"/>
  <c r="I681" i="1"/>
  <c r="I685" i="1"/>
  <c r="I634" i="1"/>
  <c r="I699" i="1"/>
  <c r="I669" i="1"/>
  <c r="I638" i="1"/>
  <c r="I637" i="1"/>
  <c r="I697" i="1"/>
  <c r="I711" i="1"/>
  <c r="I701" i="1"/>
  <c r="I633" i="1"/>
  <c r="I689" i="1"/>
  <c r="I713" i="1"/>
  <c r="I674" i="1"/>
  <c r="I691" i="1"/>
  <c r="I702" i="1"/>
  <c r="I645" i="1"/>
  <c r="I668" i="1"/>
  <c r="I642" i="1"/>
  <c r="I705" i="1"/>
  <c r="I703" i="1"/>
  <c r="I693" i="1"/>
  <c r="I678" i="1"/>
  <c r="I683" i="1"/>
  <c r="I675" i="1"/>
  <c r="I708" i="1"/>
  <c r="I692" i="1"/>
  <c r="I679" i="1"/>
  <c r="I687" i="1"/>
  <c r="I673" i="1"/>
  <c r="I632" i="1"/>
  <c r="I635" i="1"/>
  <c r="I716" i="1"/>
  <c r="I636" i="1"/>
  <c r="I690" i="1"/>
  <c r="I707" i="1"/>
  <c r="I670" i="1"/>
  <c r="I704" i="1"/>
  <c r="I696" i="1"/>
  <c r="I641" i="1"/>
  <c r="I676" i="1"/>
  <c r="I672" i="1"/>
  <c r="I712" i="1"/>
  <c r="I710" i="1"/>
  <c r="I709" i="1"/>
  <c r="I688" i="1"/>
  <c r="I694" i="1"/>
  <c r="I639" i="1"/>
  <c r="I682" i="1"/>
  <c r="I671" i="1"/>
  <c r="I647" i="1"/>
  <c r="I643" i="1"/>
  <c r="I677" i="1"/>
  <c r="I706" i="1"/>
  <c r="I630" i="1"/>
  <c r="J630" i="1" s="1"/>
  <c r="I646" i="1"/>
  <c r="I680" i="1"/>
  <c r="I684" i="1"/>
  <c r="I695" i="1"/>
  <c r="I631" i="1"/>
  <c r="H715" i="1"/>
  <c r="J637" i="1" l="1"/>
  <c r="J645" i="1"/>
  <c r="J707" i="1"/>
  <c r="J644" i="1"/>
  <c r="J700" i="1"/>
  <c r="J693" i="1"/>
  <c r="J682" i="1"/>
  <c r="J674" i="1"/>
  <c r="J685" i="1"/>
  <c r="J708" i="1"/>
  <c r="J678" i="1"/>
  <c r="J673" i="1"/>
  <c r="J686" i="1"/>
  <c r="J705" i="1"/>
  <c r="J697" i="1"/>
  <c r="J698" i="1"/>
  <c r="J646" i="1"/>
  <c r="J676" i="1"/>
  <c r="J687" i="1"/>
  <c r="J632" i="1"/>
  <c r="J701" i="1"/>
  <c r="J692" i="1"/>
  <c r="J710" i="1"/>
  <c r="J679" i="1"/>
  <c r="J633" i="1"/>
  <c r="J713" i="1"/>
  <c r="J688" i="1"/>
  <c r="J672" i="1"/>
  <c r="J684" i="1"/>
  <c r="J712" i="1"/>
  <c r="J680" i="1"/>
  <c r="J671" i="1"/>
  <c r="J642" i="1"/>
  <c r="J699" i="1"/>
  <c r="J639" i="1"/>
  <c r="J669" i="1"/>
  <c r="J640" i="1"/>
  <c r="J675" i="1"/>
  <c r="J641" i="1"/>
  <c r="J711" i="1"/>
  <c r="J636" i="1"/>
  <c r="J643" i="1"/>
  <c r="J703" i="1"/>
  <c r="J677" i="1"/>
  <c r="J631" i="1"/>
  <c r="J638" i="1"/>
  <c r="J706" i="1"/>
  <c r="J634" i="1"/>
  <c r="J716" i="1"/>
  <c r="J704" i="1"/>
  <c r="J681" i="1"/>
  <c r="J694" i="1"/>
  <c r="J690" i="1"/>
  <c r="J647" i="1"/>
  <c r="J696" i="1"/>
  <c r="I715" i="1"/>
  <c r="J702" i="1"/>
  <c r="J689" i="1"/>
  <c r="J683" i="1"/>
  <c r="J668" i="1"/>
  <c r="J635" i="1"/>
  <c r="J670" i="1"/>
  <c r="J691" i="1"/>
  <c r="J695" i="1"/>
  <c r="J709" i="1"/>
  <c r="L647" i="1" l="1"/>
  <c r="L694" i="1" s="1"/>
  <c r="J715" i="1"/>
  <c r="K644" i="1"/>
  <c r="K684" i="1" s="1"/>
  <c r="L701" i="1" l="1"/>
  <c r="L700" i="1"/>
  <c r="L672" i="1"/>
  <c r="L680" i="1"/>
  <c r="L670" i="1"/>
  <c r="L682" i="1"/>
  <c r="L695" i="1"/>
  <c r="L675" i="1"/>
  <c r="L706" i="1"/>
  <c r="L711" i="1"/>
  <c r="L705" i="1"/>
  <c r="K689" i="1"/>
  <c r="K691" i="1"/>
  <c r="K678" i="1"/>
  <c r="K710" i="1"/>
  <c r="K674" i="1"/>
  <c r="K675" i="1"/>
  <c r="K707" i="1"/>
  <c r="K700" i="1"/>
  <c r="K709" i="1"/>
  <c r="K687" i="1"/>
  <c r="K701" i="1"/>
  <c r="L713" i="1"/>
  <c r="L709" i="1"/>
  <c r="K696" i="1"/>
  <c r="K697" i="1"/>
  <c r="K679" i="1"/>
  <c r="K690" i="1"/>
  <c r="L703" i="1"/>
  <c r="K670" i="1"/>
  <c r="K705" i="1"/>
  <c r="K698" i="1"/>
  <c r="K712" i="1"/>
  <c r="L668" i="1"/>
  <c r="L674" i="1"/>
  <c r="L676" i="1"/>
  <c r="L679" i="1"/>
  <c r="L707" i="1"/>
  <c r="L716" i="1"/>
  <c r="L708" i="1"/>
  <c r="L685" i="1"/>
  <c r="L671" i="1"/>
  <c r="L698" i="1"/>
  <c r="L712" i="1"/>
  <c r="L686" i="1"/>
  <c r="L693" i="1"/>
  <c r="L683" i="1"/>
  <c r="L697" i="1"/>
  <c r="L692" i="1"/>
  <c r="L684" i="1"/>
  <c r="M684" i="1" s="1"/>
  <c r="E87" i="9" s="1"/>
  <c r="L687" i="1"/>
  <c r="L691" i="1"/>
  <c r="L673" i="1"/>
  <c r="L688" i="1"/>
  <c r="L699" i="1"/>
  <c r="L710" i="1"/>
  <c r="L704" i="1"/>
  <c r="L690" i="1"/>
  <c r="L678" i="1"/>
  <c r="L689" i="1"/>
  <c r="L702" i="1"/>
  <c r="L677" i="1"/>
  <c r="L669" i="1"/>
  <c r="L681" i="1"/>
  <c r="L696" i="1"/>
  <c r="K716" i="1"/>
  <c r="K704" i="1"/>
  <c r="K677" i="1"/>
  <c r="K680" i="1"/>
  <c r="K703" i="1"/>
  <c r="K708" i="1"/>
  <c r="K669" i="1"/>
  <c r="K668" i="1"/>
  <c r="K686" i="1"/>
  <c r="K713" i="1"/>
  <c r="K695" i="1"/>
  <c r="K685" i="1"/>
  <c r="K671" i="1"/>
  <c r="M671" i="1" s="1"/>
  <c r="K702" i="1"/>
  <c r="K694" i="1"/>
  <c r="M694" i="1" s="1"/>
  <c r="K692" i="1"/>
  <c r="K681" i="1"/>
  <c r="K711" i="1"/>
  <c r="K688" i="1"/>
  <c r="K672" i="1"/>
  <c r="K706" i="1"/>
  <c r="K693" i="1"/>
  <c r="K676" i="1"/>
  <c r="M676" i="1" s="1"/>
  <c r="D55" i="9" s="1"/>
  <c r="K683" i="1"/>
  <c r="K673" i="1"/>
  <c r="K682" i="1"/>
  <c r="K699" i="1"/>
  <c r="M701" i="1" l="1"/>
  <c r="M709" i="1"/>
  <c r="M700" i="1"/>
  <c r="M672" i="1"/>
  <c r="M690" i="1"/>
  <c r="M697" i="1"/>
  <c r="D151" i="9" s="1"/>
  <c r="M682" i="1"/>
  <c r="M711" i="1"/>
  <c r="D215" i="9" s="1"/>
  <c r="H119" i="9"/>
  <c r="M693" i="1"/>
  <c r="G119" i="9" s="1"/>
  <c r="M670" i="1"/>
  <c r="E23" i="9" s="1"/>
  <c r="M706" i="1"/>
  <c r="F183" i="9" s="1"/>
  <c r="M680" i="1"/>
  <c r="H55" i="9" s="1"/>
  <c r="M695" i="1"/>
  <c r="I119" i="9" s="1"/>
  <c r="M689" i="1"/>
  <c r="C119" i="9" s="1"/>
  <c r="M710" i="1"/>
  <c r="M691" i="1"/>
  <c r="E119" i="9" s="1"/>
  <c r="M678" i="1"/>
  <c r="M699" i="1"/>
  <c r="F151" i="9" s="1"/>
  <c r="M688" i="1"/>
  <c r="M668" i="1"/>
  <c r="M702" i="1"/>
  <c r="I151" i="9" s="1"/>
  <c r="M713" i="1"/>
  <c r="M708" i="1"/>
  <c r="H183" i="9" s="1"/>
  <c r="M704" i="1"/>
  <c r="M674" i="1"/>
  <c r="M705" i="1"/>
  <c r="M675" i="1"/>
  <c r="M712" i="1"/>
  <c r="M679" i="1"/>
  <c r="M686" i="1"/>
  <c r="M692" i="1"/>
  <c r="F119" i="9" s="1"/>
  <c r="M685" i="1"/>
  <c r="M698" i="1"/>
  <c r="F23" i="9"/>
  <c r="M673" i="1"/>
  <c r="M681" i="1"/>
  <c r="M707" i="1"/>
  <c r="G183" i="9" s="1"/>
  <c r="M669" i="1"/>
  <c r="D23" i="9" s="1"/>
  <c r="M687" i="1"/>
  <c r="H87" i="9" s="1"/>
  <c r="F55" i="9"/>
  <c r="M703" i="1"/>
  <c r="M677" i="1"/>
  <c r="M696" i="1"/>
  <c r="M683" i="1"/>
  <c r="L715" i="1"/>
  <c r="D183" i="9"/>
  <c r="K715" i="1"/>
  <c r="H151" i="9" l="1"/>
  <c r="C87" i="9"/>
  <c r="G151" i="9"/>
  <c r="I183" i="9"/>
  <c r="D119" i="9"/>
  <c r="G23" i="9"/>
  <c r="E151" i="9"/>
  <c r="C23" i="9"/>
  <c r="C215" i="9"/>
  <c r="C55" i="9"/>
  <c r="I87" i="9"/>
  <c r="C183" i="9"/>
  <c r="F215" i="9"/>
  <c r="E183" i="9"/>
  <c r="I23" i="9"/>
  <c r="G55" i="9"/>
  <c r="E215" i="9"/>
  <c r="I55" i="9"/>
  <c r="G87" i="9"/>
  <c r="F87" i="9"/>
  <c r="H23" i="9"/>
  <c r="D87" i="9"/>
  <c r="M715" i="1"/>
  <c r="C151" i="9"/>
  <c r="E55" i="9"/>
</calcChain>
</file>

<file path=xl/sharedStrings.xml><?xml version="1.0" encoding="utf-8"?>
<sst xmlns="http://schemas.openxmlformats.org/spreadsheetml/2006/main" count="4678" uniqueCount="1286">
  <si>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</si>
  <si>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</si>
  <si>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</si>
  <si>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</si>
  <si>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</si>
  <si>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</si>
  <si>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</si>
  <si>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</si>
  <si>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</si>
  <si>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</si>
  <si>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</si>
  <si>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</si>
  <si>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</si>
  <si>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</si>
  <si>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</si>
  <si>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</si>
  <si>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</si>
  <si>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</si>
  <si>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</si>
  <si>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</si>
  <si>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</si>
  <si>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</si>
  <si>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</si>
  <si>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</si>
  <si>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</si>
  <si>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</si>
  <si>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</si>
  <si>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</si>
  <si>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</si>
  <si>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</si>
  <si>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</si>
  <si>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</si>
  <si>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</si>
  <si>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</si>
  <si>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</si>
  <si>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</si>
  <si>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</si>
  <si>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</si>
  <si>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</si>
  <si>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</si>
  <si>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</si>
  <si>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</si>
  <si>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</si>
  <si>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</si>
  <si>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</si>
  <si>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</si>
  <si>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</si>
  <si>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</si>
  <si>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</si>
  <si>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</si>
  <si>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</si>
  <si>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</si>
  <si>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</si>
  <si>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</si>
  <si>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</si>
  <si>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</si>
  <si>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</si>
  <si>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</si>
  <si>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</si>
  <si>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</si>
  <si>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</si>
  <si>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</si>
  <si>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</si>
  <si>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</si>
  <si>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</si>
  <si>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</si>
  <si>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</si>
  <si>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</si>
  <si>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</si>
  <si>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</si>
  <si>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</si>
  <si>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</si>
  <si>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</si>
  <si>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</si>
  <si>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</si>
  <si>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</si>
  <si>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</si>
  <si>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</si>
  <si>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</si>
  <si>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</si>
  <si>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</si>
  <si>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</si>
  <si>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</si>
  <si>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</si>
  <si>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</si>
  <si>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</si>
  <si>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</si>
  <si>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</si>
  <si>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</si>
  <si>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</si>
  <si>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</si>
  <si>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</si>
  <si>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</si>
  <si>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</si>
  <si>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</si>
  <si>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</si>
  <si>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</si>
  <si>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</si>
  <si>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</si>
  <si>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</si>
  <si>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</si>
  <si>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</si>
  <si>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</si>
  <si>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</si>
  <si>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</si>
  <si>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</si>
  <si>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</si>
  <si>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</si>
  <si>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</si>
  <si>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</si>
  <si>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</si>
  <si>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</si>
  <si>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</si>
  <si>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</si>
  <si>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</si>
  <si>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</si>
  <si>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</si>
  <si>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</si>
  <si>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</si>
  <si>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</si>
  <si>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</si>
  <si>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</si>
  <si>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</si>
  <si>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</si>
  <si>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</si>
  <si>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</si>
  <si>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</si>
  <si>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</si>
  <si>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</si>
  <si>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</si>
  <si>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</si>
  <si>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</si>
  <si>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</si>
  <si>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</si>
  <si>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</si>
  <si>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</si>
  <si>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</si>
  <si>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</si>
  <si>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</si>
  <si>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</si>
  <si>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</si>
  <si>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</si>
  <si>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</si>
  <si>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</si>
  <si>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</si>
  <si>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</si>
  <si>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</si>
  <si>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</si>
  <si>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</si>
  <si>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</si>
  <si>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</si>
  <si>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</si>
  <si>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</si>
  <si>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</si>
  <si>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</si>
  <si>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</si>
  <si>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</si>
  <si>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</si>
  <si>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</si>
  <si>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</si>
  <si>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</si>
  <si>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</si>
  <si>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</si>
  <si>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</si>
  <si>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</si>
  <si>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</si>
  <si>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</si>
  <si>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</si>
  <si>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</si>
  <si>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</si>
  <si>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</si>
  <si>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</si>
  <si>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</si>
  <si>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</si>
  <si>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</si>
  <si>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</si>
  <si>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</si>
  <si>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</si>
  <si>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</si>
  <si>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</si>
  <si>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</si>
  <si>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</si>
  <si>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</si>
  <si>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</si>
  <si>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</si>
  <si>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</si>
  <si>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</si>
  <si>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</si>
  <si>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</si>
  <si>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</si>
  <si>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</si>
  <si>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</si>
  <si>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</si>
  <si>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</si>
  <si>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</si>
  <si>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</si>
  <si>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</si>
  <si>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</si>
  <si>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</si>
  <si>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</si>
  <si>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</si>
  <si>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</si>
  <si>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</si>
  <si>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</si>
  <si>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</si>
  <si>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</si>
  <si>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</si>
  <si>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</si>
  <si>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</si>
  <si>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</si>
  <si>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</si>
  <si>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</si>
  <si>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</si>
  <si>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</si>
  <si>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</si>
  <si>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</si>
  <si>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</si>
  <si>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</si>
  <si>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</si>
  <si>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</si>
  <si>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</si>
  <si>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</si>
  <si>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</si>
  <si>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</si>
  <si>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</si>
  <si>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</si>
  <si>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</si>
  <si>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</si>
  <si>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</si>
  <si>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</si>
  <si>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</si>
  <si>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</si>
  <si>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</si>
  <si>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</si>
  <si>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</si>
  <si>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</si>
  <si>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</si>
  <si>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</si>
  <si>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</si>
  <si>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</si>
  <si>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</si>
  <si>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</si>
  <si>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</si>
  <si>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</si>
  <si>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</si>
  <si>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</si>
  <si>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</si>
  <si>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</si>
  <si>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</si>
  <si>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</si>
  <si>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</si>
  <si>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</si>
  <si>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</si>
  <si>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</si>
  <si>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</si>
  <si>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</si>
  <si>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</si>
  <si>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</si>
  <si>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</si>
  <si>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</si>
  <si>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</si>
  <si>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</si>
  <si>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</si>
  <si>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</si>
  <si>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</si>
  <si>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</si>
  <si>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</si>
  <si>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</si>
  <si>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</si>
  <si>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</si>
  <si>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</si>
  <si>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</si>
  <si>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</si>
  <si>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</si>
  <si>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</si>
  <si>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</si>
  <si>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</si>
  <si>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</si>
  <si>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</si>
  <si>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</si>
  <si>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</si>
  <si>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</si>
  <si>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</si>
  <si>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</si>
  <si>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</si>
  <si>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</si>
  <si>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</si>
  <si>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</si>
  <si>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</si>
  <si>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</si>
  <si>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</si>
  <si>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</si>
  <si>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</si>
  <si>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</si>
  <si>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</si>
  <si>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</si>
  <si>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</si>
  <si>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</si>
  <si>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</si>
  <si>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</si>
  <si>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</si>
  <si>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</si>
  <si>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</si>
  <si>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</si>
  <si>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</si>
  <si>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</si>
  <si>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</si>
  <si>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</si>
  <si>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</si>
  <si>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</si>
  <si>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</si>
  <si>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</si>
  <si>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</si>
  <si>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</si>
  <si>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</si>
  <si>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</si>
  <si>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</si>
  <si>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</si>
  <si>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</si>
  <si>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</si>
  <si>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</si>
  <si>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</si>
  <si>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</si>
  <si>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</si>
  <si>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</si>
  <si>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</si>
  <si>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</si>
  <si>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</si>
  <si>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</si>
  <si>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</si>
  <si>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</si>
  <si>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</si>
  <si>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</si>
  <si>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</si>
  <si>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</si>
  <si>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</si>
  <si>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</si>
  <si>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</si>
  <si>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</si>
  <si>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</si>
  <si>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</si>
  <si>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</si>
  <si>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</si>
  <si>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</si>
  <si>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</si>
  <si>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</si>
  <si>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</si>
  <si>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</si>
  <si>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</si>
  <si>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</si>
  <si>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</si>
  <si>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</si>
  <si>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</si>
  <si>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</si>
  <si>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</si>
  <si>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</si>
  <si>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</si>
  <si>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</si>
  <si>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</si>
  <si>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</si>
  <si>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</si>
  <si>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</si>
  <si>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</si>
  <si>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</si>
  <si>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</si>
  <si>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</si>
  <si>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</si>
  <si>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</si>
  <si>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</si>
  <si>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</si>
  <si>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</si>
  <si>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</si>
  <si>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</si>
  <si>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</si>
  <si>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</si>
  <si>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</si>
  <si>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</si>
  <si>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</si>
  <si>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</si>
  <si>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</si>
  <si>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</si>
  <si>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</si>
  <si>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</si>
  <si>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</si>
  <si>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</si>
  <si>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</si>
  <si>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</si>
  <si>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</si>
  <si>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</si>
  <si>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</si>
  <si>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</si>
  <si>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</si>
  <si>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</si>
  <si>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</si>
  <si>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</si>
  <si>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</si>
  <si>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</si>
  <si>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</si>
  <si>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</si>
  <si>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</si>
  <si>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</si>
  <si>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</si>
  <si>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</si>
  <si>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</si>
  <si>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</si>
  <si>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</si>
  <si>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</si>
  <si>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</si>
  <si>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</si>
  <si>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</si>
  <si>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</si>
  <si>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</si>
  <si>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</si>
  <si>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</si>
  <si>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</si>
  <si>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</si>
  <si>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</si>
  <si>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</si>
  <si>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</si>
  <si>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</si>
  <si>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</si>
  <si>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</si>
  <si>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</si>
  <si>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</si>
  <si>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</si>
  <si>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</si>
  <si>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</si>
  <si>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</si>
  <si>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</si>
  <si>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</si>
  <si>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</si>
  <si>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</si>
  <si>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</si>
  <si>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</si>
  <si>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</si>
  <si>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</si>
  <si>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</si>
  <si>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</si>
  <si>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</si>
  <si>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</si>
  <si>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</si>
  <si>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</si>
  <si>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</si>
  <si>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</si>
  <si>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</si>
  <si>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</si>
  <si>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</si>
  <si>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</si>
  <si>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</si>
  <si>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</si>
  <si>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</si>
  <si>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</si>
  <si>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</si>
  <si>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</si>
  <si>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</si>
  <si>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</si>
  <si>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</si>
  <si>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</si>
  <si>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</si>
  <si>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</si>
  <si>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</si>
  <si>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</si>
  <si>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</si>
  <si>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</si>
  <si>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</si>
  <si>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</si>
  <si>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</si>
  <si>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</si>
  <si>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</si>
  <si>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</si>
  <si>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</si>
  <si>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</si>
  <si>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</si>
  <si>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</si>
  <si>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</si>
  <si>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</si>
  <si>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</si>
  <si>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</si>
  <si>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</si>
  <si>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</si>
  <si>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</si>
  <si>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</si>
  <si>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</si>
  <si>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</si>
  <si>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</si>
  <si>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</si>
  <si>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</si>
  <si>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</si>
  <si>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</si>
  <si>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</si>
  <si>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</si>
  <si>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</si>
  <si>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</si>
  <si>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</si>
  <si>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</si>
  <si>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</si>
  <si>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</si>
  <si>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</si>
  <si>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</si>
  <si>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</si>
  <si>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</si>
  <si>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</si>
  <si>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</si>
  <si>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</si>
  <si>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</si>
  <si>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</si>
  <si>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</si>
  <si>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</si>
  <si>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</si>
  <si>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</si>
  <si>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</si>
  <si>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</si>
  <si>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</si>
  <si>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</si>
  <si>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</si>
  <si>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</si>
  <si>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</si>
  <si>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</si>
  <si>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</si>
  <si>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</si>
  <si>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</si>
  <si>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</si>
  <si>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</si>
  <si>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</si>
  <si>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</si>
  <si>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</si>
  <si>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</si>
  <si>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</si>
  <si>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</si>
  <si>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</si>
  <si>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</si>
  <si>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</si>
  <si>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</si>
  <si>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</si>
  <si>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</si>
  <si>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</si>
  <si>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</si>
  <si>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</si>
  <si>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</si>
  <si>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</si>
  <si>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</si>
  <si>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</si>
  <si>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</si>
  <si>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</si>
  <si>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</si>
  <si>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</si>
  <si>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</si>
  <si>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</si>
  <si>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</si>
  <si>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</si>
  <si>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</si>
  <si>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</si>
  <si>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</si>
  <si>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</si>
  <si>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</si>
  <si>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</si>
  <si>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</si>
  <si>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</si>
  <si>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</si>
  <si>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</si>
  <si>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</si>
  <si>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</si>
  <si>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</si>
  <si>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</si>
  <si>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</si>
  <si>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</si>
  <si>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</si>
  <si>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</si>
  <si>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</si>
  <si>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</si>
  <si>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</si>
  <si>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</si>
  <si>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</si>
  <si>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</si>
  <si>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</si>
  <si>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</si>
  <si>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</si>
  <si>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</si>
  <si>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</si>
  <si>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</si>
  <si>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</si>
  <si>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</si>
  <si>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</si>
  <si>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</si>
  <si>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</si>
  <si>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</si>
  <si>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</si>
  <si>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</si>
  <si>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</si>
  <si>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</si>
  <si>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</si>
  <si>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</si>
  <si>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</si>
  <si>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</si>
  <si>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</si>
  <si>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</si>
  <si>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</si>
  <si>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</si>
  <si>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</si>
  <si>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</si>
  <si>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</si>
  <si>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</si>
  <si>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</si>
  <si>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</si>
  <si>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</si>
  <si>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</si>
  <si>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</si>
  <si>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</si>
  <si>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</si>
  <si>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</si>
  <si>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</si>
  <si>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</si>
  <si>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</si>
  <si>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</si>
  <si>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</si>
  <si>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</si>
  <si>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</si>
  <si>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</si>
  <si>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</si>
  <si>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</si>
  <si>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</si>
  <si>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</si>
  <si>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</si>
  <si>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</si>
  <si>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</si>
  <si>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</si>
  <si>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</si>
  <si>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</si>
  <si>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</si>
  <si>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</si>
  <si>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</si>
  <si>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</si>
  <si>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</si>
  <si>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</si>
  <si>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</si>
  <si>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</si>
  <si>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</si>
  <si>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</si>
  <si>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</si>
  <si>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</si>
  <si>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</si>
  <si>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</si>
  <si>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</si>
  <si>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</si>
  <si>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</si>
  <si>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</si>
  <si>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</si>
  <si>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</si>
  <si>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</si>
  <si>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</si>
  <si>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</si>
  <si>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</si>
  <si>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</si>
  <si>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</si>
  <si>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</si>
  <si>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</si>
  <si>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</si>
  <si>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</si>
  <si>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</si>
  <si>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</si>
  <si>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</si>
  <si>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</si>
  <si>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</si>
  <si>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</si>
  <si>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</si>
  <si>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</si>
  <si>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</si>
  <si>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</si>
  <si>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</si>
  <si>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</si>
  <si>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</si>
  <si>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</si>
  <si>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</si>
  <si>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</si>
  <si>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</si>
  <si>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</si>
  <si>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</si>
  <si>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</si>
  <si>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</si>
  <si>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</si>
  <si>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</si>
  <si>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</si>
  <si>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</si>
  <si>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</si>
  <si>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</si>
  <si>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</si>
  <si>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</si>
  <si>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</si>
  <si>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</si>
  <si>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</si>
  <si>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</si>
  <si>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</si>
  <si>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</si>
  <si>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</si>
  <si>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</si>
  <si>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</si>
  <si>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</si>
  <si>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</si>
  <si>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</si>
  <si>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</si>
  <si>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</si>
  <si>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</si>
  <si>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</si>
  <si>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</si>
  <si>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</si>
  <si>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</si>
  <si>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</si>
  <si>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</si>
  <si>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</si>
  <si>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</si>
  <si>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</si>
  <si>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</si>
  <si>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</si>
  <si>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</si>
  <si>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</si>
  <si>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</si>
  <si>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</si>
  <si>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</si>
  <si>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</si>
  <si>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</si>
  <si>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</si>
  <si>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</si>
  <si>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</si>
  <si>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</si>
  <si>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</si>
  <si>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</si>
  <si>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</si>
  <si>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</si>
  <si>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</si>
  <si>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</si>
  <si>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</si>
  <si>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</si>
  <si>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</si>
  <si>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</si>
  <si>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</si>
  <si>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</si>
  <si>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</si>
  <si>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</si>
  <si>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</si>
  <si>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</si>
  <si>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</si>
  <si>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</si>
  <si>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</si>
  <si>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</si>
  <si>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</si>
  <si>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</si>
  <si>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</si>
  <si>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</si>
  <si>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</si>
  <si>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</si>
  <si>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</si>
  <si>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</si>
  <si>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</si>
  <si>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</si>
  <si>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</si>
  <si>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</si>
  <si>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</si>
  <si>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</si>
  <si>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</si>
  <si>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</si>
  <si>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</si>
  <si>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</si>
  <si>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</si>
  <si>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</si>
  <si>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</si>
  <si>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</si>
  <si>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</si>
  <si>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</si>
  <si>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</si>
  <si>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</si>
  <si>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</si>
  <si>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</si>
  <si>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</si>
  <si>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</si>
  <si>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</si>
  <si>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</si>
  <si>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</si>
  <si>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</si>
  <si>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</si>
  <si>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</si>
  <si>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</si>
  <si>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</si>
  <si>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</si>
  <si>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</si>
  <si>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</si>
  <si>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</si>
  <si>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</si>
  <si>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</si>
  <si>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</si>
  <si>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</si>
  <si>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</si>
  <si>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</si>
  <si>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</si>
  <si>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</si>
  <si>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</si>
  <si>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</si>
  <si>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</si>
  <si>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</si>
  <si>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</si>
  <si>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</si>
  <si>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</si>
  <si>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</si>
  <si>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</si>
  <si>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</si>
  <si>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</si>
  <si>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</si>
  <si>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</si>
  <si>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</si>
  <si>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</si>
  <si>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</si>
  <si>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</si>
  <si>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</si>
  <si>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</si>
  <si>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</si>
  <si>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</si>
  <si>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</si>
  <si>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</si>
  <si>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</si>
  <si>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</si>
  <si>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</si>
  <si>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</si>
  <si>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</si>
  <si>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</si>
  <si>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</si>
  <si>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</si>
  <si>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</si>
  <si>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</si>
  <si>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</si>
  <si>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</si>
  <si>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</si>
  <si>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</si>
  <si>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</si>
  <si>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</si>
  <si>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</si>
  <si>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</si>
  <si>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</si>
  <si>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</si>
  <si>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</si>
  <si>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</si>
  <si>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</si>
  <si>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</si>
  <si>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</si>
  <si>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</si>
  <si>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</si>
  <si>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</si>
  <si>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</si>
  <si>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</si>
  <si>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</si>
  <si>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</si>
  <si>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</si>
  <si>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</si>
  <si>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</si>
  <si>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</si>
  <si>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</si>
  <si>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</si>
  <si>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</si>
  <si>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</si>
  <si>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</si>
  <si>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</si>
  <si>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</si>
  <si>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</si>
  <si>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</si>
  <si>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</si>
  <si>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</si>
  <si>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</si>
  <si>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</si>
  <si>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</si>
  <si>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</si>
  <si>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</si>
  <si>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</si>
  <si>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</si>
  <si>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</si>
  <si>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</si>
  <si>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</si>
  <si>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</si>
  <si>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</si>
  <si>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</si>
  <si>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</si>
  <si>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</si>
  <si>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</si>
  <si>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</si>
  <si>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</si>
  <si>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</si>
  <si>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</si>
  <si>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</si>
  <si>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</si>
  <si>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</si>
  <si>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</si>
  <si>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</si>
  <si>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</si>
  <si>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</si>
  <si>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</si>
  <si>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</si>
  <si>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</si>
  <si>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</si>
  <si>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</si>
  <si>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</si>
  <si>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</si>
  <si>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</si>
  <si>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</si>
  <si>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</si>
  <si>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</si>
  <si>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</si>
  <si>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</si>
  <si>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</si>
  <si>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</si>
  <si>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</si>
  <si>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</si>
  <si>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</si>
  <si>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</si>
  <si>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</si>
  <si>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</si>
  <si>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</si>
  <si>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</si>
  <si>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</si>
  <si>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</si>
  <si>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</si>
  <si>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</si>
  <si>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</si>
  <si>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</si>
  <si>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</si>
  <si>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</si>
  <si>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</si>
  <si>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</si>
  <si>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</si>
  <si>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</si>
  <si>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</si>
  <si>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</si>
  <si>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</si>
  <si>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</si>
  <si>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</si>
  <si>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</si>
  <si>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</si>
  <si>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</si>
  <si>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</si>
  <si>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</si>
  <si>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</si>
  <si>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</si>
  <si>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</si>
  <si>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</si>
  <si>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</si>
  <si>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</si>
  <si>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</si>
  <si>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</si>
  <si>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</si>
  <si>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</si>
  <si>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</si>
  <si>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</si>
  <si>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</si>
  <si>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</si>
  <si>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</si>
  <si>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</si>
  <si>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</si>
  <si>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</si>
  <si>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</si>
  <si>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</si>
  <si>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</si>
  <si>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</si>
  <si>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</si>
  <si>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</si>
  <si>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</si>
  <si>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</si>
  <si>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</si>
  <si>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</si>
  <si>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</si>
  <si>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</si>
  <si>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</si>
  <si>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</si>
  <si>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</si>
  <si>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</si>
  <si>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</si>
  <si>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</si>
  <si>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</si>
  <si>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</si>
  <si>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</si>
  <si>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</si>
  <si>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</si>
  <si>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</si>
  <si>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</si>
  <si>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</si>
  <si>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</si>
  <si>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</si>
  <si>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</si>
  <si>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</si>
  <si>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</si>
  <si>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</si>
  <si>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</si>
  <si>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</si>
  <si>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</si>
  <si>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</si>
  <si>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</si>
  <si>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</si>
  <si>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</si>
  <si>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</si>
  <si>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</si>
  <si>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</si>
  <si>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</si>
  <si>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</si>
  <si>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</si>
  <si>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</si>
  <si>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</si>
  <si>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</si>
  <si>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</si>
  <si>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</si>
  <si>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</si>
  <si>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</si>
  <si>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</si>
  <si>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</si>
  <si>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</si>
  <si>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</si>
  <si>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</si>
  <si>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</si>
  <si>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</si>
  <si>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</si>
  <si>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</si>
  <si>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</si>
  <si>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</si>
  <si>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</si>
  <si>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</si>
  <si>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</si>
  <si>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</si>
  <si>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</si>
  <si>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</si>
  <si>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</si>
  <si>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</si>
  <si>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</si>
  <si>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</si>
  <si>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</si>
  <si>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</si>
  <si>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</si>
  <si>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</si>
  <si>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</si>
  <si>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</si>
  <si>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</si>
  <si>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</si>
  <si>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</si>
  <si>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</si>
  <si>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</si>
  <si>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</si>
  <si>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</si>
  <si>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</si>
  <si>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</si>
  <si>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</si>
  <si>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</si>
  <si>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</si>
  <si>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</si>
  <si>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</si>
  <si>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</si>
  <si>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</si>
  <si>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</si>
  <si>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</si>
  <si>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</si>
  <si>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</si>
  <si>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</si>
  <si>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</si>
  <si>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</si>
  <si>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</si>
  <si>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</si>
  <si>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</si>
  <si>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</si>
  <si>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</si>
  <si>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</si>
  <si>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</si>
  <si>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</si>
  <si>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</si>
  <si>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</si>
  <si>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</si>
  <si>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</si>
  <si>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</si>
  <si>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</si>
  <si>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</si>
  <si>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</si>
  <si>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</si>
  <si>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</si>
  <si>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</si>
  <si>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</si>
  <si>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</si>
  <si>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</si>
  <si>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</si>
  <si>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</si>
  <si>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</si>
  <si>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</si>
  <si>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</si>
  <si>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</si>
  <si>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</si>
  <si>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</si>
  <si>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</si>
  <si>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</si>
  <si>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</si>
  <si>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</si>
  <si>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</si>
  <si>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</si>
  <si>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</si>
  <si>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</si>
  <si>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</si>
  <si>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</si>
  <si>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</si>
  <si>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</si>
  <si>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</si>
  <si>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</si>
  <si>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</si>
  <si>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</si>
  <si>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</si>
  <si>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</si>
  <si>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</si>
  <si>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</si>
  <si>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</si>
  <si>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</si>
  <si>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</si>
  <si>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</si>
  <si>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</si>
  <si>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</si>
  <si>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</si>
  <si>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</si>
  <si>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</si>
  <si>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</si>
  <si>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</si>
  <si>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</si>
  <si>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</si>
  <si>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</si>
  <si>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</si>
  <si>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</si>
  <si>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</si>
  <si>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</si>
  <si>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</si>
  <si>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</si>
  <si>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</si>
  <si>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</si>
  <si>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</si>
  <si>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</si>
  <si>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</si>
  <si>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</si>
  <si>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</si>
  <si>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</si>
  <si>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</si>
  <si>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</si>
  <si>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</si>
  <si>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</si>
  <si>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</si>
  <si>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</si>
  <si>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</si>
  <si>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</si>
  <si>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</si>
  <si>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</si>
  <si>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</si>
  <si>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</si>
  <si>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</si>
  <si>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</si>
  <si>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</si>
  <si>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</si>
  <si>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</si>
  <si>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</si>
  <si>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</si>
  <si>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</si>
  <si>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</si>
  <si>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</si>
  <si>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</si>
  <si>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</si>
  <si>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</si>
  <si>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</si>
  <si>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</si>
  <si>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</si>
  <si>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</si>
  <si>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</si>
  <si>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</si>
  <si>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</si>
  <si>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</si>
  <si>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</si>
  <si>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</si>
  <si>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</si>
  <si>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</si>
  <si>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</si>
  <si>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</si>
  <si>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</si>
  <si>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</si>
  <si>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</si>
  <si>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</si>
  <si>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</si>
  <si>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</si>
  <si>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</si>
  <si>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</si>
  <si>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</si>
  <si>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</si>
  <si>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</si>
  <si>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</si>
  <si>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</si>
  <si>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</si>
  <si>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</si>
  <si>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</si>
  <si>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</si>
  <si>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</si>
  <si>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</si>
  <si>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</si>
  <si>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</si>
  <si>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</si>
  <si>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</si>
  <si>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</si>
  <si>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</si>
  <si>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</si>
  <si>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</si>
  <si>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</si>
  <si>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</si>
  <si>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</si>
  <si>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</si>
  <si>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</si>
  <si>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</si>
  <si>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</si>
  <si>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</si>
  <si>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</si>
  <si>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</si>
  <si>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</si>
  <si>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</si>
  <si>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</si>
  <si>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</si>
  <si>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</si>
  <si>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</si>
  <si>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</si>
  <si>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</si>
  <si>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</si>
  <si>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</si>
  <si>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</si>
  <si>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</si>
  <si>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</si>
  <si>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</si>
  <si>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</si>
  <si>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</si>
  <si>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</si>
  <si>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</si>
  <si>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</si>
  <si>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</si>
  <si>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</si>
  <si>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</si>
  <si>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</si>
  <si>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</si>
  <si>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</si>
  <si>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</si>
  <si>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</si>
  <si>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</si>
  <si>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</si>
  <si>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</si>
  <si>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</si>
  <si>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</si>
  <si>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</si>
  <si>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</si>
  <si>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</si>
  <si>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</si>
  <si>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</si>
  <si>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</si>
  <si>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</si>
  <si>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</si>
  <si>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</si>
  <si>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</si>
  <si>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</si>
  <si>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</si>
  <si>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</si>
  <si>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</si>
  <si>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</si>
  <si>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</si>
  <si>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</si>
  <si>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</si>
  <si>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</si>
  <si>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</si>
  <si>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</si>
  <si>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</si>
  <si>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</si>
  <si>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</si>
  <si>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06/30/2018</t>
  </si>
  <si>
    <t>2017</t>
  </si>
  <si>
    <t>06/30/2019</t>
  </si>
  <si>
    <t>Cindy Hecker</t>
  </si>
  <si>
    <t>130</t>
  </si>
  <si>
    <t>UW Medicine/Northwest Hospital &amp; Medical Center</t>
  </si>
  <si>
    <t>1550 North 115th Street</t>
  </si>
  <si>
    <t>1550 North 115th Street, Mailstop: UWT-359415</t>
  </si>
  <si>
    <t>Seattle, WA 98133</t>
  </si>
  <si>
    <t>Maureen A. Broom</t>
  </si>
  <si>
    <t>Jim Snyder</t>
  </si>
  <si>
    <t>(206) 598-5575</t>
  </si>
  <si>
    <t>(206) 598-7832</t>
  </si>
  <si>
    <t>Slight increase in operating expense due to the establishment of new ambulatory clinics in FY18; Decrese in volume due to closure/integration of some ambulatory clinics;</t>
  </si>
  <si>
    <t>FY18 volume for Speech Therapy is down, which explains the decrease in operating expenses;</t>
  </si>
  <si>
    <t>UW Medicine /Northwest Hospital</t>
  </si>
  <si>
    <t>Addition is a YTD correction applied from previous year</t>
  </si>
  <si>
    <t>The huge spike in operating cost &amp; revenue is due to closing of Pre Surgical Admitting department in FY18, and transitioning all activities (operating cost/revenue) to PACU department (Recovery Room) resulting the huge spike in operating cost;</t>
  </si>
  <si>
    <t>In late FY18, first wave of early retirement was implemented at NWH and all FTEs participated were not backfilled, resulting to a change in operations for FY19.  With limited FTE, although salaries increased due to overtime for personnel performing double-duty, volume and operating expenses are down due to limited capacity to accomodate patients at their normal pace;</t>
  </si>
  <si>
    <t>NWH established four ambulatory clinics in FY2019, resulting to the slight increase in operating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</si>
</sst>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9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41" fontId="9" fillId="0" borderId="1" xfId="1" quotePrefix="1" applyNumberFormat="1" applyFont="1" applyBorder="1" applyProtection="1">
      <protection locked="0"/>
    </xf>
    <xf numFmtId="37" fontId="3" fillId="0" borderId="0" xfId="0" quotePrefix="1" applyFont="1" applyFill="1" applyAlignment="1" applyProtection="1"/>
    <xf numFmtId="2" fontId="3" fillId="0" borderId="0" xfId="0" applyNumberFormat="1" applyFont="1" applyFill="1" applyProtection="1"/>
    <xf numFmtId="10" fontId="3" fillId="0" borderId="0" xfId="0" applyNumberFormat="1" applyFont="1" applyFill="1" applyProtection="1"/>
    <xf numFmtId="37" fontId="3" fillId="0" borderId="0" xfId="0" applyFont="1" applyFill="1" applyProtection="1">
      <protection locked="0"/>
    </xf>
    <xf numFmtId="1" fontId="3" fillId="0" borderId="0" xfId="0" applyNumberFormat="1" applyFont="1" applyFill="1" applyAlignment="1" applyProtection="1">
      <alignment horizontal="center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2" width="11.75" style="180"/>
    <col min="83" max="83" width="12.9140625" style="180" customWidth="1"/>
    <col min="84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1123405</v>
      </c>
      <c r="D47" s="184">
        <v>916188</v>
      </c>
      <c r="E47" s="184">
        <v>4418549</v>
      </c>
      <c r="F47" s="184">
        <v>1359552</v>
      </c>
      <c r="G47" s="184"/>
      <c r="H47" s="184">
        <v>1114172</v>
      </c>
      <c r="I47" s="184"/>
      <c r="J47" s="184"/>
      <c r="K47" s="184"/>
      <c r="L47" s="184"/>
      <c r="M47" s="184"/>
      <c r="N47" s="184"/>
      <c r="O47" s="184"/>
      <c r="P47" s="184">
        <v>1929372</v>
      </c>
      <c r="Q47" s="184">
        <v>881194</v>
      </c>
      <c r="R47" s="184">
        <v>129259</v>
      </c>
      <c r="S47" s="184">
        <v>206523</v>
      </c>
      <c r="T47" s="184">
        <v>66193</v>
      </c>
      <c r="U47" s="184">
        <v>1200249</v>
      </c>
      <c r="V47" s="184">
        <v>93730</v>
      </c>
      <c r="W47" s="184">
        <v>239460</v>
      </c>
      <c r="X47" s="184">
        <v>242251</v>
      </c>
      <c r="Y47" s="184">
        <v>1399384</v>
      </c>
      <c r="Z47" s="184"/>
      <c r="AA47" s="184">
        <v>51725</v>
      </c>
      <c r="AB47" s="184">
        <v>836260</v>
      </c>
      <c r="AC47" s="184">
        <f>303310+17220</f>
        <v>320530</v>
      </c>
      <c r="AD47" s="184"/>
      <c r="AE47" s="184">
        <v>656222</v>
      </c>
      <c r="AF47" s="184"/>
      <c r="AG47" s="184">
        <v>1319683</v>
      </c>
      <c r="AH47" s="184"/>
      <c r="AI47" s="184"/>
      <c r="AJ47" s="184">
        <v>11528813</v>
      </c>
      <c r="AK47" s="184">
        <v>285385</v>
      </c>
      <c r="AL47" s="184">
        <v>92294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657867</v>
      </c>
      <c r="AW47" s="184"/>
      <c r="AX47" s="184"/>
      <c r="AY47" s="184">
        <f>781026*(AY59/(AY59+AZ59))</f>
        <v>262048.2473927773</v>
      </c>
      <c r="AZ47" s="184">
        <f>781026-AY47</f>
        <v>518977.7526072227</v>
      </c>
      <c r="BA47" s="184">
        <v>10501</v>
      </c>
      <c r="BB47" s="184"/>
      <c r="BC47" s="184"/>
      <c r="BD47" s="184">
        <v>277222</v>
      </c>
      <c r="BE47" s="184">
        <v>715456</v>
      </c>
      <c r="BF47" s="184">
        <v>588219</v>
      </c>
      <c r="BG47" s="184"/>
      <c r="BH47" s="184">
        <v>156837</v>
      </c>
      <c r="BI47" s="184"/>
      <c r="BJ47" s="184">
        <v>177070</v>
      </c>
      <c r="BK47" s="184">
        <v>308772</v>
      </c>
      <c r="BL47" s="184">
        <v>906701</v>
      </c>
      <c r="BM47" s="184"/>
      <c r="BN47" s="184">
        <v>411584</v>
      </c>
      <c r="BO47" s="184">
        <v>65112</v>
      </c>
      <c r="BP47" s="184">
        <v>526015</v>
      </c>
      <c r="BQ47" s="184"/>
      <c r="BR47" s="184">
        <v>1270822</v>
      </c>
      <c r="BS47" s="184">
        <v>15950</v>
      </c>
      <c r="BT47" s="184"/>
      <c r="BU47" s="184"/>
      <c r="BV47" s="184">
        <v>491096</v>
      </c>
      <c r="BW47" s="184">
        <v>143974</v>
      </c>
      <c r="BX47" s="184">
        <v>847259</v>
      </c>
      <c r="BY47" s="184">
        <v>315447</v>
      </c>
      <c r="BZ47" s="184"/>
      <c r="CA47" s="184">
        <v>218745</v>
      </c>
      <c r="CB47" s="184"/>
      <c r="CC47" s="184">
        <f>-1478901+2</f>
        <v>-1478899</v>
      </c>
      <c r="CD47" s="195"/>
      <c r="CE47" s="195">
        <f>SUM(C47:CC47)</f>
        <v>37817169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51666</v>
      </c>
      <c r="D51" s="184">
        <v>5374</v>
      </c>
      <c r="E51" s="184">
        <v>183882</v>
      </c>
      <c r="F51" s="184">
        <v>192794</v>
      </c>
      <c r="G51" s="184"/>
      <c r="H51" s="184">
        <v>29029</v>
      </c>
      <c r="I51" s="184"/>
      <c r="J51" s="184"/>
      <c r="K51" s="184"/>
      <c r="L51" s="184"/>
      <c r="M51" s="184"/>
      <c r="N51" s="184"/>
      <c r="O51" s="184"/>
      <c r="P51" s="184">
        <v>2495177</v>
      </c>
      <c r="Q51" s="184">
        <v>25273</v>
      </c>
      <c r="R51" s="184">
        <v>61751</v>
      </c>
      <c r="S51" s="184">
        <v>80271</v>
      </c>
      <c r="T51" s="184">
        <v>72267</v>
      </c>
      <c r="U51" s="184">
        <v>139256</v>
      </c>
      <c r="V51" s="184">
        <v>24056</v>
      </c>
      <c r="W51" s="184">
        <v>85994</v>
      </c>
      <c r="X51" s="184">
        <v>151820</v>
      </c>
      <c r="Y51" s="184">
        <v>1124425</v>
      </c>
      <c r="Z51" s="184">
        <v>291669</v>
      </c>
      <c r="AA51" s="184"/>
      <c r="AB51" s="184">
        <v>118636</v>
      </c>
      <c r="AC51" s="184">
        <v>51464</v>
      </c>
      <c r="AD51" s="184"/>
      <c r="AE51" s="184">
        <v>22565</v>
      </c>
      <c r="AF51" s="184"/>
      <c r="AG51" s="184">
        <v>152329</v>
      </c>
      <c r="AH51" s="184"/>
      <c r="AI51" s="184"/>
      <c r="AJ51" s="184">
        <v>1525597</v>
      </c>
      <c r="AK51" s="184">
        <v>444</v>
      </c>
      <c r="AL51" s="184">
        <v>339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1031376</v>
      </c>
      <c r="AW51" s="184"/>
      <c r="AX51" s="184"/>
      <c r="AY51" s="184">
        <f>98932*(AY59/(AY59+AZ59))</f>
        <v>33193.462459716124</v>
      </c>
      <c r="AZ51" s="184">
        <f>98932-AY51</f>
        <v>65738.537540283869</v>
      </c>
      <c r="BA51" s="184"/>
      <c r="BB51" s="184"/>
      <c r="BC51" s="184"/>
      <c r="BD51" s="184">
        <v>13094</v>
      </c>
      <c r="BE51" s="184">
        <v>2290402</v>
      </c>
      <c r="BF51" s="184">
        <v>5100</v>
      </c>
      <c r="BG51" s="184"/>
      <c r="BH51" s="184">
        <v>2112394</v>
      </c>
      <c r="BI51" s="184"/>
      <c r="BJ51" s="184"/>
      <c r="BK51" s="184">
        <v>1775</v>
      </c>
      <c r="BL51" s="184">
        <v>1510</v>
      </c>
      <c r="BM51" s="184"/>
      <c r="BN51" s="184">
        <v>21899</v>
      </c>
      <c r="BO51" s="184"/>
      <c r="BP51" s="184">
        <v>110894</v>
      </c>
      <c r="BQ51" s="184"/>
      <c r="BR51" s="184"/>
      <c r="BS51" s="184">
        <v>225</v>
      </c>
      <c r="BT51" s="184"/>
      <c r="BU51" s="184"/>
      <c r="BV51" s="184">
        <v>8954</v>
      </c>
      <c r="BW51" s="184"/>
      <c r="BX51" s="184"/>
      <c r="BY51" s="184">
        <v>235813</v>
      </c>
      <c r="BZ51" s="184"/>
      <c r="CA51" s="184"/>
      <c r="CB51" s="184"/>
      <c r="CC51" s="184">
        <f>2464217-2</f>
        <v>2464215</v>
      </c>
      <c r="CD51" s="195"/>
      <c r="CE51" s="195">
        <f>SUM(C51:CD51)</f>
        <v>15282661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3826</v>
      </c>
      <c r="D59" s="184">
        <v>4889</v>
      </c>
      <c r="E59" s="184">
        <v>25111</v>
      </c>
      <c r="F59" s="184">
        <v>4194</v>
      </c>
      <c r="G59" s="184"/>
      <c r="H59" s="184">
        <v>9519</v>
      </c>
      <c r="I59" s="184"/>
      <c r="J59" s="184"/>
      <c r="K59" s="184"/>
      <c r="L59" s="184"/>
      <c r="M59" s="184"/>
      <c r="N59" s="184"/>
      <c r="O59" s="184"/>
      <c r="P59" s="185">
        <v>1637680</v>
      </c>
      <c r="Q59" s="185">
        <v>982035</v>
      </c>
      <c r="R59" s="185">
        <v>1178925</v>
      </c>
      <c r="S59" s="248"/>
      <c r="T59" s="248"/>
      <c r="U59" s="224">
        <v>852101</v>
      </c>
      <c r="V59" s="185">
        <v>22084</v>
      </c>
      <c r="W59" s="185">
        <v>8627</v>
      </c>
      <c r="X59" s="185">
        <v>21395</v>
      </c>
      <c r="Y59" s="185">
        <v>68807</v>
      </c>
      <c r="Z59" s="185"/>
      <c r="AA59" s="185">
        <v>886</v>
      </c>
      <c r="AB59" s="248"/>
      <c r="AC59" s="185">
        <v>28185</v>
      </c>
      <c r="AD59" s="185"/>
      <c r="AE59" s="185">
        <v>68888</v>
      </c>
      <c r="AF59" s="185"/>
      <c r="AG59" s="185">
        <v>32587</v>
      </c>
      <c r="AH59" s="185"/>
      <c r="AI59" s="185"/>
      <c r="AJ59" s="185">
        <v>134329</v>
      </c>
      <c r="AK59" s="185">
        <v>42670</v>
      </c>
      <c r="AL59" s="185">
        <v>6418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286">
        <v>207284</v>
      </c>
      <c r="AZ59" s="185">
        <v>410519</v>
      </c>
      <c r="BA59" s="248"/>
      <c r="BB59" s="248"/>
      <c r="BC59" s="248"/>
      <c r="BD59" s="248"/>
      <c r="BE59" s="185">
        <v>433631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51.58</v>
      </c>
      <c r="D60" s="187">
        <v>45.84</v>
      </c>
      <c r="E60" s="187">
        <v>231.66</v>
      </c>
      <c r="F60" s="223">
        <v>56.11</v>
      </c>
      <c r="G60" s="187"/>
      <c r="H60" s="187">
        <v>59.72</v>
      </c>
      <c r="I60" s="187"/>
      <c r="J60" s="223"/>
      <c r="K60" s="187"/>
      <c r="L60" s="187"/>
      <c r="M60" s="187"/>
      <c r="N60" s="187"/>
      <c r="O60" s="187"/>
      <c r="P60" s="221">
        <v>99.34</v>
      </c>
      <c r="Q60" s="221">
        <v>36.69</v>
      </c>
      <c r="R60" s="221">
        <v>8.32</v>
      </c>
      <c r="S60" s="221">
        <v>16.190000000000001</v>
      </c>
      <c r="T60" s="221">
        <v>2.14</v>
      </c>
      <c r="U60" s="221">
        <v>83</v>
      </c>
      <c r="V60" s="221">
        <v>6.81</v>
      </c>
      <c r="W60" s="221">
        <v>9.8699999999999992</v>
      </c>
      <c r="X60" s="221">
        <v>10.96</v>
      </c>
      <c r="Y60" s="221">
        <v>70.13</v>
      </c>
      <c r="Z60" s="221"/>
      <c r="AA60" s="221">
        <v>2.29</v>
      </c>
      <c r="AB60" s="221">
        <v>35.549999999999997</v>
      </c>
      <c r="AC60" s="221">
        <v>16.739999999999998</v>
      </c>
      <c r="AD60" s="221"/>
      <c r="AE60" s="221">
        <v>30.76</v>
      </c>
      <c r="AF60" s="221"/>
      <c r="AG60" s="221">
        <v>69.77</v>
      </c>
      <c r="AH60" s="221"/>
      <c r="AI60" s="221"/>
      <c r="AJ60" s="221">
        <v>420.05</v>
      </c>
      <c r="AK60" s="221">
        <v>12.62</v>
      </c>
      <c r="AL60" s="221">
        <v>4.24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32.94</v>
      </c>
      <c r="AW60" s="221"/>
      <c r="AX60" s="221"/>
      <c r="AY60" s="286">
        <f>69.26*(AY59/(AY59+AZ59))</f>
        <v>23.237973658269706</v>
      </c>
      <c r="AZ60" s="221">
        <f>69.26-AY60</f>
        <v>46.022026341730296</v>
      </c>
      <c r="BA60" s="221">
        <v>1.08</v>
      </c>
      <c r="BB60" s="221"/>
      <c r="BC60" s="221"/>
      <c r="BD60" s="221">
        <v>21.58</v>
      </c>
      <c r="BE60" s="221">
        <v>48.48</v>
      </c>
      <c r="BF60" s="221">
        <v>59.23</v>
      </c>
      <c r="BG60" s="221"/>
      <c r="BH60" s="221">
        <v>5.6</v>
      </c>
      <c r="BI60" s="221"/>
      <c r="BJ60" s="221">
        <v>11.43</v>
      </c>
      <c r="BK60" s="221">
        <v>25.49</v>
      </c>
      <c r="BL60" s="221">
        <v>77.95</v>
      </c>
      <c r="BM60" s="221"/>
      <c r="BN60" s="221">
        <v>7.78</v>
      </c>
      <c r="BO60" s="221">
        <v>2.25</v>
      </c>
      <c r="BP60" s="221"/>
      <c r="BQ60" s="221"/>
      <c r="BR60" s="221">
        <v>18.440000000000001</v>
      </c>
      <c r="BS60" s="221">
        <v>1</v>
      </c>
      <c r="BT60" s="221"/>
      <c r="BU60" s="221"/>
      <c r="BV60" s="221">
        <v>34.89</v>
      </c>
      <c r="BW60" s="221">
        <v>5.0199999999999996</v>
      </c>
      <c r="BX60" s="221">
        <v>39.71</v>
      </c>
      <c r="BY60" s="221">
        <v>15.48</v>
      </c>
      <c r="BZ60" s="221"/>
      <c r="CA60" s="221">
        <v>30.29</v>
      </c>
      <c r="CB60" s="221"/>
      <c r="CC60" s="221">
        <v>27.42</v>
      </c>
      <c r="CD60" s="249" t="s">
        <v>221</v>
      </c>
      <c r="CE60" s="251">
        <f t="shared" ref="CE60:CE70" si="0">SUM(C60:CD60)</f>
        <v>1915.7</v>
      </c>
    </row>
    <row r="61" spans="1:84" ht="12.6" customHeight="1" x14ac:dyDescent="0.25">
      <c r="A61" s="171" t="s">
        <v>235</v>
      </c>
      <c r="B61" s="175"/>
      <c r="C61" s="184">
        <v>5077963</v>
      </c>
      <c r="D61" s="184">
        <v>3987064</v>
      </c>
      <c r="E61" s="184">
        <v>19644200</v>
      </c>
      <c r="F61" s="185">
        <v>5803820</v>
      </c>
      <c r="G61" s="184"/>
      <c r="H61" s="184">
        <v>4703075</v>
      </c>
      <c r="I61" s="185"/>
      <c r="J61" s="185"/>
      <c r="K61" s="185"/>
      <c r="L61" s="185"/>
      <c r="M61" s="184"/>
      <c r="N61" s="184"/>
      <c r="O61" s="184"/>
      <c r="P61" s="185">
        <v>8771672</v>
      </c>
      <c r="Q61" s="185">
        <v>3645831</v>
      </c>
      <c r="R61" s="185">
        <v>542260</v>
      </c>
      <c r="S61" s="185">
        <v>936743</v>
      </c>
      <c r="T61" s="185">
        <v>337573</v>
      </c>
      <c r="U61" s="185">
        <v>5234666</v>
      </c>
      <c r="V61" s="185">
        <v>393215</v>
      </c>
      <c r="W61" s="185">
        <v>1004572</v>
      </c>
      <c r="X61" s="185">
        <v>1016283</v>
      </c>
      <c r="Y61" s="185">
        <v>6121407</v>
      </c>
      <c r="Z61" s="185"/>
      <c r="AA61" s="185">
        <v>216994</v>
      </c>
      <c r="AB61" s="185">
        <v>3508241</v>
      </c>
      <c r="AC61" s="185">
        <f>1310817+72242</f>
        <v>1383059</v>
      </c>
      <c r="AD61" s="185"/>
      <c r="AE61" s="185">
        <v>3165054</v>
      </c>
      <c r="AF61" s="185"/>
      <c r="AG61" s="185">
        <v>5064137</v>
      </c>
      <c r="AH61" s="185"/>
      <c r="AI61" s="185"/>
      <c r="AJ61" s="185">
        <v>48637446</v>
      </c>
      <c r="AK61" s="185">
        <v>1287873</v>
      </c>
      <c r="AL61" s="185">
        <v>387189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3195832</v>
      </c>
      <c r="AW61" s="185"/>
      <c r="AX61" s="185"/>
      <c r="AY61" s="286">
        <f>3314625*(AY59/(AY59+AZ59))</f>
        <v>1112116.2061369077</v>
      </c>
      <c r="AZ61" s="185">
        <f>3314625-AY61</f>
        <v>2202508.7938630925</v>
      </c>
      <c r="BA61" s="185">
        <v>44052</v>
      </c>
      <c r="BB61" s="185"/>
      <c r="BC61" s="185"/>
      <c r="BD61" s="185">
        <v>1162989</v>
      </c>
      <c r="BE61" s="185">
        <v>3001450</v>
      </c>
      <c r="BF61" s="185">
        <v>2621337</v>
      </c>
      <c r="BG61" s="185"/>
      <c r="BH61" s="185">
        <v>779112</v>
      </c>
      <c r="BI61" s="185"/>
      <c r="BJ61" s="185">
        <v>825368</v>
      </c>
      <c r="BK61" s="185">
        <v>1295346</v>
      </c>
      <c r="BL61" s="185">
        <v>3868129</v>
      </c>
      <c r="BM61" s="185"/>
      <c r="BN61" s="185">
        <v>1735348</v>
      </c>
      <c r="BO61" s="185">
        <v>273154</v>
      </c>
      <c r="BP61" s="185">
        <v>2531856</v>
      </c>
      <c r="BQ61" s="185"/>
      <c r="BR61" s="185">
        <v>1590325</v>
      </c>
      <c r="BS61" s="185">
        <v>66911</v>
      </c>
      <c r="BT61" s="185"/>
      <c r="BU61" s="185"/>
      <c r="BV61" s="185">
        <v>2337372</v>
      </c>
      <c r="BW61" s="185">
        <v>538270</v>
      </c>
      <c r="BX61" s="185">
        <v>3831039</v>
      </c>
      <c r="BY61" s="185">
        <v>1472019</v>
      </c>
      <c r="BZ61" s="185"/>
      <c r="CA61" s="185">
        <v>917669</v>
      </c>
      <c r="CB61" s="185"/>
      <c r="CC61" s="185">
        <v>1669870</v>
      </c>
      <c r="CD61" s="249" t="s">
        <v>221</v>
      </c>
      <c r="CE61" s="195">
        <f t="shared" si="0"/>
        <v>167942410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1123405</v>
      </c>
      <c r="D62" s="195">
        <f t="shared" si="1"/>
        <v>916188</v>
      </c>
      <c r="E62" s="195">
        <f t="shared" si="1"/>
        <v>4418549</v>
      </c>
      <c r="F62" s="195">
        <f t="shared" si="1"/>
        <v>1359552</v>
      </c>
      <c r="G62" s="195">
        <f t="shared" si="1"/>
        <v>0</v>
      </c>
      <c r="H62" s="195">
        <f t="shared" si="1"/>
        <v>1114172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1929372</v>
      </c>
      <c r="Q62" s="195">
        <f t="shared" si="1"/>
        <v>881194</v>
      </c>
      <c r="R62" s="195">
        <f t="shared" si="1"/>
        <v>129259</v>
      </c>
      <c r="S62" s="195">
        <f t="shared" si="1"/>
        <v>206523</v>
      </c>
      <c r="T62" s="195">
        <f t="shared" si="1"/>
        <v>66193</v>
      </c>
      <c r="U62" s="195">
        <f t="shared" si="1"/>
        <v>1200249</v>
      </c>
      <c r="V62" s="195">
        <f t="shared" si="1"/>
        <v>93730</v>
      </c>
      <c r="W62" s="195">
        <f t="shared" si="1"/>
        <v>239460</v>
      </c>
      <c r="X62" s="195">
        <f t="shared" si="1"/>
        <v>242251</v>
      </c>
      <c r="Y62" s="195">
        <f t="shared" si="1"/>
        <v>1399384</v>
      </c>
      <c r="Z62" s="195">
        <f t="shared" si="1"/>
        <v>0</v>
      </c>
      <c r="AA62" s="195">
        <f t="shared" si="1"/>
        <v>51725</v>
      </c>
      <c r="AB62" s="195">
        <f t="shared" si="1"/>
        <v>836260</v>
      </c>
      <c r="AC62" s="195">
        <f t="shared" si="1"/>
        <v>320530</v>
      </c>
      <c r="AD62" s="195">
        <f t="shared" si="1"/>
        <v>0</v>
      </c>
      <c r="AE62" s="195">
        <f t="shared" si="1"/>
        <v>656222</v>
      </c>
      <c r="AF62" s="195">
        <f t="shared" si="1"/>
        <v>0</v>
      </c>
      <c r="AG62" s="195">
        <f t="shared" si="1"/>
        <v>1319683</v>
      </c>
      <c r="AH62" s="195">
        <f t="shared" si="1"/>
        <v>0</v>
      </c>
      <c r="AI62" s="195">
        <f t="shared" si="1"/>
        <v>0</v>
      </c>
      <c r="AJ62" s="195">
        <f t="shared" si="1"/>
        <v>11528813</v>
      </c>
      <c r="AK62" s="195">
        <f t="shared" si="1"/>
        <v>285385</v>
      </c>
      <c r="AL62" s="195">
        <f t="shared" si="1"/>
        <v>92294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657867</v>
      </c>
      <c r="AW62" s="195">
        <f t="shared" si="1"/>
        <v>0</v>
      </c>
      <c r="AX62" s="195">
        <f t="shared" si="1"/>
        <v>0</v>
      </c>
      <c r="AY62" s="195">
        <f>ROUND(AY47+AY48,0)</f>
        <v>262048</v>
      </c>
      <c r="AZ62" s="195">
        <f>ROUND(AZ47+AZ48,0)</f>
        <v>518978</v>
      </c>
      <c r="BA62" s="195">
        <f>ROUND(BA47+BA48,0)</f>
        <v>10501</v>
      </c>
      <c r="BB62" s="195">
        <f t="shared" si="1"/>
        <v>0</v>
      </c>
      <c r="BC62" s="195">
        <f t="shared" si="1"/>
        <v>0</v>
      </c>
      <c r="BD62" s="195">
        <f t="shared" si="1"/>
        <v>277222</v>
      </c>
      <c r="BE62" s="195">
        <f t="shared" si="1"/>
        <v>715456</v>
      </c>
      <c r="BF62" s="195">
        <f t="shared" si="1"/>
        <v>588219</v>
      </c>
      <c r="BG62" s="195">
        <f t="shared" si="1"/>
        <v>0</v>
      </c>
      <c r="BH62" s="195">
        <f t="shared" si="1"/>
        <v>156837</v>
      </c>
      <c r="BI62" s="195">
        <f t="shared" si="1"/>
        <v>0</v>
      </c>
      <c r="BJ62" s="195">
        <f t="shared" si="1"/>
        <v>177070</v>
      </c>
      <c r="BK62" s="195">
        <f t="shared" si="1"/>
        <v>308772</v>
      </c>
      <c r="BL62" s="195">
        <f t="shared" si="1"/>
        <v>906701</v>
      </c>
      <c r="BM62" s="195">
        <f t="shared" si="1"/>
        <v>0</v>
      </c>
      <c r="BN62" s="195">
        <f t="shared" si="1"/>
        <v>411584</v>
      </c>
      <c r="BO62" s="195">
        <f t="shared" ref="BO62:CC62" si="2">ROUND(BO47+BO48,0)</f>
        <v>65112</v>
      </c>
      <c r="BP62" s="195">
        <f t="shared" si="2"/>
        <v>526015</v>
      </c>
      <c r="BQ62" s="195">
        <f t="shared" si="2"/>
        <v>0</v>
      </c>
      <c r="BR62" s="195">
        <f t="shared" si="2"/>
        <v>1270822</v>
      </c>
      <c r="BS62" s="195">
        <f t="shared" si="2"/>
        <v>15950</v>
      </c>
      <c r="BT62" s="195">
        <f t="shared" si="2"/>
        <v>0</v>
      </c>
      <c r="BU62" s="195">
        <f t="shared" si="2"/>
        <v>0</v>
      </c>
      <c r="BV62" s="195">
        <f t="shared" si="2"/>
        <v>491096</v>
      </c>
      <c r="BW62" s="195">
        <f t="shared" si="2"/>
        <v>143974</v>
      </c>
      <c r="BX62" s="195">
        <f t="shared" si="2"/>
        <v>847259</v>
      </c>
      <c r="BY62" s="195">
        <f t="shared" si="2"/>
        <v>315447</v>
      </c>
      <c r="BZ62" s="195">
        <f t="shared" si="2"/>
        <v>0</v>
      </c>
      <c r="CA62" s="195">
        <f t="shared" si="2"/>
        <v>218745</v>
      </c>
      <c r="CB62" s="195">
        <f t="shared" si="2"/>
        <v>0</v>
      </c>
      <c r="CC62" s="195">
        <f t="shared" si="2"/>
        <v>-1478899</v>
      </c>
      <c r="CD62" s="249" t="s">
        <v>221</v>
      </c>
      <c r="CE62" s="195">
        <f t="shared" si="0"/>
        <v>37817169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>
        <v>508679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-25000</v>
      </c>
      <c r="S63" s="185"/>
      <c r="T63" s="185"/>
      <c r="U63" s="185">
        <v>537894</v>
      </c>
      <c r="V63" s="185">
        <v>173496</v>
      </c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75000</v>
      </c>
      <c r="AH63" s="185"/>
      <c r="AI63" s="185"/>
      <c r="AJ63" s="185">
        <v>13722900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9840</v>
      </c>
      <c r="AW63" s="185"/>
      <c r="AX63" s="185"/>
      <c r="AY63" s="185">
        <f>309*(AY59/(AY59+AZ59))</f>
        <v>103.67504851870255</v>
      </c>
      <c r="AZ63" s="185">
        <f>309-AY63</f>
        <v>205.32495148129743</v>
      </c>
      <c r="BA63" s="185"/>
      <c r="BB63" s="185"/>
      <c r="BC63" s="185"/>
      <c r="BD63" s="185"/>
      <c r="BE63" s="185"/>
      <c r="BF63" s="185">
        <v>771</v>
      </c>
      <c r="BG63" s="185"/>
      <c r="BH63" s="185"/>
      <c r="BI63" s="185"/>
      <c r="BJ63" s="185">
        <v>206000</v>
      </c>
      <c r="BK63" s="185">
        <v>102396</v>
      </c>
      <c r="BL63" s="185"/>
      <c r="BM63" s="185"/>
      <c r="BN63" s="185">
        <v>750839</v>
      </c>
      <c r="BO63" s="185"/>
      <c r="BP63" s="185"/>
      <c r="BQ63" s="185"/>
      <c r="BR63" s="185">
        <v>14037</v>
      </c>
      <c r="BS63" s="185"/>
      <c r="BT63" s="185"/>
      <c r="BU63" s="185"/>
      <c r="BV63" s="185"/>
      <c r="BW63" s="185">
        <v>47102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16124263</v>
      </c>
      <c r="CF63" s="252"/>
    </row>
    <row r="64" spans="1:84" ht="12.6" customHeight="1" x14ac:dyDescent="0.25">
      <c r="A64" s="171" t="s">
        <v>237</v>
      </c>
      <c r="B64" s="175"/>
      <c r="C64" s="184">
        <v>600904</v>
      </c>
      <c r="D64" s="184">
        <v>191986</v>
      </c>
      <c r="E64" s="185">
        <v>1322862</v>
      </c>
      <c r="F64" s="185">
        <v>385218</v>
      </c>
      <c r="G64" s="184"/>
      <c r="H64" s="184">
        <v>126566</v>
      </c>
      <c r="I64" s="185"/>
      <c r="J64" s="185"/>
      <c r="K64" s="185"/>
      <c r="L64" s="185"/>
      <c r="M64" s="184"/>
      <c r="N64" s="184"/>
      <c r="O64" s="184"/>
      <c r="P64" s="185">
        <v>20206097</v>
      </c>
      <c r="Q64" s="185">
        <v>435652</v>
      </c>
      <c r="R64" s="185">
        <v>578356</v>
      </c>
      <c r="S64" s="185">
        <v>340037</v>
      </c>
      <c r="T64" s="185">
        <v>157971</v>
      </c>
      <c r="U64" s="185">
        <v>2331274</v>
      </c>
      <c r="V64" s="185">
        <v>13501</v>
      </c>
      <c r="W64" s="185">
        <v>197312</v>
      </c>
      <c r="X64" s="185">
        <v>229690</v>
      </c>
      <c r="Y64" s="185">
        <v>2999727</v>
      </c>
      <c r="Z64" s="185">
        <v>507</v>
      </c>
      <c r="AA64" s="185">
        <v>145932</v>
      </c>
      <c r="AB64" s="185">
        <v>10384536</v>
      </c>
      <c r="AC64" s="185">
        <f>288364+116</f>
        <v>288480</v>
      </c>
      <c r="AD64" s="185"/>
      <c r="AE64" s="185">
        <v>24434</v>
      </c>
      <c r="AF64" s="185"/>
      <c r="AG64" s="185">
        <v>735546</v>
      </c>
      <c r="AH64" s="185"/>
      <c r="AI64" s="185"/>
      <c r="AJ64" s="185">
        <v>16033119</v>
      </c>
      <c r="AK64" s="185">
        <v>36024</v>
      </c>
      <c r="AL64" s="185">
        <v>3112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5293827</v>
      </c>
      <c r="AW64" s="185"/>
      <c r="AX64" s="185"/>
      <c r="AY64" s="185">
        <f>1303628*(AY59/(AY59+AZ59))</f>
        <v>437390.60242828215</v>
      </c>
      <c r="AZ64" s="185">
        <f>1303628-AY64</f>
        <v>866237.39757171785</v>
      </c>
      <c r="BA64" s="185"/>
      <c r="BB64" s="185"/>
      <c r="BC64" s="185"/>
      <c r="BD64" s="185">
        <v>-669641</v>
      </c>
      <c r="BE64" s="185">
        <v>632745</v>
      </c>
      <c r="BF64" s="185">
        <v>278832</v>
      </c>
      <c r="BG64" s="185"/>
      <c r="BH64" s="185">
        <v>28227</v>
      </c>
      <c r="BI64" s="185"/>
      <c r="BJ64" s="185">
        <v>69932</v>
      </c>
      <c r="BK64" s="185">
        <v>285565</v>
      </c>
      <c r="BL64" s="185">
        <v>85299</v>
      </c>
      <c r="BM64" s="185"/>
      <c r="BN64" s="185">
        <v>60836</v>
      </c>
      <c r="BO64" s="185">
        <v>74159</v>
      </c>
      <c r="BP64" s="185">
        <v>5</v>
      </c>
      <c r="BQ64" s="185"/>
      <c r="BR64" s="185">
        <v>13243</v>
      </c>
      <c r="BS64" s="185">
        <v>2154</v>
      </c>
      <c r="BT64" s="185"/>
      <c r="BU64" s="185"/>
      <c r="BV64" s="185">
        <v>12300</v>
      </c>
      <c r="BW64" s="185">
        <v>16483</v>
      </c>
      <c r="BX64" s="185">
        <v>25266</v>
      </c>
      <c r="BY64" s="185">
        <v>10034</v>
      </c>
      <c r="BZ64" s="185"/>
      <c r="CA64" s="185">
        <v>38873</v>
      </c>
      <c r="CB64" s="185"/>
      <c r="CC64" s="185">
        <v>526911</v>
      </c>
      <c r="CD64" s="249" t="s">
        <v>221</v>
      </c>
      <c r="CE64" s="195">
        <f t="shared" si="0"/>
        <v>65857521</v>
      </c>
      <c r="CF64" s="252"/>
    </row>
    <row r="65" spans="1:84" ht="12.6" customHeight="1" x14ac:dyDescent="0.25">
      <c r="A65" s="171" t="s">
        <v>238</v>
      </c>
      <c r="B65" s="175"/>
      <c r="C65" s="184">
        <v>1221</v>
      </c>
      <c r="D65" s="184">
        <v>621</v>
      </c>
      <c r="E65" s="184">
        <v>3693</v>
      </c>
      <c r="F65" s="184">
        <v>575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7796</v>
      </c>
      <c r="Q65" s="185"/>
      <c r="R65" s="185"/>
      <c r="S65" s="185">
        <v>1022</v>
      </c>
      <c r="T65" s="185">
        <v>1823</v>
      </c>
      <c r="U65" s="185">
        <v>8394</v>
      </c>
      <c r="V65" s="185">
        <v>19127</v>
      </c>
      <c r="W65" s="185"/>
      <c r="X65" s="185"/>
      <c r="Y65" s="185"/>
      <c r="Z65" s="185">
        <v>2380</v>
      </c>
      <c r="AA65" s="185"/>
      <c r="AB65" s="185"/>
      <c r="AC65" s="185">
        <v>4280</v>
      </c>
      <c r="AD65" s="185"/>
      <c r="AE65" s="185"/>
      <c r="AF65" s="185"/>
      <c r="AG65" s="185">
        <v>3171</v>
      </c>
      <c r="AH65" s="185"/>
      <c r="AI65" s="185"/>
      <c r="AJ65" s="185">
        <v>204433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2799</v>
      </c>
      <c r="AW65" s="185"/>
      <c r="AX65" s="185"/>
      <c r="AY65" s="185">
        <f>906*(AY59/(AY59+AZ59))</f>
        <v>303.97926847231236</v>
      </c>
      <c r="AZ65" s="185">
        <f>906-AY65</f>
        <v>602.02073152768764</v>
      </c>
      <c r="BA65" s="185"/>
      <c r="BB65" s="185"/>
      <c r="BC65" s="185"/>
      <c r="BD65" s="185">
        <v>1775</v>
      </c>
      <c r="BE65" s="185">
        <v>1703649</v>
      </c>
      <c r="BF65" s="185">
        <v>364901</v>
      </c>
      <c r="BG65" s="185"/>
      <c r="BH65" s="185">
        <v>213087</v>
      </c>
      <c r="BI65" s="185"/>
      <c r="BJ65" s="185"/>
      <c r="BK65" s="185">
        <v>6759</v>
      </c>
      <c r="BL65" s="185">
        <v>1046</v>
      </c>
      <c r="BM65" s="185"/>
      <c r="BN65" s="185">
        <v>4490</v>
      </c>
      <c r="BO65" s="185"/>
      <c r="BP65" s="185">
        <v>1532</v>
      </c>
      <c r="BQ65" s="185"/>
      <c r="BR65" s="185"/>
      <c r="BS65" s="185"/>
      <c r="BT65" s="185"/>
      <c r="BU65" s="185"/>
      <c r="BV65" s="185"/>
      <c r="BW65" s="185"/>
      <c r="BX65" s="185"/>
      <c r="BY65" s="185">
        <v>3042</v>
      </c>
      <c r="BZ65" s="185"/>
      <c r="CA65" s="185"/>
      <c r="CB65" s="185"/>
      <c r="CC65" s="185">
        <v>897159</v>
      </c>
      <c r="CD65" s="249" t="s">
        <v>221</v>
      </c>
      <c r="CE65" s="195">
        <f t="shared" si="0"/>
        <v>3459681</v>
      </c>
      <c r="CF65" s="252"/>
    </row>
    <row r="66" spans="1:84" ht="12.6" customHeight="1" x14ac:dyDescent="0.25">
      <c r="A66" s="171" t="s">
        <v>239</v>
      </c>
      <c r="B66" s="175"/>
      <c r="C66" s="184">
        <v>324836</v>
      </c>
      <c r="D66" s="184">
        <v>130188</v>
      </c>
      <c r="E66" s="184">
        <v>857057</v>
      </c>
      <c r="F66" s="184">
        <v>116630</v>
      </c>
      <c r="G66" s="184"/>
      <c r="H66" s="184">
        <v>57234</v>
      </c>
      <c r="I66" s="184"/>
      <c r="J66" s="184"/>
      <c r="K66" s="185"/>
      <c r="L66" s="185"/>
      <c r="M66" s="184"/>
      <c r="N66" s="184"/>
      <c r="O66" s="185"/>
      <c r="P66" s="185">
        <v>1272956</v>
      </c>
      <c r="Q66" s="185">
        <v>123745</v>
      </c>
      <c r="R66" s="185">
        <v>32313</v>
      </c>
      <c r="S66" s="184">
        <v>331714</v>
      </c>
      <c r="T66" s="184">
        <v>56245</v>
      </c>
      <c r="U66" s="185">
        <v>4766696</v>
      </c>
      <c r="V66" s="185">
        <v>1492</v>
      </c>
      <c r="W66" s="185">
        <v>311608</v>
      </c>
      <c r="X66" s="185">
        <v>392201</v>
      </c>
      <c r="Y66" s="185">
        <v>2392914</v>
      </c>
      <c r="Z66" s="185">
        <v>38414</v>
      </c>
      <c r="AA66" s="185">
        <v>48176</v>
      </c>
      <c r="AB66" s="185">
        <v>683732</v>
      </c>
      <c r="AC66" s="185">
        <f>947+7512</f>
        <v>8459</v>
      </c>
      <c r="AD66" s="185"/>
      <c r="AE66" s="185">
        <v>33003</v>
      </c>
      <c r="AF66" s="185"/>
      <c r="AG66" s="185">
        <v>170318</v>
      </c>
      <c r="AH66" s="185"/>
      <c r="AI66" s="185"/>
      <c r="AJ66" s="185">
        <v>9190693</v>
      </c>
      <c r="AK66" s="185">
        <v>8981</v>
      </c>
      <c r="AL66" s="185">
        <v>192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2542183</v>
      </c>
      <c r="AW66" s="185"/>
      <c r="AX66" s="185"/>
      <c r="AY66" s="185">
        <f>95137*(AY59/(AY59+AZ59))</f>
        <v>31920.171815287395</v>
      </c>
      <c r="AZ66" s="185">
        <f>95137-AY66</f>
        <v>63216.828184712605</v>
      </c>
      <c r="BA66" s="185">
        <v>11360</v>
      </c>
      <c r="BB66" s="185"/>
      <c r="BC66" s="185"/>
      <c r="BD66" s="185">
        <v>476619</v>
      </c>
      <c r="BE66" s="185">
        <v>2286269</v>
      </c>
      <c r="BF66" s="185">
        <v>136694</v>
      </c>
      <c r="BG66" s="185"/>
      <c r="BH66" s="185">
        <v>3221027</v>
      </c>
      <c r="BI66" s="185"/>
      <c r="BJ66" s="185">
        <v>43563</v>
      </c>
      <c r="BK66" s="185">
        <v>580579</v>
      </c>
      <c r="BL66" s="185">
        <v>76214</v>
      </c>
      <c r="BM66" s="185"/>
      <c r="BN66" s="185">
        <v>38570617</v>
      </c>
      <c r="BO66" s="185">
        <v>43285</v>
      </c>
      <c r="BP66" s="185">
        <v>70680</v>
      </c>
      <c r="BQ66" s="185"/>
      <c r="BR66" s="185">
        <v>370877</v>
      </c>
      <c r="BS66" s="185"/>
      <c r="BT66" s="185"/>
      <c r="BU66" s="185"/>
      <c r="BV66" s="185">
        <v>817604</v>
      </c>
      <c r="BW66" s="185">
        <v>210118</v>
      </c>
      <c r="BX66" s="185">
        <v>890590</v>
      </c>
      <c r="BY66" s="185">
        <v>58013</v>
      </c>
      <c r="BZ66" s="185"/>
      <c r="CA66" s="185">
        <v>2939353</v>
      </c>
      <c r="CB66" s="185"/>
      <c r="CC66" s="185">
        <f>2844880+1</f>
        <v>2844881</v>
      </c>
      <c r="CD66" s="249" t="s">
        <v>221</v>
      </c>
      <c r="CE66" s="195">
        <f t="shared" si="0"/>
        <v>77635460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51666</v>
      </c>
      <c r="D67" s="195">
        <f>ROUND(D51+D52,0)</f>
        <v>5374</v>
      </c>
      <c r="E67" s="195">
        <f t="shared" ref="E67:BP67" si="3">ROUND(E51+E52,0)</f>
        <v>183882</v>
      </c>
      <c r="F67" s="195">
        <f t="shared" si="3"/>
        <v>192794</v>
      </c>
      <c r="G67" s="195">
        <f t="shared" si="3"/>
        <v>0</v>
      </c>
      <c r="H67" s="195">
        <f t="shared" si="3"/>
        <v>29029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2495177</v>
      </c>
      <c r="Q67" s="195">
        <f t="shared" si="3"/>
        <v>25273</v>
      </c>
      <c r="R67" s="195">
        <f t="shared" si="3"/>
        <v>61751</v>
      </c>
      <c r="S67" s="195">
        <f t="shared" si="3"/>
        <v>80271</v>
      </c>
      <c r="T67" s="195">
        <f t="shared" si="3"/>
        <v>72267</v>
      </c>
      <c r="U67" s="195">
        <f t="shared" si="3"/>
        <v>139256</v>
      </c>
      <c r="V67" s="195">
        <f t="shared" si="3"/>
        <v>24056</v>
      </c>
      <c r="W67" s="195">
        <f t="shared" si="3"/>
        <v>85994</v>
      </c>
      <c r="X67" s="195">
        <f t="shared" si="3"/>
        <v>151820</v>
      </c>
      <c r="Y67" s="195">
        <f t="shared" si="3"/>
        <v>1124425</v>
      </c>
      <c r="Z67" s="195">
        <f t="shared" si="3"/>
        <v>291669</v>
      </c>
      <c r="AA67" s="195">
        <f t="shared" si="3"/>
        <v>0</v>
      </c>
      <c r="AB67" s="195">
        <f t="shared" si="3"/>
        <v>118636</v>
      </c>
      <c r="AC67" s="195">
        <f t="shared" si="3"/>
        <v>51464</v>
      </c>
      <c r="AD67" s="195">
        <f t="shared" si="3"/>
        <v>0</v>
      </c>
      <c r="AE67" s="195">
        <f t="shared" si="3"/>
        <v>22565</v>
      </c>
      <c r="AF67" s="195">
        <f t="shared" si="3"/>
        <v>0</v>
      </c>
      <c r="AG67" s="195">
        <f t="shared" si="3"/>
        <v>152329</v>
      </c>
      <c r="AH67" s="195">
        <f t="shared" si="3"/>
        <v>0</v>
      </c>
      <c r="AI67" s="195">
        <f t="shared" si="3"/>
        <v>0</v>
      </c>
      <c r="AJ67" s="195">
        <f t="shared" si="3"/>
        <v>1525597</v>
      </c>
      <c r="AK67" s="195">
        <f t="shared" si="3"/>
        <v>444</v>
      </c>
      <c r="AL67" s="195">
        <f t="shared" si="3"/>
        <v>339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1031376</v>
      </c>
      <c r="AW67" s="195">
        <f t="shared" si="3"/>
        <v>0</v>
      </c>
      <c r="AX67" s="195">
        <f t="shared" si="3"/>
        <v>0</v>
      </c>
      <c r="AY67" s="195">
        <f t="shared" si="3"/>
        <v>33193</v>
      </c>
      <c r="AZ67" s="195">
        <f>ROUND(AZ51+AZ52,0)</f>
        <v>65739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13094</v>
      </c>
      <c r="BE67" s="195">
        <f t="shared" si="3"/>
        <v>2290402</v>
      </c>
      <c r="BF67" s="195">
        <f t="shared" si="3"/>
        <v>5100</v>
      </c>
      <c r="BG67" s="195">
        <f t="shared" si="3"/>
        <v>0</v>
      </c>
      <c r="BH67" s="195">
        <f t="shared" si="3"/>
        <v>2112394</v>
      </c>
      <c r="BI67" s="195">
        <f t="shared" si="3"/>
        <v>0</v>
      </c>
      <c r="BJ67" s="195">
        <f t="shared" si="3"/>
        <v>0</v>
      </c>
      <c r="BK67" s="195">
        <f t="shared" si="3"/>
        <v>1775</v>
      </c>
      <c r="BL67" s="195">
        <f t="shared" si="3"/>
        <v>1510</v>
      </c>
      <c r="BM67" s="195">
        <f t="shared" si="3"/>
        <v>0</v>
      </c>
      <c r="BN67" s="195">
        <f t="shared" si="3"/>
        <v>21899</v>
      </c>
      <c r="BO67" s="195">
        <f t="shared" si="3"/>
        <v>0</v>
      </c>
      <c r="BP67" s="195">
        <f t="shared" si="3"/>
        <v>110894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225</v>
      </c>
      <c r="BT67" s="195">
        <f t="shared" si="4"/>
        <v>0</v>
      </c>
      <c r="BU67" s="195">
        <f t="shared" si="4"/>
        <v>0</v>
      </c>
      <c r="BV67" s="195">
        <f t="shared" si="4"/>
        <v>8954</v>
      </c>
      <c r="BW67" s="195">
        <f t="shared" si="4"/>
        <v>0</v>
      </c>
      <c r="BX67" s="195">
        <f t="shared" si="4"/>
        <v>0</v>
      </c>
      <c r="BY67" s="195">
        <f t="shared" si="4"/>
        <v>235813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2464215</v>
      </c>
      <c r="CD67" s="249" t="s">
        <v>221</v>
      </c>
      <c r="CE67" s="195">
        <f t="shared" si="0"/>
        <v>15282661</v>
      </c>
      <c r="CF67" s="252"/>
    </row>
    <row r="68" spans="1:84" ht="12.6" customHeight="1" x14ac:dyDescent="0.25">
      <c r="A68" s="171" t="s">
        <v>240</v>
      </c>
      <c r="B68" s="175"/>
      <c r="C68" s="184">
        <v>124980</v>
      </c>
      <c r="D68" s="184">
        <v>130225</v>
      </c>
      <c r="E68" s="184">
        <v>158299</v>
      </c>
      <c r="F68" s="184">
        <v>64246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539386</v>
      </c>
      <c r="Q68" s="185">
        <v>86809</v>
      </c>
      <c r="R68" s="185">
        <v>88199</v>
      </c>
      <c r="S68" s="185">
        <v>552010</v>
      </c>
      <c r="T68" s="185"/>
      <c r="U68" s="185">
        <v>48958</v>
      </c>
      <c r="V68" s="185"/>
      <c r="W68" s="185"/>
      <c r="X68" s="185"/>
      <c r="Y68" s="185">
        <v>255858</v>
      </c>
      <c r="Z68" s="185">
        <v>34125</v>
      </c>
      <c r="AA68" s="185"/>
      <c r="AB68" s="185">
        <v>621499</v>
      </c>
      <c r="AC68" s="185">
        <v>94170</v>
      </c>
      <c r="AD68" s="185"/>
      <c r="AE68" s="185"/>
      <c r="AF68" s="185"/>
      <c r="AG68" s="185">
        <v>139367</v>
      </c>
      <c r="AH68" s="185"/>
      <c r="AI68" s="185"/>
      <c r="AJ68" s="185">
        <v>3970808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489048</v>
      </c>
      <c r="AW68" s="185"/>
      <c r="AX68" s="185"/>
      <c r="AY68" s="185">
        <f>2923*(AY59/(AY59+AZ59))</f>
        <v>980.71898647303419</v>
      </c>
      <c r="AZ68" s="185">
        <f>2923-AY68</f>
        <v>1942.2810135269658</v>
      </c>
      <c r="BA68" s="185"/>
      <c r="BB68" s="185"/>
      <c r="BC68" s="185"/>
      <c r="BD68" s="185">
        <v>510943</v>
      </c>
      <c r="BE68" s="185">
        <v>220260</v>
      </c>
      <c r="BF68" s="185"/>
      <c r="BG68" s="185"/>
      <c r="BH68" s="185">
        <v>320373</v>
      </c>
      <c r="BI68" s="185"/>
      <c r="BJ68" s="185"/>
      <c r="BK68" s="185">
        <v>517</v>
      </c>
      <c r="BL68" s="185">
        <v>102621</v>
      </c>
      <c r="BM68" s="185"/>
      <c r="BN68" s="185"/>
      <c r="BO68" s="185"/>
      <c r="BP68" s="185"/>
      <c r="BQ68" s="185"/>
      <c r="BR68" s="185"/>
      <c r="BS68" s="185"/>
      <c r="BT68" s="185"/>
      <c r="BU68" s="185"/>
      <c r="BV68" s="185">
        <v>9432</v>
      </c>
      <c r="BW68" s="185"/>
      <c r="BX68" s="185"/>
      <c r="BY68" s="185"/>
      <c r="BZ68" s="185"/>
      <c r="CA68" s="185"/>
      <c r="CB68" s="185"/>
      <c r="CC68" s="185">
        <v>1247025</v>
      </c>
      <c r="CD68" s="249" t="s">
        <v>221</v>
      </c>
      <c r="CE68" s="195">
        <f t="shared" si="0"/>
        <v>9812081</v>
      </c>
      <c r="CF68" s="252"/>
    </row>
    <row r="69" spans="1:84" ht="12.6" customHeight="1" x14ac:dyDescent="0.25">
      <c r="A69" s="171" t="s">
        <v>241</v>
      </c>
      <c r="B69" s="175"/>
      <c r="C69" s="184">
        <v>624</v>
      </c>
      <c r="D69" s="184">
        <v>176</v>
      </c>
      <c r="E69" s="185">
        <v>6687</v>
      </c>
      <c r="F69" s="185">
        <v>828</v>
      </c>
      <c r="G69" s="184"/>
      <c r="H69" s="184">
        <v>10525</v>
      </c>
      <c r="I69" s="185"/>
      <c r="J69" s="185"/>
      <c r="K69" s="185"/>
      <c r="L69" s="185"/>
      <c r="M69" s="184"/>
      <c r="N69" s="184"/>
      <c r="O69" s="184"/>
      <c r="P69" s="185">
        <v>7257</v>
      </c>
      <c r="Q69" s="185">
        <v>460</v>
      </c>
      <c r="R69" s="224">
        <v>2187</v>
      </c>
      <c r="S69" s="185"/>
      <c r="T69" s="184"/>
      <c r="U69" s="185">
        <v>1183</v>
      </c>
      <c r="V69" s="185"/>
      <c r="W69" s="184">
        <v>950</v>
      </c>
      <c r="X69" s="185">
        <v>67</v>
      </c>
      <c r="Y69" s="185">
        <v>17975</v>
      </c>
      <c r="Z69" s="185"/>
      <c r="AA69" s="185"/>
      <c r="AB69" s="185">
        <v>3327</v>
      </c>
      <c r="AC69" s="185">
        <v>1427</v>
      </c>
      <c r="AD69" s="185"/>
      <c r="AE69" s="185">
        <v>105</v>
      </c>
      <c r="AF69" s="185"/>
      <c r="AG69" s="185">
        <v>9220</v>
      </c>
      <c r="AH69" s="185"/>
      <c r="AI69" s="185"/>
      <c r="AJ69" s="185">
        <v>648918</v>
      </c>
      <c r="AK69" s="185">
        <v>452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1175</v>
      </c>
      <c r="AW69" s="185"/>
      <c r="AX69" s="185"/>
      <c r="AY69" s="185">
        <f>158408*(AY59/(AY59+AZ59))</f>
        <v>53148.728432849952</v>
      </c>
      <c r="AZ69" s="185">
        <f>158408-AY69</f>
        <v>105259.27156715005</v>
      </c>
      <c r="BA69" s="185"/>
      <c r="BB69" s="185"/>
      <c r="BC69" s="185"/>
      <c r="BD69" s="185">
        <v>68052</v>
      </c>
      <c r="BE69" s="185">
        <v>9275</v>
      </c>
      <c r="BF69" s="185">
        <v>235</v>
      </c>
      <c r="BG69" s="185"/>
      <c r="BH69" s="224">
        <v>8384</v>
      </c>
      <c r="BI69" s="185"/>
      <c r="BJ69" s="185">
        <v>8731</v>
      </c>
      <c r="BK69" s="185">
        <v>2203</v>
      </c>
      <c r="BL69" s="185">
        <v>1319</v>
      </c>
      <c r="BM69" s="185"/>
      <c r="BN69" s="185">
        <v>527700</v>
      </c>
      <c r="BO69" s="185">
        <v>376</v>
      </c>
      <c r="BP69" s="185">
        <v>377</v>
      </c>
      <c r="BQ69" s="185"/>
      <c r="BR69" s="185"/>
      <c r="BS69" s="185">
        <v>279629</v>
      </c>
      <c r="BT69" s="185"/>
      <c r="BU69" s="185"/>
      <c r="BV69" s="185">
        <v>4154</v>
      </c>
      <c r="BW69" s="185">
        <v>36471</v>
      </c>
      <c r="BX69" s="185">
        <v>8917</v>
      </c>
      <c r="BY69" s="185">
        <v>17636</v>
      </c>
      <c r="BZ69" s="185"/>
      <c r="CA69" s="185">
        <v>16992</v>
      </c>
      <c r="CB69" s="185"/>
      <c r="CC69" s="185">
        <v>17678</v>
      </c>
      <c r="CD69" s="188">
        <f>C386+C387+C388</f>
        <v>17173929</v>
      </c>
      <c r="CE69" s="195">
        <f t="shared" si="0"/>
        <v>19054009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>
        <v>-1500</v>
      </c>
      <c r="F70" s="185">
        <v>3644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2910</v>
      </c>
      <c r="T70" s="184"/>
      <c r="U70" s="185">
        <v>85469</v>
      </c>
      <c r="V70" s="184"/>
      <c r="W70" s="184"/>
      <c r="X70" s="185"/>
      <c r="Y70" s="185">
        <v>68796</v>
      </c>
      <c r="Z70" s="185">
        <v>777581</v>
      </c>
      <c r="AA70" s="185"/>
      <c r="AB70" s="185">
        <v>74275</v>
      </c>
      <c r="AC70" s="185"/>
      <c r="AD70" s="185"/>
      <c r="AE70" s="185">
        <v>25153</v>
      </c>
      <c r="AF70" s="185"/>
      <c r="AG70" s="185"/>
      <c r="AH70" s="185"/>
      <c r="AI70" s="185"/>
      <c r="AJ70" s="185">
        <v>4565827</v>
      </c>
      <c r="AK70" s="185"/>
      <c r="AL70" s="185">
        <v>4070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f>2060219*(AY59/(AY59+AZ59))</f>
        <v>691240.46855712903</v>
      </c>
      <c r="AZ70" s="185">
        <f>2060219-AY70</f>
        <v>1368978.5314428709</v>
      </c>
      <c r="BA70" s="185">
        <v>965</v>
      </c>
      <c r="BB70" s="185"/>
      <c r="BC70" s="185"/>
      <c r="BD70" s="185">
        <v>5506</v>
      </c>
      <c r="BE70" s="185">
        <v>2359555</v>
      </c>
      <c r="BF70" s="185"/>
      <c r="BG70" s="185"/>
      <c r="BH70" s="185">
        <v>-1798</v>
      </c>
      <c r="BI70" s="185"/>
      <c r="BJ70" s="185">
        <v>51200</v>
      </c>
      <c r="BK70" s="185">
        <v>54149</v>
      </c>
      <c r="BL70" s="185"/>
      <c r="BM70" s="185"/>
      <c r="BN70" s="185">
        <v>1016844</v>
      </c>
      <c r="BO70" s="185"/>
      <c r="BP70" s="185">
        <v>28748</v>
      </c>
      <c r="BQ70" s="185"/>
      <c r="BR70" s="185">
        <v>78885</v>
      </c>
      <c r="BS70" s="185"/>
      <c r="BT70" s="185"/>
      <c r="BU70" s="185"/>
      <c r="BV70" s="185">
        <v>1039</v>
      </c>
      <c r="BW70" s="185">
        <v>58205</v>
      </c>
      <c r="BX70" s="185"/>
      <c r="BY70" s="185"/>
      <c r="BZ70" s="185"/>
      <c r="CA70" s="185">
        <v>770</v>
      </c>
      <c r="CB70" s="185"/>
      <c r="CC70" s="185">
        <v>5664917</v>
      </c>
      <c r="CD70" s="188"/>
      <c r="CE70" s="195">
        <f t="shared" si="0"/>
        <v>16985429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7305599</v>
      </c>
      <c r="D71" s="195">
        <f t="shared" ref="D71:AI71" si="5">SUM(D61:D69)-D70</f>
        <v>5361822</v>
      </c>
      <c r="E71" s="195">
        <f t="shared" si="5"/>
        <v>26596729</v>
      </c>
      <c r="F71" s="195">
        <f t="shared" si="5"/>
        <v>8428698</v>
      </c>
      <c r="G71" s="195">
        <f t="shared" si="5"/>
        <v>0</v>
      </c>
      <c r="H71" s="195">
        <f t="shared" si="5"/>
        <v>6040601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35229713</v>
      </c>
      <c r="Q71" s="195">
        <f t="shared" si="5"/>
        <v>5198964</v>
      </c>
      <c r="R71" s="195">
        <f t="shared" si="5"/>
        <v>1409325</v>
      </c>
      <c r="S71" s="195">
        <f t="shared" si="5"/>
        <v>2445410</v>
      </c>
      <c r="T71" s="195">
        <f t="shared" si="5"/>
        <v>692072</v>
      </c>
      <c r="U71" s="195">
        <f t="shared" si="5"/>
        <v>14183101</v>
      </c>
      <c r="V71" s="195">
        <f t="shared" si="5"/>
        <v>718617</v>
      </c>
      <c r="W71" s="195">
        <f t="shared" si="5"/>
        <v>1839896</v>
      </c>
      <c r="X71" s="195">
        <f t="shared" si="5"/>
        <v>2032312</v>
      </c>
      <c r="Y71" s="195">
        <f t="shared" si="5"/>
        <v>14242894</v>
      </c>
      <c r="Z71" s="195">
        <f t="shared" si="5"/>
        <v>-410486</v>
      </c>
      <c r="AA71" s="195">
        <f t="shared" si="5"/>
        <v>462827</v>
      </c>
      <c r="AB71" s="195">
        <f t="shared" si="5"/>
        <v>16081956</v>
      </c>
      <c r="AC71" s="195">
        <f t="shared" si="5"/>
        <v>2151869</v>
      </c>
      <c r="AD71" s="195">
        <f t="shared" si="5"/>
        <v>0</v>
      </c>
      <c r="AE71" s="195">
        <f t="shared" si="5"/>
        <v>3876230</v>
      </c>
      <c r="AF71" s="195">
        <f t="shared" si="5"/>
        <v>0</v>
      </c>
      <c r="AG71" s="195">
        <f t="shared" si="5"/>
        <v>7668771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100896900</v>
      </c>
      <c r="AK71" s="195">
        <f t="shared" si="6"/>
        <v>1619159</v>
      </c>
      <c r="AL71" s="195">
        <f t="shared" si="6"/>
        <v>479056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13223947</v>
      </c>
      <c r="AW71" s="195">
        <f t="shared" si="6"/>
        <v>0</v>
      </c>
      <c r="AX71" s="195">
        <f t="shared" si="6"/>
        <v>0</v>
      </c>
      <c r="AY71" s="195">
        <f t="shared" si="6"/>
        <v>1239964.6135596624</v>
      </c>
      <c r="AZ71" s="195">
        <f t="shared" si="6"/>
        <v>2455710.3864403381</v>
      </c>
      <c r="BA71" s="195">
        <f t="shared" si="6"/>
        <v>64948</v>
      </c>
      <c r="BB71" s="195">
        <f t="shared" si="6"/>
        <v>0</v>
      </c>
      <c r="BC71" s="195">
        <f t="shared" si="6"/>
        <v>0</v>
      </c>
      <c r="BD71" s="195">
        <f t="shared" si="6"/>
        <v>1835547</v>
      </c>
      <c r="BE71" s="195">
        <f t="shared" si="6"/>
        <v>8499951</v>
      </c>
      <c r="BF71" s="195">
        <f t="shared" si="6"/>
        <v>3996089</v>
      </c>
      <c r="BG71" s="195">
        <f t="shared" si="6"/>
        <v>0</v>
      </c>
      <c r="BH71" s="195">
        <f t="shared" si="6"/>
        <v>6841239</v>
      </c>
      <c r="BI71" s="195">
        <f t="shared" si="6"/>
        <v>0</v>
      </c>
      <c r="BJ71" s="195">
        <f t="shared" si="6"/>
        <v>1279464</v>
      </c>
      <c r="BK71" s="195">
        <f t="shared" si="6"/>
        <v>2529763</v>
      </c>
      <c r="BL71" s="195">
        <f t="shared" si="6"/>
        <v>5042839</v>
      </c>
      <c r="BM71" s="195">
        <f t="shared" si="6"/>
        <v>0</v>
      </c>
      <c r="BN71" s="195">
        <f t="shared" si="6"/>
        <v>41066469</v>
      </c>
      <c r="BO71" s="195">
        <f t="shared" si="6"/>
        <v>456086</v>
      </c>
      <c r="BP71" s="195">
        <f t="shared" ref="BP71:CC71" si="7">SUM(BP61:BP69)-BP70</f>
        <v>3212611</v>
      </c>
      <c r="BQ71" s="195">
        <f t="shared" si="7"/>
        <v>0</v>
      </c>
      <c r="BR71" s="195">
        <f t="shared" si="7"/>
        <v>3180419</v>
      </c>
      <c r="BS71" s="195">
        <f t="shared" si="7"/>
        <v>364869</v>
      </c>
      <c r="BT71" s="195">
        <f t="shared" si="7"/>
        <v>0</v>
      </c>
      <c r="BU71" s="195">
        <f t="shared" si="7"/>
        <v>0</v>
      </c>
      <c r="BV71" s="195">
        <f t="shared" si="7"/>
        <v>3679873</v>
      </c>
      <c r="BW71" s="195">
        <f t="shared" si="7"/>
        <v>934213</v>
      </c>
      <c r="BX71" s="195">
        <f t="shared" si="7"/>
        <v>5603071</v>
      </c>
      <c r="BY71" s="195">
        <f t="shared" si="7"/>
        <v>2112004</v>
      </c>
      <c r="BZ71" s="195">
        <f t="shared" si="7"/>
        <v>0</v>
      </c>
      <c r="CA71" s="195">
        <f t="shared" si="7"/>
        <v>4130862</v>
      </c>
      <c r="CB71" s="195">
        <f t="shared" si="7"/>
        <v>0</v>
      </c>
      <c r="CC71" s="195">
        <f t="shared" si="7"/>
        <v>2523923</v>
      </c>
      <c r="CD71" s="245">
        <f>CD69-CD70</f>
        <v>17173929</v>
      </c>
      <c r="CE71" s="195">
        <f>SUM(CE61:CE69)-CE70</f>
        <v>395999826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26090183</v>
      </c>
      <c r="D73" s="184">
        <v>24315124</v>
      </c>
      <c r="E73" s="185">
        <v>92968669</v>
      </c>
      <c r="F73" s="185">
        <v>18590173</v>
      </c>
      <c r="G73" s="184"/>
      <c r="H73" s="184">
        <v>29510433</v>
      </c>
      <c r="I73" s="185"/>
      <c r="J73" s="185"/>
      <c r="K73" s="185"/>
      <c r="L73" s="185"/>
      <c r="M73" s="184"/>
      <c r="N73" s="184"/>
      <c r="O73" s="184"/>
      <c r="P73" s="185">
        <v>110370111</v>
      </c>
      <c r="Q73" s="185">
        <v>7185410</v>
      </c>
      <c r="R73" s="185">
        <v>12994903</v>
      </c>
      <c r="S73" s="185">
        <v>2171298</v>
      </c>
      <c r="T73" s="185">
        <v>1542960</v>
      </c>
      <c r="U73" s="185">
        <v>32855519</v>
      </c>
      <c r="V73" s="185">
        <v>3388496</v>
      </c>
      <c r="W73" s="185">
        <v>8177973</v>
      </c>
      <c r="X73" s="185">
        <v>25597019</v>
      </c>
      <c r="Y73" s="185">
        <v>30986231</v>
      </c>
      <c r="Z73" s="185">
        <v>38438</v>
      </c>
      <c r="AA73" s="185">
        <v>326471</v>
      </c>
      <c r="AB73" s="185">
        <v>47173187</v>
      </c>
      <c r="AC73" s="185">
        <f>10252153+12586</f>
        <v>10264739</v>
      </c>
      <c r="AD73" s="185"/>
      <c r="AE73" s="185">
        <v>3741111</v>
      </c>
      <c r="AF73" s="185"/>
      <c r="AG73" s="185">
        <v>33160571</v>
      </c>
      <c r="AH73" s="185"/>
      <c r="AI73" s="185"/>
      <c r="AJ73" s="185"/>
      <c r="AK73" s="185">
        <v>2394467</v>
      </c>
      <c r="AL73" s="185">
        <v>895407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14342764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539081657</v>
      </c>
      <c r="CF73" s="252"/>
    </row>
    <row r="74" spans="1:84" ht="12.6" customHeight="1" x14ac:dyDescent="0.25">
      <c r="A74" s="171" t="s">
        <v>246</v>
      </c>
      <c r="B74" s="175"/>
      <c r="C74" s="184">
        <v>81872</v>
      </c>
      <c r="D74" s="184">
        <v>570774</v>
      </c>
      <c r="E74" s="185">
        <v>6719941</v>
      </c>
      <c r="F74" s="185">
        <v>1506971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186713646</v>
      </c>
      <c r="Q74" s="185">
        <v>19645100</v>
      </c>
      <c r="R74" s="185">
        <v>20346354</v>
      </c>
      <c r="S74" s="185">
        <v>54509</v>
      </c>
      <c r="T74" s="185">
        <v>221791</v>
      </c>
      <c r="U74" s="185">
        <v>42867792</v>
      </c>
      <c r="V74" s="185">
        <v>5248099</v>
      </c>
      <c r="W74" s="185">
        <v>29479887</v>
      </c>
      <c r="X74" s="185">
        <v>47560954</v>
      </c>
      <c r="Y74" s="185">
        <v>72116786</v>
      </c>
      <c r="Z74" s="185"/>
      <c r="AA74" s="185">
        <v>1520362</v>
      </c>
      <c r="AB74" s="185">
        <v>35218833</v>
      </c>
      <c r="AC74" s="185">
        <f>261346+1506507</f>
        <v>1767853</v>
      </c>
      <c r="AD74" s="185"/>
      <c r="AE74" s="185">
        <v>3855492</v>
      </c>
      <c r="AF74" s="185"/>
      <c r="AG74" s="185">
        <v>74837529</v>
      </c>
      <c r="AH74" s="185"/>
      <c r="AI74" s="185"/>
      <c r="AJ74" s="185">
        <v>101773145</v>
      </c>
      <c r="AK74" s="185">
        <v>2920006</v>
      </c>
      <c r="AL74" s="185">
        <v>682462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52596343+50322-1</f>
        <v>52646664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708356822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26172055</v>
      </c>
      <c r="D75" s="195">
        <f t="shared" si="9"/>
        <v>24885898</v>
      </c>
      <c r="E75" s="195">
        <f t="shared" si="9"/>
        <v>99688610</v>
      </c>
      <c r="F75" s="195">
        <f t="shared" si="9"/>
        <v>20097144</v>
      </c>
      <c r="G75" s="195">
        <f t="shared" si="9"/>
        <v>0</v>
      </c>
      <c r="H75" s="195">
        <f t="shared" si="9"/>
        <v>29510433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297083757</v>
      </c>
      <c r="Q75" s="195">
        <f t="shared" si="9"/>
        <v>26830510</v>
      </c>
      <c r="R75" s="195">
        <f t="shared" si="9"/>
        <v>33341257</v>
      </c>
      <c r="S75" s="195">
        <f t="shared" si="9"/>
        <v>2225807</v>
      </c>
      <c r="T75" s="195">
        <f t="shared" si="9"/>
        <v>1764751</v>
      </c>
      <c r="U75" s="195">
        <f t="shared" si="9"/>
        <v>75723311</v>
      </c>
      <c r="V75" s="195">
        <f t="shared" si="9"/>
        <v>8636595</v>
      </c>
      <c r="W75" s="195">
        <f t="shared" si="9"/>
        <v>37657860</v>
      </c>
      <c r="X75" s="195">
        <f t="shared" si="9"/>
        <v>73157973</v>
      </c>
      <c r="Y75" s="195">
        <f t="shared" si="9"/>
        <v>103103017</v>
      </c>
      <c r="Z75" s="195">
        <f t="shared" si="9"/>
        <v>38438</v>
      </c>
      <c r="AA75" s="195">
        <f t="shared" si="9"/>
        <v>1846833</v>
      </c>
      <c r="AB75" s="195">
        <f t="shared" si="9"/>
        <v>82392020</v>
      </c>
      <c r="AC75" s="195">
        <f t="shared" si="9"/>
        <v>12032592</v>
      </c>
      <c r="AD75" s="195">
        <f t="shared" si="9"/>
        <v>0</v>
      </c>
      <c r="AE75" s="195">
        <f t="shared" si="9"/>
        <v>7596603</v>
      </c>
      <c r="AF75" s="195">
        <f t="shared" si="9"/>
        <v>0</v>
      </c>
      <c r="AG75" s="195">
        <f t="shared" si="9"/>
        <v>107998100</v>
      </c>
      <c r="AH75" s="195">
        <f t="shared" si="9"/>
        <v>0</v>
      </c>
      <c r="AI75" s="195">
        <f t="shared" si="9"/>
        <v>0</v>
      </c>
      <c r="AJ75" s="195">
        <f t="shared" si="9"/>
        <v>101773145</v>
      </c>
      <c r="AK75" s="195">
        <f t="shared" si="9"/>
        <v>5314473</v>
      </c>
      <c r="AL75" s="195">
        <f t="shared" si="9"/>
        <v>1577869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66989428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1247438479</v>
      </c>
      <c r="CF75" s="252"/>
    </row>
    <row r="76" spans="1:84" ht="12.6" customHeight="1" x14ac:dyDescent="0.25">
      <c r="A76" s="171" t="s">
        <v>248</v>
      </c>
      <c r="B76" s="175"/>
      <c r="C76" s="184">
        <v>8019</v>
      </c>
      <c r="D76" s="184">
        <v>8222</v>
      </c>
      <c r="E76" s="185">
        <v>47741</v>
      </c>
      <c r="F76" s="185">
        <v>13745</v>
      </c>
      <c r="G76" s="184"/>
      <c r="H76" s="184">
        <v>14924</v>
      </c>
      <c r="I76" s="185"/>
      <c r="J76" s="185"/>
      <c r="K76" s="185"/>
      <c r="L76" s="185"/>
      <c r="M76" s="185"/>
      <c r="N76" s="185"/>
      <c r="O76" s="185"/>
      <c r="P76" s="185">
        <v>53579</v>
      </c>
      <c r="Q76" s="185">
        <v>3494</v>
      </c>
      <c r="R76" s="185">
        <v>971</v>
      </c>
      <c r="S76" s="185"/>
      <c r="T76" s="185"/>
      <c r="U76" s="185">
        <v>11007</v>
      </c>
      <c r="V76" s="185">
        <v>523</v>
      </c>
      <c r="W76" s="185">
        <v>4528</v>
      </c>
      <c r="X76" s="185">
        <v>1417</v>
      </c>
      <c r="Y76" s="185">
        <v>31417</v>
      </c>
      <c r="Z76" s="185"/>
      <c r="AA76" s="185">
        <v>859</v>
      </c>
      <c r="AB76" s="185">
        <v>2571</v>
      </c>
      <c r="AC76" s="185">
        <v>1098</v>
      </c>
      <c r="AD76" s="185"/>
      <c r="AE76" s="185">
        <v>17191</v>
      </c>
      <c r="AF76" s="185"/>
      <c r="AG76" s="185">
        <v>12046</v>
      </c>
      <c r="AH76" s="185"/>
      <c r="AI76" s="185"/>
      <c r="AJ76" s="185">
        <v>80290</v>
      </c>
      <c r="AK76" s="185">
        <v>3224</v>
      </c>
      <c r="AL76" s="185">
        <v>1299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26450</v>
      </c>
      <c r="AW76" s="185"/>
      <c r="AX76" s="185"/>
      <c r="AY76" s="185">
        <f>14448*(AY59/(AY59+AZ59))</f>
        <v>4847.5634336511794</v>
      </c>
      <c r="AZ76" s="185">
        <f>14448-AY76</f>
        <v>9600.4365663488206</v>
      </c>
      <c r="BA76" s="185"/>
      <c r="BB76" s="185"/>
      <c r="BC76" s="185"/>
      <c r="BD76" s="185">
        <v>4643</v>
      </c>
      <c r="BE76" s="185">
        <v>8217</v>
      </c>
      <c r="BF76" s="185">
        <v>4126</v>
      </c>
      <c r="BG76" s="185"/>
      <c r="BH76" s="185">
        <v>15291</v>
      </c>
      <c r="BI76" s="185"/>
      <c r="BJ76" s="185"/>
      <c r="BK76" s="185">
        <v>5123</v>
      </c>
      <c r="BL76" s="185">
        <v>9038</v>
      </c>
      <c r="BM76" s="185"/>
      <c r="BN76" s="185">
        <v>1475</v>
      </c>
      <c r="BO76" s="185"/>
      <c r="BP76" s="185">
        <v>2679</v>
      </c>
      <c r="BQ76" s="185"/>
      <c r="BR76" s="185">
        <v>3756</v>
      </c>
      <c r="BS76" s="185"/>
      <c r="BT76" s="185"/>
      <c r="BU76" s="185"/>
      <c r="BV76" s="185">
        <v>5499</v>
      </c>
      <c r="BW76" s="185">
        <v>2275</v>
      </c>
      <c r="BX76" s="185">
        <v>3871</v>
      </c>
      <c r="BY76" s="185">
        <v>984</v>
      </c>
      <c r="BZ76" s="185"/>
      <c r="CA76" s="185">
        <v>5894</v>
      </c>
      <c r="CB76" s="185"/>
      <c r="CC76" s="185">
        <v>1697</v>
      </c>
      <c r="CD76" s="249" t="s">
        <v>221</v>
      </c>
      <c r="CE76" s="195">
        <f t="shared" si="8"/>
        <v>433631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15340</v>
      </c>
      <c r="D77" s="184">
        <v>19602</v>
      </c>
      <c r="E77" s="184">
        <f>43952+47793+19686+3147+2783-1</f>
        <v>117360</v>
      </c>
      <c r="F77" s="184">
        <v>16816</v>
      </c>
      <c r="G77" s="184"/>
      <c r="H77" s="184">
        <v>38166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207284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3795</v>
      </c>
      <c r="D78" s="184">
        <v>3891</v>
      </c>
      <c r="E78" s="184">
        <v>22591</v>
      </c>
      <c r="F78" s="184">
        <v>6504</v>
      </c>
      <c r="G78" s="184"/>
      <c r="H78" s="184">
        <v>7062</v>
      </c>
      <c r="I78" s="184"/>
      <c r="J78" s="184"/>
      <c r="K78" s="184"/>
      <c r="L78" s="184"/>
      <c r="M78" s="184"/>
      <c r="N78" s="184"/>
      <c r="O78" s="184"/>
      <c r="P78" s="184">
        <v>18329</v>
      </c>
      <c r="Q78" s="184">
        <v>1653</v>
      </c>
      <c r="R78" s="184">
        <v>459</v>
      </c>
      <c r="S78" s="184"/>
      <c r="T78" s="184"/>
      <c r="U78" s="184">
        <v>3544</v>
      </c>
      <c r="V78" s="184">
        <v>247</v>
      </c>
      <c r="W78" s="184">
        <v>867</v>
      </c>
      <c r="X78" s="184">
        <v>671</v>
      </c>
      <c r="Y78" s="184">
        <v>6601</v>
      </c>
      <c r="Z78" s="184"/>
      <c r="AA78" s="184">
        <v>406</v>
      </c>
      <c r="AB78" s="184">
        <v>1217</v>
      </c>
      <c r="AC78" s="184">
        <v>520</v>
      </c>
      <c r="AD78" s="184"/>
      <c r="AE78" s="184">
        <v>1965</v>
      </c>
      <c r="AF78" s="184"/>
      <c r="AG78" s="184">
        <v>5700</v>
      </c>
      <c r="AH78" s="184"/>
      <c r="AI78" s="184"/>
      <c r="AJ78" s="184"/>
      <c r="AK78" s="184">
        <v>1526</v>
      </c>
      <c r="AL78" s="184">
        <v>615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6568-2</f>
        <v>6566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1759</v>
      </c>
      <c r="BI78" s="184"/>
      <c r="BJ78" s="249" t="s">
        <v>221</v>
      </c>
      <c r="BK78" s="184"/>
      <c r="BL78" s="184">
        <v>1847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2602</v>
      </c>
      <c r="BW78" s="184">
        <v>1077</v>
      </c>
      <c r="BX78" s="184">
        <v>1198</v>
      </c>
      <c r="BY78" s="184">
        <v>466</v>
      </c>
      <c r="BZ78" s="184"/>
      <c r="CA78" s="184">
        <v>2789</v>
      </c>
      <c r="CB78" s="184"/>
      <c r="CC78" s="249" t="s">
        <v>221</v>
      </c>
      <c r="CD78" s="249" t="s">
        <v>221</v>
      </c>
      <c r="CE78" s="195">
        <f t="shared" si="8"/>
        <v>106467</v>
      </c>
      <c r="CF78" s="195"/>
    </row>
    <row r="79" spans="1:84" ht="12.6" customHeight="1" x14ac:dyDescent="0.25">
      <c r="A79" s="171" t="s">
        <v>251</v>
      </c>
      <c r="B79" s="175"/>
      <c r="C79" s="225">
        <v>131761</v>
      </c>
      <c r="D79" s="225"/>
      <c r="E79" s="184">
        <v>379694</v>
      </c>
      <c r="F79" s="184">
        <v>121311</v>
      </c>
      <c r="G79" s="184"/>
      <c r="H79" s="184">
        <v>81831</v>
      </c>
      <c r="I79" s="184"/>
      <c r="J79" s="184"/>
      <c r="K79" s="184"/>
      <c r="L79" s="184"/>
      <c r="M79" s="184"/>
      <c r="N79" s="184"/>
      <c r="O79" s="184"/>
      <c r="P79" s="184">
        <v>341713</v>
      </c>
      <c r="Q79" s="184">
        <v>78987</v>
      </c>
      <c r="R79" s="184"/>
      <c r="S79" s="184">
        <v>370731</v>
      </c>
      <c r="T79" s="184"/>
      <c r="U79" s="184">
        <v>7315</v>
      </c>
      <c r="V79" s="184"/>
      <c r="W79" s="184">
        <v>9387</v>
      </c>
      <c r="X79" s="184"/>
      <c r="Y79" s="184">
        <v>180220</v>
      </c>
      <c r="Z79" s="184"/>
      <c r="AA79" s="184"/>
      <c r="AB79" s="184">
        <v>11550</v>
      </c>
      <c r="AC79" s="184"/>
      <c r="AD79" s="184"/>
      <c r="AE79" s="184">
        <v>20526</v>
      </c>
      <c r="AF79" s="184"/>
      <c r="AG79" s="184">
        <v>195844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109554+2</f>
        <v>109556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2040426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42.1</v>
      </c>
      <c r="D80" s="187">
        <v>36.18</v>
      </c>
      <c r="E80" s="187">
        <v>207.84</v>
      </c>
      <c r="F80" s="187">
        <v>41.49</v>
      </c>
      <c r="G80" s="187"/>
      <c r="H80" s="187">
        <v>47.63</v>
      </c>
      <c r="I80" s="187"/>
      <c r="J80" s="187"/>
      <c r="K80" s="187"/>
      <c r="L80" s="187"/>
      <c r="M80" s="187"/>
      <c r="N80" s="187"/>
      <c r="O80" s="187"/>
      <c r="P80" s="187">
        <v>52.06</v>
      </c>
      <c r="Q80" s="187">
        <v>31.21</v>
      </c>
      <c r="R80" s="187"/>
      <c r="S80" s="187"/>
      <c r="T80" s="187">
        <v>2.14</v>
      </c>
      <c r="U80" s="187"/>
      <c r="V80" s="187"/>
      <c r="W80" s="187"/>
      <c r="X80" s="187">
        <v>0.01</v>
      </c>
      <c r="Y80" s="187">
        <v>5.96</v>
      </c>
      <c r="Z80" s="187"/>
      <c r="AA80" s="187"/>
      <c r="AB80" s="187"/>
      <c r="AC80" s="187"/>
      <c r="AD80" s="187"/>
      <c r="AE80" s="187"/>
      <c r="AF80" s="187"/>
      <c r="AG80" s="187">
        <v>38.04</v>
      </c>
      <c r="AH80" s="187"/>
      <c r="AI80" s="187"/>
      <c r="AJ80" s="187">
        <v>43.08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f>15.06+2.04+1.46+8.21+22.18</f>
        <v>48.95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596.69000000000005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1281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9767</v>
      </c>
      <c r="D111" s="174">
        <v>49970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1049</v>
      </c>
      <c r="D114" s="174">
        <v>1729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f>21+14+22+18+18+18+18</f>
        <v>129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18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206</v>
      </c>
    </row>
    <row r="128" spans="1:5" ht="12.6" customHeight="1" x14ac:dyDescent="0.25">
      <c r="A128" s="173" t="s">
        <v>292</v>
      </c>
      <c r="B128" s="172" t="s">
        <v>256</v>
      </c>
      <c r="C128" s="189">
        <v>281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5604</v>
      </c>
      <c r="C138" s="189">
        <v>1373</v>
      </c>
      <c r="D138" s="174">
        <v>2790</v>
      </c>
      <c r="E138" s="175">
        <f>SUM(B138:D138)</f>
        <v>9767</v>
      </c>
    </row>
    <row r="139" spans="1:6" ht="12.6" customHeight="1" x14ac:dyDescent="0.25">
      <c r="A139" s="173" t="s">
        <v>215</v>
      </c>
      <c r="B139" s="174">
        <v>33321</v>
      </c>
      <c r="C139" s="189">
        <v>7902</v>
      </c>
      <c r="D139" s="174">
        <v>8747</v>
      </c>
      <c r="E139" s="175">
        <f>SUM(B139:D139)</f>
        <v>49970</v>
      </c>
    </row>
    <row r="140" spans="1:6" ht="12.6" customHeight="1" x14ac:dyDescent="0.25">
      <c r="A140" s="173" t="s">
        <v>298</v>
      </c>
      <c r="B140" s="174">
        <v>204320</v>
      </c>
      <c r="C140" s="174">
        <v>58635</v>
      </c>
      <c r="D140" s="174">
        <v>163353</v>
      </c>
      <c r="E140" s="175">
        <f>SUM(B140:D140)</f>
        <v>426308</v>
      </c>
    </row>
    <row r="141" spans="1:6" ht="12.6" customHeight="1" x14ac:dyDescent="0.25">
      <c r="A141" s="173" t="s">
        <v>245</v>
      </c>
      <c r="B141" s="174">
        <v>333660706</v>
      </c>
      <c r="C141" s="189">
        <v>79809973</v>
      </c>
      <c r="D141" s="174">
        <v>125610978</v>
      </c>
      <c r="E141" s="175">
        <f>SUM(B141:D141)</f>
        <v>539081657</v>
      </c>
      <c r="F141" s="199"/>
    </row>
    <row r="142" spans="1:6" ht="12.6" customHeight="1" x14ac:dyDescent="0.25">
      <c r="A142" s="173" t="s">
        <v>246</v>
      </c>
      <c r="B142" s="174">
        <v>264208947</v>
      </c>
      <c r="C142" s="189">
        <v>91763818</v>
      </c>
      <c r="D142" s="174">
        <f>352384059-1</f>
        <v>352384058</v>
      </c>
      <c r="E142" s="175">
        <f>SUM(B142:D142)</f>
        <v>708356823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11273361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105814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751918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17748800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193568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5485038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2258670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37817169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6263766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3548315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9812081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1494901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778474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2273375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176946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11203915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11380861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3519701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3519701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10816822.11+105250</f>
        <v>10922072.109999999</v>
      </c>
      <c r="C195" s="189">
        <v>25123</v>
      </c>
      <c r="D195" s="174"/>
      <c r="E195" s="175">
        <f t="shared" ref="E195:E203" si="10">SUM(B195:C195)-D195</f>
        <v>10947195.109999999</v>
      </c>
      <c r="F195" s="180" t="s">
        <v>1282</v>
      </c>
    </row>
    <row r="196" spans="1:8" ht="12.6" customHeight="1" x14ac:dyDescent="0.25">
      <c r="A196" s="173" t="s">
        <v>333</v>
      </c>
      <c r="B196" s="174">
        <v>5928900.1799999997</v>
      </c>
      <c r="C196" s="189"/>
      <c r="D196" s="174">
        <v>51146.25</v>
      </c>
      <c r="E196" s="175">
        <f t="shared" si="10"/>
        <v>5877753.9299999997</v>
      </c>
    </row>
    <row r="197" spans="1:8" ht="12.6" customHeight="1" x14ac:dyDescent="0.25">
      <c r="A197" s="173" t="s">
        <v>334</v>
      </c>
      <c r="B197" s="174">
        <v>146066196</v>
      </c>
      <c r="C197" s="189">
        <v>2130060.0499999998</v>
      </c>
      <c r="D197" s="174">
        <v>1891709.12</v>
      </c>
      <c r="E197" s="175">
        <f t="shared" si="10"/>
        <v>146304546.93000001</v>
      </c>
    </row>
    <row r="198" spans="1:8" ht="12.6" customHeight="1" x14ac:dyDescent="0.25">
      <c r="A198" s="173" t="s">
        <v>335</v>
      </c>
      <c r="B198" s="174">
        <v>46642924</v>
      </c>
      <c r="C198" s="189"/>
      <c r="D198" s="174">
        <v>834428.11</v>
      </c>
      <c r="E198" s="175">
        <f t="shared" si="10"/>
        <v>45808495.890000001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152893688.61000001</v>
      </c>
      <c r="C200" s="189">
        <v>5667579.5899999999</v>
      </c>
      <c r="D200" s="174">
        <v>2062258.05</v>
      </c>
      <c r="E200" s="175">
        <f t="shared" si="10"/>
        <v>156499010.15000001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16890638</v>
      </c>
      <c r="C202" s="189">
        <v>3744.06</v>
      </c>
      <c r="D202" s="174">
        <v>17620.740000000002</v>
      </c>
      <c r="E202" s="175">
        <f t="shared" si="10"/>
        <v>16876761.32</v>
      </c>
    </row>
    <row r="203" spans="1:8" ht="12.6" customHeight="1" x14ac:dyDescent="0.25">
      <c r="A203" s="173" t="s">
        <v>340</v>
      </c>
      <c r="B203" s="174">
        <v>4020772.84</v>
      </c>
      <c r="C203" s="189">
        <f>15984228.55-7826506.44</f>
        <v>8157722.1100000003</v>
      </c>
      <c r="D203" s="174"/>
      <c r="E203" s="175">
        <f t="shared" si="10"/>
        <v>12178494.949999999</v>
      </c>
    </row>
    <row r="204" spans="1:8" ht="12.6" customHeight="1" x14ac:dyDescent="0.25">
      <c r="A204" s="173" t="s">
        <v>203</v>
      </c>
      <c r="B204" s="175">
        <f>SUM(B195:B203)</f>
        <v>383365191.73999995</v>
      </c>
      <c r="C204" s="191">
        <f>SUM(C195:C203)</f>
        <v>15984228.809999999</v>
      </c>
      <c r="D204" s="175">
        <f>SUM(D195:D203)</f>
        <v>4857162.2700000005</v>
      </c>
      <c r="E204" s="175">
        <f>SUM(E195:E203)</f>
        <v>394492258.27999997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5434196.7699999996</v>
      </c>
      <c r="C209" s="189">
        <v>69268.27</v>
      </c>
      <c r="D209" s="174"/>
      <c r="E209" s="175">
        <f t="shared" ref="E209:E216" si="11">SUM(B209:C209)-D209</f>
        <v>5503465.0399999991</v>
      </c>
      <c r="H209" s="259"/>
    </row>
    <row r="210" spans="1:8" ht="12.6" customHeight="1" x14ac:dyDescent="0.25">
      <c r="A210" s="173" t="s">
        <v>334</v>
      </c>
      <c r="B210" s="174">
        <v>93609496.019999996</v>
      </c>
      <c r="C210" s="189">
        <v>5961426.4800000004</v>
      </c>
      <c r="D210" s="174">
        <v>1205196.25</v>
      </c>
      <c r="E210" s="175">
        <f t="shared" si="11"/>
        <v>98365726.25</v>
      </c>
      <c r="H210" s="259"/>
    </row>
    <row r="211" spans="1:8" ht="12.6" customHeight="1" x14ac:dyDescent="0.25">
      <c r="A211" s="173" t="s">
        <v>335</v>
      </c>
      <c r="B211" s="174">
        <v>39069258</v>
      </c>
      <c r="C211" s="189">
        <v>1922894.02</v>
      </c>
      <c r="D211" s="174">
        <v>1740576.71</v>
      </c>
      <c r="E211" s="175">
        <f t="shared" si="11"/>
        <v>39251575.310000002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133874746</v>
      </c>
      <c r="C213" s="189">
        <v>5975086.3799999999</v>
      </c>
      <c r="D213" s="174">
        <v>771474.98</v>
      </c>
      <c r="E213" s="175">
        <f t="shared" si="11"/>
        <v>139078357.40000001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11155984</v>
      </c>
      <c r="C215" s="189">
        <v>871931.48</v>
      </c>
      <c r="D215" s="174">
        <v>7075.25</v>
      </c>
      <c r="E215" s="175">
        <f t="shared" si="11"/>
        <v>12020840.23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283143680.78999996</v>
      </c>
      <c r="C217" s="191">
        <f>SUM(C208:C216)</f>
        <v>14800606.629999999</v>
      </c>
      <c r="D217" s="175">
        <f>SUM(D208:D216)</f>
        <v>3724323.19</v>
      </c>
      <c r="E217" s="175">
        <f>SUM(E208:E216)</f>
        <v>294219964.23000002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2" t="s">
        <v>1255</v>
      </c>
      <c r="C220" s="292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12723776</v>
      </c>
      <c r="D221" s="172">
        <f>C221</f>
        <v>12723776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453700954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130125510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13345015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227377272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36095248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860643999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3537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6773543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10739846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17513389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2576290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2576290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893457454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11605348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149334840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109417616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5358810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5021034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2418658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64321074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4664060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41976536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46640596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10816822+130373</f>
        <v>10947195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5877754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146304547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45808496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156499010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16876761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12178495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394492258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294219964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100272294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4411564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6285840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10697404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221931368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11147467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21495743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6345775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11137555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5270869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4041402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59438811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6542668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2183360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88008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56225260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90662556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3826386+4041402</f>
        <v>7867788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163569640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4041402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159528238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2964319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6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6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6" ht="12.6" customHeight="1" x14ac:dyDescent="0.25">
      <c r="A339" s="173" t="s">
        <v>424</v>
      </c>
      <c r="B339" s="175"/>
      <c r="C339" s="191"/>
      <c r="D339" s="175">
        <f>D314+D319+D330+C332+C336+C337</f>
        <v>221931368</v>
      </c>
      <c r="E339" s="175"/>
      <c r="F339" s="180">
        <f>D339-D341</f>
        <v>0</v>
      </c>
    </row>
    <row r="340" spans="1:6" ht="12.6" customHeight="1" x14ac:dyDescent="0.25">
      <c r="A340" s="173"/>
      <c r="B340" s="175"/>
      <c r="C340" s="191"/>
      <c r="D340" s="175"/>
      <c r="E340" s="175"/>
    </row>
    <row r="341" spans="1:6" ht="12.6" customHeight="1" x14ac:dyDescent="0.25">
      <c r="A341" s="173" t="s">
        <v>425</v>
      </c>
      <c r="B341" s="175"/>
      <c r="C341" s="191"/>
      <c r="D341" s="175">
        <f>D292</f>
        <v>221931368</v>
      </c>
      <c r="E341" s="175"/>
    </row>
    <row r="342" spans="1:6" ht="12.6" customHeight="1" x14ac:dyDescent="0.25">
      <c r="A342" s="173"/>
      <c r="B342" s="173"/>
      <c r="C342" s="191"/>
      <c r="D342" s="175"/>
      <c r="E342" s="175"/>
    </row>
    <row r="343" spans="1:6" ht="12.6" customHeight="1" x14ac:dyDescent="0.25">
      <c r="A343" s="173"/>
      <c r="B343" s="173"/>
      <c r="C343" s="191"/>
      <c r="D343" s="175"/>
      <c r="E343" s="175"/>
    </row>
    <row r="344" spans="1:6" ht="12.6" customHeight="1" x14ac:dyDescent="0.25">
      <c r="A344" s="173"/>
      <c r="B344" s="173"/>
      <c r="C344" s="191"/>
      <c r="D344" s="175"/>
      <c r="E344" s="175"/>
    </row>
    <row r="345" spans="1:6" ht="12.6" customHeight="1" x14ac:dyDescent="0.25">
      <c r="A345" s="173"/>
      <c r="B345" s="173"/>
      <c r="C345" s="191"/>
      <c r="D345" s="175"/>
      <c r="E345" s="175"/>
    </row>
    <row r="346" spans="1:6" ht="12.6" customHeight="1" x14ac:dyDescent="0.25">
      <c r="A346" s="173"/>
      <c r="B346" s="173"/>
      <c r="C346" s="191"/>
      <c r="D346" s="175"/>
      <c r="E346" s="175"/>
    </row>
    <row r="347" spans="1:6" ht="12.6" customHeight="1" x14ac:dyDescent="0.25">
      <c r="A347" s="173"/>
      <c r="B347" s="173"/>
      <c r="C347" s="191"/>
      <c r="D347" s="175"/>
      <c r="E347" s="175"/>
    </row>
    <row r="348" spans="1:6" ht="12.6" customHeight="1" x14ac:dyDescent="0.25">
      <c r="A348" s="173"/>
      <c r="B348" s="173"/>
      <c r="C348" s="191"/>
      <c r="D348" s="175"/>
      <c r="E348" s="175"/>
    </row>
    <row r="349" spans="1:6" ht="12.6" customHeight="1" x14ac:dyDescent="0.25">
      <c r="A349" s="173"/>
      <c r="B349" s="173"/>
      <c r="C349" s="191"/>
      <c r="D349" s="175"/>
      <c r="E349" s="175"/>
    </row>
    <row r="350" spans="1:6" ht="12.6" customHeight="1" x14ac:dyDescent="0.25">
      <c r="A350" s="173"/>
      <c r="B350" s="173"/>
      <c r="C350" s="191"/>
      <c r="D350" s="175"/>
      <c r="E350" s="175"/>
    </row>
    <row r="351" spans="1:6" ht="12.6" customHeight="1" x14ac:dyDescent="0.25">
      <c r="A351" s="173"/>
      <c r="B351" s="173"/>
      <c r="C351" s="191"/>
      <c r="D351" s="175"/>
      <c r="E351" s="175"/>
    </row>
    <row r="352" spans="1:6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539081657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708356822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1247438479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12723776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387063299+476156990</f>
        <v>863220289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17513389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893457454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353981025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16985429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16985429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370966454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167942410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37817169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15053040+1071223</f>
        <v>16124263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65857521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3459681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77635460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14672987+609674</f>
        <v>15282661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9812081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2273375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11380853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3519701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1880080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412985255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-42018801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2025220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-39993581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-39993581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UW Medicine /Northwest Hospital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9767</v>
      </c>
      <c r="C414" s="194">
        <f>E138</f>
        <v>9767</v>
      </c>
      <c r="D414" s="179"/>
    </row>
    <row r="415" spans="1:5" ht="12.6" customHeight="1" x14ac:dyDescent="0.25">
      <c r="A415" s="179" t="s">
        <v>464</v>
      </c>
      <c r="B415" s="179">
        <f>D111</f>
        <v>49970</v>
      </c>
      <c r="C415" s="179">
        <f>E139</f>
        <v>49970</v>
      </c>
      <c r="D415" s="194">
        <f>SUM(C59:H59)+N59</f>
        <v>47539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1049</v>
      </c>
    </row>
    <row r="424" spans="1:7" ht="12.6" customHeight="1" x14ac:dyDescent="0.25">
      <c r="A424" s="179" t="s">
        <v>1244</v>
      </c>
      <c r="B424" s="179">
        <f>D114</f>
        <v>1729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167942410</v>
      </c>
      <c r="C427" s="179">
        <f t="shared" ref="C427:C434" si="13">CE61</f>
        <v>167942410</v>
      </c>
      <c r="D427" s="179"/>
    </row>
    <row r="428" spans="1:7" ht="12.6" customHeight="1" x14ac:dyDescent="0.25">
      <c r="A428" s="179" t="s">
        <v>3</v>
      </c>
      <c r="B428" s="179">
        <f t="shared" si="12"/>
        <v>37817169</v>
      </c>
      <c r="C428" s="179">
        <f t="shared" si="13"/>
        <v>37817169</v>
      </c>
      <c r="D428" s="179">
        <f>D173</f>
        <v>37817169</v>
      </c>
    </row>
    <row r="429" spans="1:7" ht="12.6" customHeight="1" x14ac:dyDescent="0.25">
      <c r="A429" s="179" t="s">
        <v>236</v>
      </c>
      <c r="B429" s="179">
        <f t="shared" si="12"/>
        <v>16124263</v>
      </c>
      <c r="C429" s="179">
        <f t="shared" si="13"/>
        <v>16124263</v>
      </c>
      <c r="D429" s="179"/>
    </row>
    <row r="430" spans="1:7" ht="12.6" customHeight="1" x14ac:dyDescent="0.25">
      <c r="A430" s="179" t="s">
        <v>237</v>
      </c>
      <c r="B430" s="179">
        <f t="shared" si="12"/>
        <v>65857521</v>
      </c>
      <c r="C430" s="179">
        <f t="shared" si="13"/>
        <v>65857521</v>
      </c>
      <c r="D430" s="179"/>
    </row>
    <row r="431" spans="1:7" ht="12.6" customHeight="1" x14ac:dyDescent="0.25">
      <c r="A431" s="179" t="s">
        <v>444</v>
      </c>
      <c r="B431" s="179">
        <f t="shared" si="12"/>
        <v>3459681</v>
      </c>
      <c r="C431" s="179">
        <f t="shared" si="13"/>
        <v>3459681</v>
      </c>
      <c r="D431" s="179"/>
    </row>
    <row r="432" spans="1:7" ht="12.6" customHeight="1" x14ac:dyDescent="0.25">
      <c r="A432" s="179" t="s">
        <v>445</v>
      </c>
      <c r="B432" s="179">
        <f t="shared" si="12"/>
        <v>77635460</v>
      </c>
      <c r="C432" s="179">
        <f t="shared" si="13"/>
        <v>77635460</v>
      </c>
      <c r="D432" s="179"/>
    </row>
    <row r="433" spans="1:7" ht="12.6" customHeight="1" x14ac:dyDescent="0.25">
      <c r="A433" s="179" t="s">
        <v>6</v>
      </c>
      <c r="B433" s="179">
        <f t="shared" si="12"/>
        <v>15282661</v>
      </c>
      <c r="C433" s="179">
        <f t="shared" si="13"/>
        <v>15282661</v>
      </c>
      <c r="D433" s="179">
        <f>C217</f>
        <v>14800606.629999999</v>
      </c>
    </row>
    <row r="434" spans="1:7" ht="12.6" customHeight="1" x14ac:dyDescent="0.25">
      <c r="A434" s="179" t="s">
        <v>474</v>
      </c>
      <c r="B434" s="179">
        <f t="shared" si="12"/>
        <v>9812081</v>
      </c>
      <c r="C434" s="179">
        <f t="shared" si="13"/>
        <v>9812081</v>
      </c>
      <c r="D434" s="179">
        <f>D177</f>
        <v>9812081</v>
      </c>
    </row>
    <row r="435" spans="1:7" ht="12.6" customHeight="1" x14ac:dyDescent="0.25">
      <c r="A435" s="179" t="s">
        <v>447</v>
      </c>
      <c r="B435" s="179">
        <f t="shared" si="12"/>
        <v>2273375</v>
      </c>
      <c r="C435" s="179"/>
      <c r="D435" s="179">
        <f>D181</f>
        <v>2273375</v>
      </c>
    </row>
    <row r="436" spans="1:7" ht="12.6" customHeight="1" x14ac:dyDescent="0.25">
      <c r="A436" s="179" t="s">
        <v>475</v>
      </c>
      <c r="B436" s="179">
        <f t="shared" si="12"/>
        <v>11380853</v>
      </c>
      <c r="C436" s="179"/>
      <c r="D436" s="179">
        <f>D186</f>
        <v>11380861</v>
      </c>
    </row>
    <row r="437" spans="1:7" ht="12.6" customHeight="1" x14ac:dyDescent="0.25">
      <c r="A437" s="194" t="s">
        <v>449</v>
      </c>
      <c r="B437" s="194">
        <f t="shared" si="12"/>
        <v>3519701</v>
      </c>
      <c r="C437" s="194"/>
      <c r="D437" s="194">
        <f>D190</f>
        <v>3519701</v>
      </c>
    </row>
    <row r="438" spans="1:7" ht="12.6" customHeight="1" x14ac:dyDescent="0.25">
      <c r="A438" s="194" t="s">
        <v>476</v>
      </c>
      <c r="B438" s="194">
        <f>C386+C387+C388</f>
        <v>17173929</v>
      </c>
      <c r="C438" s="194">
        <f>CD69</f>
        <v>17173929</v>
      </c>
      <c r="D438" s="194">
        <f>D181+D186+D190</f>
        <v>17173937</v>
      </c>
    </row>
    <row r="439" spans="1:7" ht="12.6" customHeight="1" x14ac:dyDescent="0.25">
      <c r="A439" s="179" t="s">
        <v>451</v>
      </c>
      <c r="B439" s="194">
        <f>C389</f>
        <v>1880080</v>
      </c>
      <c r="C439" s="194">
        <f>SUM(C69:CC69)</f>
        <v>1880080</v>
      </c>
      <c r="D439" s="179"/>
    </row>
    <row r="440" spans="1:7" ht="12.6" customHeight="1" x14ac:dyDescent="0.25">
      <c r="A440" s="179" t="s">
        <v>477</v>
      </c>
      <c r="B440" s="194">
        <f>B438+B439</f>
        <v>19054009</v>
      </c>
      <c r="C440" s="194">
        <f>CE69</f>
        <v>19054009</v>
      </c>
      <c r="D440" s="179"/>
    </row>
    <row r="441" spans="1:7" ht="12.6" customHeight="1" x14ac:dyDescent="0.25">
      <c r="A441" s="179" t="s">
        <v>478</v>
      </c>
      <c r="B441" s="179">
        <f>D390</f>
        <v>412985255</v>
      </c>
      <c r="C441" s="179">
        <f>SUM(C427:C437)+C440</f>
        <v>412985255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12723776</v>
      </c>
      <c r="C444" s="179">
        <f>C363</f>
        <v>12723776</v>
      </c>
      <c r="D444" s="179"/>
    </row>
    <row r="445" spans="1:7" ht="12.6" customHeight="1" x14ac:dyDescent="0.25">
      <c r="A445" s="179" t="s">
        <v>343</v>
      </c>
      <c r="B445" s="179">
        <f>D229</f>
        <v>860643999</v>
      </c>
      <c r="C445" s="179">
        <f>C364</f>
        <v>863220289</v>
      </c>
      <c r="D445" s="179"/>
    </row>
    <row r="446" spans="1:7" ht="12.6" customHeight="1" x14ac:dyDescent="0.25">
      <c r="A446" s="179" t="s">
        <v>351</v>
      </c>
      <c r="B446" s="179">
        <f>D236</f>
        <v>17513389</v>
      </c>
      <c r="C446" s="179">
        <f>C365</f>
        <v>17513389</v>
      </c>
      <c r="D446" s="179"/>
    </row>
    <row r="447" spans="1:7" ht="12.6" customHeight="1" x14ac:dyDescent="0.25">
      <c r="A447" s="179" t="s">
        <v>356</v>
      </c>
      <c r="B447" s="179">
        <f>D240</f>
        <v>2576290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893457454</v>
      </c>
      <c r="C448" s="179">
        <f>D367</f>
        <v>893457454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3537</v>
      </c>
    </row>
    <row r="454" spans="1:7" ht="12.6" customHeight="1" x14ac:dyDescent="0.25">
      <c r="A454" s="179" t="s">
        <v>168</v>
      </c>
      <c r="B454" s="179">
        <f>C233</f>
        <v>6773543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10739846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16985429</v>
      </c>
      <c r="C458" s="194">
        <f>CE70</f>
        <v>16985429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539081657</v>
      </c>
      <c r="C463" s="194">
        <f>CE73</f>
        <v>539081657</v>
      </c>
      <c r="D463" s="194">
        <f>E141+E147+E153</f>
        <v>539081657</v>
      </c>
    </row>
    <row r="464" spans="1:7" ht="12.6" customHeight="1" x14ac:dyDescent="0.25">
      <c r="A464" s="179" t="s">
        <v>246</v>
      </c>
      <c r="B464" s="194">
        <f>C360</f>
        <v>708356822</v>
      </c>
      <c r="C464" s="194">
        <f>CE74</f>
        <v>708356822</v>
      </c>
      <c r="D464" s="194">
        <f>E142+E148+E154</f>
        <v>708356823</v>
      </c>
    </row>
    <row r="465" spans="1:7" ht="12.6" customHeight="1" x14ac:dyDescent="0.25">
      <c r="A465" s="179" t="s">
        <v>247</v>
      </c>
      <c r="B465" s="194">
        <f>D361</f>
        <v>1247438479</v>
      </c>
      <c r="C465" s="194">
        <f>CE75</f>
        <v>1247438479</v>
      </c>
      <c r="D465" s="194">
        <f>D463+D464</f>
        <v>1247438480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10947195</v>
      </c>
      <c r="C468" s="179">
        <f>E195</f>
        <v>10947195.109999999</v>
      </c>
      <c r="D468" s="179"/>
    </row>
    <row r="469" spans="1:7" ht="12.6" customHeight="1" x14ac:dyDescent="0.25">
      <c r="A469" s="179" t="s">
        <v>333</v>
      </c>
      <c r="B469" s="179">
        <f t="shared" si="14"/>
        <v>5877754</v>
      </c>
      <c r="C469" s="179">
        <f>E196</f>
        <v>5877753.9299999997</v>
      </c>
      <c r="D469" s="179"/>
    </row>
    <row r="470" spans="1:7" ht="12.6" customHeight="1" x14ac:dyDescent="0.25">
      <c r="A470" s="179" t="s">
        <v>334</v>
      </c>
      <c r="B470" s="179">
        <f t="shared" si="14"/>
        <v>146304547</v>
      </c>
      <c r="C470" s="179">
        <f>E197</f>
        <v>146304546.93000001</v>
      </c>
      <c r="D470" s="179"/>
    </row>
    <row r="471" spans="1:7" ht="12.6" customHeight="1" x14ac:dyDescent="0.25">
      <c r="A471" s="179" t="s">
        <v>494</v>
      </c>
      <c r="B471" s="179">
        <f t="shared" si="14"/>
        <v>45808496</v>
      </c>
      <c r="C471" s="179">
        <f>E198</f>
        <v>45808495.890000001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156499010</v>
      </c>
      <c r="C473" s="179">
        <f>SUM(E200:E201)</f>
        <v>156499010.15000001</v>
      </c>
      <c r="D473" s="179"/>
    </row>
    <row r="474" spans="1:7" ht="12.6" customHeight="1" x14ac:dyDescent="0.25">
      <c r="A474" s="179" t="s">
        <v>339</v>
      </c>
      <c r="B474" s="179">
        <f t="shared" si="14"/>
        <v>16876761</v>
      </c>
      <c r="C474" s="179">
        <f>E202</f>
        <v>16876761.32</v>
      </c>
      <c r="D474" s="179"/>
    </row>
    <row r="475" spans="1:7" ht="12.6" customHeight="1" x14ac:dyDescent="0.25">
      <c r="A475" s="179" t="s">
        <v>340</v>
      </c>
      <c r="B475" s="179">
        <f t="shared" si="14"/>
        <v>12178495</v>
      </c>
      <c r="C475" s="179">
        <f>E203</f>
        <v>12178494.949999999</v>
      </c>
      <c r="D475" s="179"/>
    </row>
    <row r="476" spans="1:7" ht="12.6" customHeight="1" x14ac:dyDescent="0.25">
      <c r="A476" s="179" t="s">
        <v>203</v>
      </c>
      <c r="B476" s="179">
        <f>D275</f>
        <v>394492258</v>
      </c>
      <c r="C476" s="179">
        <f>E204</f>
        <v>394492258.27999997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294219964</v>
      </c>
      <c r="C478" s="179">
        <f>E217</f>
        <v>294219964.23000002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221931368</v>
      </c>
    </row>
    <row r="482" spans="1:12" ht="12.6" customHeight="1" x14ac:dyDescent="0.25">
      <c r="A482" s="180" t="s">
        <v>499</v>
      </c>
      <c r="C482" s="180">
        <f>D339</f>
        <v>221931368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130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6879693</v>
      </c>
      <c r="C496" s="240">
        <f>C71</f>
        <v>7305599</v>
      </c>
      <c r="D496" s="240">
        <f>'Prior Year'!C59</f>
        <v>3701</v>
      </c>
      <c r="E496" s="180">
        <f>C59</f>
        <v>3826</v>
      </c>
      <c r="F496" s="263">
        <f t="shared" ref="F496:G511" si="15">IF(B496=0,"",IF(D496=0,"",B496/D496))</f>
        <v>1858.8740880843015</v>
      </c>
      <c r="G496" s="264">
        <f t="shared" si="15"/>
        <v>1909.461317302666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4883637</v>
      </c>
      <c r="C497" s="240">
        <f>D71</f>
        <v>5361822</v>
      </c>
      <c r="D497" s="240">
        <f>'Prior Year'!D59</f>
        <v>4673</v>
      </c>
      <c r="E497" s="180">
        <f>D59</f>
        <v>4889</v>
      </c>
      <c r="F497" s="263">
        <f t="shared" si="15"/>
        <v>1045.0753263428205</v>
      </c>
      <c r="G497" s="263">
        <f t="shared" si="15"/>
        <v>1096.7113929228881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24122210</v>
      </c>
      <c r="C498" s="240">
        <f>E71</f>
        <v>26596729</v>
      </c>
      <c r="D498" s="240">
        <f>'Prior Year'!E59</f>
        <v>24237</v>
      </c>
      <c r="E498" s="180">
        <f>E59</f>
        <v>25111</v>
      </c>
      <c r="F498" s="263">
        <f t="shared" si="15"/>
        <v>995.26385278706107</v>
      </c>
      <c r="G498" s="263">
        <f t="shared" si="15"/>
        <v>1059.1664609135439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7949013</v>
      </c>
      <c r="C499" s="240">
        <f>F71</f>
        <v>8428698</v>
      </c>
      <c r="D499" s="240">
        <f>'Prior Year'!F59</f>
        <v>4370</v>
      </c>
      <c r="E499" s="180">
        <f>F59</f>
        <v>4194</v>
      </c>
      <c r="F499" s="263">
        <f t="shared" si="15"/>
        <v>1818.9961098398169</v>
      </c>
      <c r="G499" s="263">
        <f t="shared" si="15"/>
        <v>2009.7038626609442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6040669</v>
      </c>
      <c r="C501" s="240">
        <f>H71</f>
        <v>6040601</v>
      </c>
      <c r="D501" s="240">
        <f>'Prior Year'!H59</f>
        <v>9649</v>
      </c>
      <c r="E501" s="180">
        <f>H59</f>
        <v>9519</v>
      </c>
      <c r="F501" s="263">
        <f t="shared" si="15"/>
        <v>626.04093688465127</v>
      </c>
      <c r="G501" s="263">
        <f t="shared" si="15"/>
        <v>634.58356970269983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s="234" customFormat="1" ht="12.6" customHeight="1" x14ac:dyDescent="0.25">
      <c r="A509" s="234" t="s">
        <v>525</v>
      </c>
      <c r="B509" s="287">
        <f>'Prior Year'!P71</f>
        <v>42561288</v>
      </c>
      <c r="C509" s="287">
        <f>P71</f>
        <v>35229713</v>
      </c>
      <c r="D509" s="287">
        <f>'Prior Year'!P59</f>
        <v>2345649</v>
      </c>
      <c r="E509" s="234">
        <f>P59</f>
        <v>1637680</v>
      </c>
      <c r="F509" s="288">
        <f t="shared" si="15"/>
        <v>18.144781252438026</v>
      </c>
      <c r="G509" s="288">
        <f t="shared" si="15"/>
        <v>21.511963875726639</v>
      </c>
      <c r="H509" s="289" t="str">
        <f t="shared" si="16"/>
        <v/>
      </c>
      <c r="I509" s="290"/>
      <c r="K509" s="291"/>
      <c r="L509" s="291"/>
    </row>
    <row r="510" spans="1:12" s="234" customFormat="1" ht="12.6" customHeight="1" x14ac:dyDescent="0.25">
      <c r="A510" s="234" t="s">
        <v>526</v>
      </c>
      <c r="B510" s="287">
        <f>'Prior Year'!Q71</f>
        <v>2717758</v>
      </c>
      <c r="C510" s="287">
        <f>Q71</f>
        <v>5198964</v>
      </c>
      <c r="D510" s="287">
        <f>'Prior Year'!Q59</f>
        <v>888255</v>
      </c>
      <c r="E510" s="234">
        <f>Q59</f>
        <v>982035</v>
      </c>
      <c r="F510" s="288">
        <f t="shared" si="15"/>
        <v>3.0596596698020275</v>
      </c>
      <c r="G510" s="288">
        <f t="shared" si="15"/>
        <v>5.2940720035436621</v>
      </c>
      <c r="H510" s="289">
        <f t="shared" si="16"/>
        <v>0.73028133023899677</v>
      </c>
      <c r="I510" s="290" t="s">
        <v>1283</v>
      </c>
      <c r="K510" s="291"/>
      <c r="L510" s="291"/>
    </row>
    <row r="511" spans="1:12" ht="12.6" customHeight="1" x14ac:dyDescent="0.25">
      <c r="A511" s="180" t="s">
        <v>527</v>
      </c>
      <c r="B511" s="240">
        <f>'Prior Year'!R71</f>
        <v>1688695</v>
      </c>
      <c r="C511" s="240">
        <f>R71</f>
        <v>1409325</v>
      </c>
      <c r="D511" s="240">
        <f>'Prior Year'!R59</f>
        <v>1275752</v>
      </c>
      <c r="E511" s="180">
        <f>R59</f>
        <v>1178925</v>
      </c>
      <c r="F511" s="263">
        <f t="shared" si="15"/>
        <v>1.3236859515015458</v>
      </c>
      <c r="G511" s="263">
        <f t="shared" si="15"/>
        <v>1.1954322794070871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2335601</v>
      </c>
      <c r="C512" s="240">
        <f>S71</f>
        <v>2445410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1276669</v>
      </c>
      <c r="C513" s="240">
        <f>T71</f>
        <v>692072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13923926</v>
      </c>
      <c r="C514" s="240">
        <f>U71</f>
        <v>14183101</v>
      </c>
      <c r="D514" s="240">
        <f>'Prior Year'!U59</f>
        <v>851993</v>
      </c>
      <c r="E514" s="180">
        <f>U59</f>
        <v>852101</v>
      </c>
      <c r="F514" s="263">
        <f t="shared" si="17"/>
        <v>16.342770421822713</v>
      </c>
      <c r="G514" s="263">
        <f t="shared" si="17"/>
        <v>16.6448590014564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711481</v>
      </c>
      <c r="C515" s="240">
        <f>V71</f>
        <v>718617</v>
      </c>
      <c r="D515" s="240">
        <f>'Prior Year'!V59</f>
        <v>22658</v>
      </c>
      <c r="E515" s="180">
        <f>V59</f>
        <v>22084</v>
      </c>
      <c r="F515" s="263">
        <f t="shared" si="17"/>
        <v>31.400873863536059</v>
      </c>
      <c r="G515" s="263">
        <f t="shared" si="17"/>
        <v>32.540164825212827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1722061</v>
      </c>
      <c r="C516" s="240">
        <f>W71</f>
        <v>1839896</v>
      </c>
      <c r="D516" s="240">
        <f>'Prior Year'!W59</f>
        <v>7718</v>
      </c>
      <c r="E516" s="180">
        <f>W59</f>
        <v>8627</v>
      </c>
      <c r="F516" s="263">
        <f t="shared" si="17"/>
        <v>223.12270018139415</v>
      </c>
      <c r="G516" s="263">
        <f t="shared" si="17"/>
        <v>213.27182102700823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1817207</v>
      </c>
      <c r="C517" s="240">
        <f>X71</f>
        <v>2032312</v>
      </c>
      <c r="D517" s="240">
        <f>'Prior Year'!X59</f>
        <v>20016</v>
      </c>
      <c r="E517" s="180">
        <f>X59</f>
        <v>21395</v>
      </c>
      <c r="F517" s="263">
        <f t="shared" si="17"/>
        <v>90.787719824140694</v>
      </c>
      <c r="G517" s="263">
        <f t="shared" si="17"/>
        <v>94.99004440289788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14440504</v>
      </c>
      <c r="C518" s="240">
        <f>Y71</f>
        <v>14242894</v>
      </c>
      <c r="D518" s="240">
        <f>'Prior Year'!Y59</f>
        <v>78281</v>
      </c>
      <c r="E518" s="180">
        <f>Y59</f>
        <v>68807</v>
      </c>
      <c r="F518" s="263">
        <f t="shared" si="17"/>
        <v>184.47010130172072</v>
      </c>
      <c r="G518" s="263">
        <f t="shared" si="17"/>
        <v>206.99774732222014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-395343</v>
      </c>
      <c r="C519" s="240">
        <f>Z71</f>
        <v>-410486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s="234" customFormat="1" ht="12.6" customHeight="1" x14ac:dyDescent="0.25">
      <c r="A520" s="234" t="s">
        <v>536</v>
      </c>
      <c r="B520" s="287">
        <f>'Prior Year'!AA71</f>
        <v>575194</v>
      </c>
      <c r="C520" s="287">
        <f>AA71</f>
        <v>462827</v>
      </c>
      <c r="D520" s="287">
        <f>'Prior Year'!AA59</f>
        <v>824</v>
      </c>
      <c r="E520" s="234">
        <f>AA59</f>
        <v>886</v>
      </c>
      <c r="F520" s="288">
        <f t="shared" si="17"/>
        <v>698.05097087378635</v>
      </c>
      <c r="G520" s="288">
        <f t="shared" si="17"/>
        <v>522.37810383747183</v>
      </c>
      <c r="H520" s="289">
        <f t="shared" si="16"/>
        <v>-0.25166194786093599</v>
      </c>
      <c r="I520" s="290" t="s">
        <v>1284</v>
      </c>
      <c r="K520" s="291"/>
      <c r="L520" s="291"/>
    </row>
    <row r="521" spans="1:12" ht="12.6" customHeight="1" x14ac:dyDescent="0.25">
      <c r="A521" s="180" t="s">
        <v>537</v>
      </c>
      <c r="B521" s="240">
        <f>'Prior Year'!AB71</f>
        <v>15603512</v>
      </c>
      <c r="C521" s="240">
        <f>AB71</f>
        <v>16081956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2159049</v>
      </c>
      <c r="C522" s="240">
        <f>AC71</f>
        <v>2151869</v>
      </c>
      <c r="D522" s="240">
        <f>'Prior Year'!AC59</f>
        <v>30302</v>
      </c>
      <c r="E522" s="180">
        <f>AC59</f>
        <v>28185</v>
      </c>
      <c r="F522" s="263">
        <f t="shared" si="17"/>
        <v>71.251039535344205</v>
      </c>
      <c r="G522" s="263">
        <f t="shared" si="17"/>
        <v>76.348021997516412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s="234" customFormat="1" ht="12.6" customHeight="1" x14ac:dyDescent="0.25">
      <c r="A524" s="234" t="s">
        <v>540</v>
      </c>
      <c r="B524" s="287">
        <f>'Prior Year'!AE71</f>
        <v>3528432</v>
      </c>
      <c r="C524" s="287">
        <f>AE71</f>
        <v>3876230</v>
      </c>
      <c r="D524" s="287">
        <f>'Prior Year'!AE59</f>
        <v>72926</v>
      </c>
      <c r="E524" s="234">
        <f>AE59</f>
        <v>68888</v>
      </c>
      <c r="F524" s="288">
        <f t="shared" si="17"/>
        <v>48.383731453802483</v>
      </c>
      <c r="G524" s="288">
        <f t="shared" si="17"/>
        <v>56.268580884914641</v>
      </c>
      <c r="H524" s="289" t="str">
        <f t="shared" si="16"/>
        <v/>
      </c>
      <c r="I524" s="290"/>
      <c r="K524" s="291"/>
      <c r="L524" s="29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7989553</v>
      </c>
      <c r="C526" s="240">
        <f>AG71</f>
        <v>7668771</v>
      </c>
      <c r="D526" s="240">
        <f>'Prior Year'!AG59</f>
        <v>33651</v>
      </c>
      <c r="E526" s="180">
        <f>AG59</f>
        <v>32587</v>
      </c>
      <c r="F526" s="263">
        <f t="shared" si="17"/>
        <v>237.42393985319902</v>
      </c>
      <c r="G526" s="263">
        <f t="shared" si="17"/>
        <v>235.33221836928837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s="234" customFormat="1" ht="12.6" customHeight="1" x14ac:dyDescent="0.25">
      <c r="A529" s="234" t="s">
        <v>545</v>
      </c>
      <c r="B529" s="287">
        <f>'Prior Year'!AJ71</f>
        <v>87822505</v>
      </c>
      <c r="C529" s="287">
        <f>AJ71</f>
        <v>100896900</v>
      </c>
      <c r="D529" s="287">
        <f>'Prior Year'!AJ59</f>
        <v>149544</v>
      </c>
      <c r="E529" s="234">
        <f>AJ59</f>
        <v>134329</v>
      </c>
      <c r="F529" s="288">
        <f t="shared" si="18"/>
        <v>587.26866340341303</v>
      </c>
      <c r="G529" s="288">
        <f t="shared" si="18"/>
        <v>751.11777799283846</v>
      </c>
      <c r="H529" s="289">
        <f t="shared" si="16"/>
        <v>0.27900197098865531</v>
      </c>
      <c r="I529" s="290" t="s">
        <v>1285</v>
      </c>
      <c r="K529" s="291"/>
      <c r="L529" s="291"/>
    </row>
    <row r="530" spans="1:12" s="234" customFormat="1" ht="12.6" customHeight="1" x14ac:dyDescent="0.25">
      <c r="A530" s="234" t="s">
        <v>546</v>
      </c>
      <c r="B530" s="287">
        <f>'Prior Year'!AK71</f>
        <v>1709542</v>
      </c>
      <c r="C530" s="287">
        <f>AK71</f>
        <v>1619159</v>
      </c>
      <c r="D530" s="287">
        <f>'Prior Year'!AK59</f>
        <v>42405</v>
      </c>
      <c r="E530" s="234">
        <f>AK59</f>
        <v>42670</v>
      </c>
      <c r="F530" s="288">
        <f t="shared" si="18"/>
        <v>40.314632708407025</v>
      </c>
      <c r="G530" s="288">
        <f t="shared" si="18"/>
        <v>37.946074525427704</v>
      </c>
      <c r="H530" s="289" t="str">
        <f>IF(B530=0,"",IF(C530=0,"",IF(D530=0,"",IF(E530=0,"",IF(G530/F530-1&lt;-0.25,G530/F530-1,IF(G530/F530-1&gt;0.25,G530/F530-1,""))))))</f>
        <v/>
      </c>
      <c r="I530" s="290"/>
      <c r="K530" s="291"/>
      <c r="L530" s="291"/>
    </row>
    <row r="531" spans="1:12" s="234" customFormat="1" ht="12.6" customHeight="1" x14ac:dyDescent="0.25">
      <c r="A531" s="234" t="s">
        <v>547</v>
      </c>
      <c r="B531" s="287">
        <f>'Prior Year'!AL71</f>
        <v>499483</v>
      </c>
      <c r="C531" s="287">
        <f>AL71</f>
        <v>479056</v>
      </c>
      <c r="D531" s="287">
        <f>'Prior Year'!AL59</f>
        <v>7269</v>
      </c>
      <c r="E531" s="234">
        <f>AL59</f>
        <v>6418</v>
      </c>
      <c r="F531" s="288">
        <f t="shared" si="18"/>
        <v>68.714128490851564</v>
      </c>
      <c r="G531" s="288">
        <f t="shared" si="18"/>
        <v>74.642567778124032</v>
      </c>
      <c r="H531" s="289" t="str">
        <f t="shared" si="16"/>
        <v/>
      </c>
      <c r="I531" s="290"/>
      <c r="K531" s="291"/>
      <c r="L531" s="29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12673199</v>
      </c>
      <c r="C541" s="240">
        <f>AV71</f>
        <v>13223947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1106861.7624192643</v>
      </c>
      <c r="C544" s="240">
        <f>AY71</f>
        <v>1239964.6135596624</v>
      </c>
      <c r="D544" s="240">
        <f>'Prior Year'!AY59</f>
        <v>193845</v>
      </c>
      <c r="E544" s="180">
        <f>AY59</f>
        <v>207284</v>
      </c>
      <c r="F544" s="263">
        <f t="shared" ref="F544:G550" si="19">IF(B544=0,"",IF(D544=0,"",B544/D544))</f>
        <v>5.7100351436419006</v>
      </c>
      <c r="G544" s="263">
        <f t="shared" si="19"/>
        <v>5.9819600816255107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2573500.2375807357</v>
      </c>
      <c r="C545" s="240">
        <f>AZ71</f>
        <v>2455710.3864403381</v>
      </c>
      <c r="D545" s="240">
        <f>'Prior Year'!AZ59</f>
        <v>450698</v>
      </c>
      <c r="E545" s="180">
        <f>AZ59</f>
        <v>410519</v>
      </c>
      <c r="F545" s="263">
        <f t="shared" si="19"/>
        <v>5.7100325219564665</v>
      </c>
      <c r="G545" s="263">
        <f t="shared" si="19"/>
        <v>5.9819652353248891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60488</v>
      </c>
      <c r="C546" s="240">
        <f>BA71</f>
        <v>64948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2366130</v>
      </c>
      <c r="C549" s="240">
        <f>BD71</f>
        <v>1835547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7851020</v>
      </c>
      <c r="C550" s="240">
        <f>BE71</f>
        <v>8499951</v>
      </c>
      <c r="D550" s="240">
        <f>'Prior Year'!BE59</f>
        <v>433631</v>
      </c>
      <c r="E550" s="180">
        <f>BE59</f>
        <v>433631</v>
      </c>
      <c r="F550" s="263">
        <f t="shared" si="19"/>
        <v>18.10530151211514</v>
      </c>
      <c r="G550" s="263">
        <f t="shared" si="19"/>
        <v>19.601806605155073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3833027</v>
      </c>
      <c r="C551" s="240">
        <f>BF71</f>
        <v>3996089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8367844</v>
      </c>
      <c r="C553" s="240">
        <f>BH71</f>
        <v>6841239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1238409</v>
      </c>
      <c r="C555" s="240">
        <f>BJ71</f>
        <v>1279464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2641105</v>
      </c>
      <c r="C556" s="240">
        <f>BK71</f>
        <v>2529763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4785080</v>
      </c>
      <c r="C557" s="240">
        <f>BL71</f>
        <v>5042839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33700784</v>
      </c>
      <c r="C559" s="240">
        <f>BN71</f>
        <v>41066469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472883</v>
      </c>
      <c r="C560" s="240">
        <f>BO71</f>
        <v>456086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2017029</v>
      </c>
      <c r="C561" s="240">
        <f>BP71</f>
        <v>3212611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3615723</v>
      </c>
      <c r="C563" s="240">
        <f>BR71</f>
        <v>3180419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84094</v>
      </c>
      <c r="C564" s="240">
        <f>BS71</f>
        <v>364869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3435859</v>
      </c>
      <c r="C567" s="240">
        <f>BV71</f>
        <v>3679873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1142816</v>
      </c>
      <c r="C568" s="240">
        <f>BW71</f>
        <v>934213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6418345</v>
      </c>
      <c r="C569" s="240">
        <f>BX71</f>
        <v>5603071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1731976</v>
      </c>
      <c r="C570" s="240">
        <f>BY71</f>
        <v>2112004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3905374</v>
      </c>
      <c r="C572" s="240">
        <f>CA71</f>
        <v>4130862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3473593</v>
      </c>
      <c r="C574" s="240">
        <f>CC71</f>
        <v>2523923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16759283</v>
      </c>
      <c r="C575" s="240">
        <f>CD71</f>
        <v>17173929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425414</v>
      </c>
      <c r="E612" s="180">
        <f>SUM(C624:D647)+SUM(C668:D713)</f>
        <v>347564249.15434372</v>
      </c>
      <c r="F612" s="180">
        <f>CE64-(AX64+BD64+BE64+BG64+BJ64+BN64+BP64+BQ64+CB64+CC64+CD64)</f>
        <v>65236733</v>
      </c>
      <c r="G612" s="180">
        <f>CE77-(AX77+AY77+BD77+BE77+BG77+BJ77+BN77+BP77+BQ77+CB77+CC77+CD77)</f>
        <v>207284</v>
      </c>
      <c r="H612" s="197">
        <f>CE60-(AX60+AY60+AZ60+BD60+BE60+BG60+BJ60+BN60+BO60+BP60+BQ60+BR60+CB60+CC60+CD60)</f>
        <v>1709.06</v>
      </c>
      <c r="I612" s="180">
        <f>CE78-(AX78+AY78+AZ78+BD78+BE78+BF78+BG78+BJ78+BN78+BO78+BP78+BQ78+BR78+CB78+CC78+CD78)</f>
        <v>106467</v>
      </c>
      <c r="J612" s="180">
        <f>CE79-(AX79+AY79+AZ79+BA79+BD79+BE79+BF79+BG79+BJ79+BN79+BO79+BP79+BQ79+BR79+CB79+CC79+CD79)</f>
        <v>2040426</v>
      </c>
      <c r="K612" s="180">
        <f>CE75-(AW75+AX75+AY75+AZ75+BA75+BB75+BC75+BD75+BE75+BF75+BG75+BH75+BI75+BJ75+BK75+BL75+BM75+BN75+BO75+BP75+BQ75+BR75+BS75+BT75+BU75+BV75+BW75+BX75+CB75+CC75+CD75)</f>
        <v>1247438479</v>
      </c>
      <c r="L612" s="197">
        <f>CE80-(AW80+AX80+AY80+AZ80+BA80+BB80+BC80+BD80+BE80+BF80+BG80+BH80+BI80+BJ80+BK80+BL80+BM80+BN80+BO80+BP80+BQ80+BR80+BS80+BT80+BU80+BV80+BW80+BX80+BY80+BZ80+CA80+CB80+CC80+CD80)</f>
        <v>596.69000000000005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8499951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17173929</v>
      </c>
      <c r="D615" s="266">
        <f>SUM(C614:C615)</f>
        <v>25673880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1279464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41066469</v>
      </c>
      <c r="D619" s="180">
        <f>(D615/D612)*BN76</f>
        <v>89016.75309228187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2523923</v>
      </c>
      <c r="D620" s="180">
        <f>(D615/D612)*CC76</f>
        <v>102414.52881193379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3212611</v>
      </c>
      <c r="D621" s="180">
        <f>(D615/D612)*BP76</f>
        <v>161678.5637520157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48435576.845656231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1835547</v>
      </c>
      <c r="D624" s="180">
        <f>(D615/D612)*BD76</f>
        <v>280206.63363217947</v>
      </c>
      <c r="E624" s="180">
        <f>(E623/E612)*SUM(C624:D624)</f>
        <v>294845.4795267515</v>
      </c>
      <c r="F624" s="180">
        <f>SUM(C624:E624)</f>
        <v>2410599.113158931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1239964.6135596624</v>
      </c>
      <c r="D625" s="180">
        <f>(D615/D612)*AY76</f>
        <v>292552.10662542452</v>
      </c>
      <c r="E625" s="180">
        <f>(E623/E612)*SUM(C625:D625)</f>
        <v>213567.22260238871</v>
      </c>
      <c r="F625" s="180">
        <f>(F624/F612)*AY64</f>
        <v>16162.265488029077</v>
      </c>
      <c r="G625" s="180">
        <f>SUM(C625:F625)</f>
        <v>1762246.2082755044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3180419</v>
      </c>
      <c r="D626" s="180">
        <f>(D615/D612)*BR76</f>
        <v>226675.88109465133</v>
      </c>
      <c r="E626" s="180">
        <f>(E623/E612)*SUM(C626:D626)</f>
        <v>474803.16613467073</v>
      </c>
      <c r="F626" s="180">
        <f>(F624/F612)*BR64</f>
        <v>489.3495211595548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456086</v>
      </c>
      <c r="D627" s="180">
        <f>(D615/D612)*BO76</f>
        <v>0</v>
      </c>
      <c r="E627" s="180">
        <f>(E623/E612)*SUM(C627:D627)</f>
        <v>63558.863015908333</v>
      </c>
      <c r="F627" s="180">
        <f>(F624/F612)*BO64</f>
        <v>2740.2908056838651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2455710.3864403381</v>
      </c>
      <c r="D628" s="180">
        <f>(D615/D612)*AZ76</f>
        <v>579389.62129138131</v>
      </c>
      <c r="E628" s="180">
        <f>(E623/E612)*SUM(C628:D628)</f>
        <v>422963.00616770232</v>
      </c>
      <c r="F628" s="180">
        <f>(F624/F612)*AZ64</f>
        <v>32008.823960750513</v>
      </c>
      <c r="G628" s="180">
        <f>(G625/G612)*AZ77</f>
        <v>0</v>
      </c>
      <c r="H628" s="180">
        <f>SUM(C626:G628)</f>
        <v>7894844.3884322457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3996089</v>
      </c>
      <c r="D629" s="180">
        <f>(D615/D612)*BF76</f>
        <v>249005.5072940712</v>
      </c>
      <c r="E629" s="180">
        <f>(E623/E612)*SUM(C629:D629)</f>
        <v>591584.43863369792</v>
      </c>
      <c r="F629" s="180">
        <f>(F624/F612)*BF64</f>
        <v>10303.277632255606</v>
      </c>
      <c r="G629" s="180">
        <f>(G625/G612)*BF77</f>
        <v>0</v>
      </c>
      <c r="H629" s="180">
        <f>(H628/H612)*BF60</f>
        <v>273607.49951835623</v>
      </c>
      <c r="I629" s="180">
        <f>SUM(C629:H629)</f>
        <v>5120589.7230783813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64948</v>
      </c>
      <c r="D630" s="180">
        <f>(D615/D612)*BA76</f>
        <v>0</v>
      </c>
      <c r="E630" s="180">
        <f>(E623/E612)*SUM(C630:D630)</f>
        <v>9050.9707273567146</v>
      </c>
      <c r="F630" s="180">
        <f>(F624/F612)*BA64</f>
        <v>0</v>
      </c>
      <c r="G630" s="180">
        <f>(G625/G612)*BA77</f>
        <v>0</v>
      </c>
      <c r="H630" s="180">
        <f>(H628/H612)*BA60</f>
        <v>4988.959977711037</v>
      </c>
      <c r="I630" s="180">
        <f>(I629/I612)*BA78</f>
        <v>0</v>
      </c>
      <c r="J630" s="180">
        <f>SUM(C630:I630)</f>
        <v>78987.93070506776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2529763</v>
      </c>
      <c r="D635" s="180">
        <f>(D615/D612)*BK76</f>
        <v>309174.79735034582</v>
      </c>
      <c r="E635" s="180">
        <f>(E623/E612)*SUM(C635:D635)</f>
        <v>395626.3918920448</v>
      </c>
      <c r="F635" s="180">
        <f>(F624/F612)*BK64</f>
        <v>10552.072491877087</v>
      </c>
      <c r="G635" s="180">
        <f>(G625/G612)*BK77</f>
        <v>0</v>
      </c>
      <c r="H635" s="180">
        <f>(H628/H612)*BK60</f>
        <v>117748.69428875401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6841239</v>
      </c>
      <c r="D636" s="180">
        <f>(D615/D612)*BH76</f>
        <v>922817.06544683536</v>
      </c>
      <c r="E636" s="180">
        <f>(E623/E612)*SUM(C636:D636)</f>
        <v>1081977.0304538347</v>
      </c>
      <c r="F636" s="180">
        <f>(F624/F612)*BH64</f>
        <v>1043.0317098671565</v>
      </c>
      <c r="G636" s="180">
        <f>(G625/G612)*BH77</f>
        <v>0</v>
      </c>
      <c r="H636" s="180">
        <f>(H628/H612)*BH60</f>
        <v>25868.68136590908</v>
      </c>
      <c r="I636" s="180">
        <f>(I629/I612)*BH78</f>
        <v>84600.085687535786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5042839</v>
      </c>
      <c r="D637" s="180">
        <f>(D615/D612)*BL76</f>
        <v>545446.38267663971</v>
      </c>
      <c r="E637" s="180">
        <f>(E623/E612)*SUM(C637:D637)</f>
        <v>778767.74365217832</v>
      </c>
      <c r="F637" s="180">
        <f>(F624/F612)*BL64</f>
        <v>3151.9311942451759</v>
      </c>
      <c r="G637" s="180">
        <f>(G625/G612)*BL77</f>
        <v>0</v>
      </c>
      <c r="H637" s="180">
        <f>(H628/H612)*BL60</f>
        <v>360082.80579868087</v>
      </c>
      <c r="I637" s="180">
        <f>(I629/I612)*BL78</f>
        <v>88832.49474978885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364869</v>
      </c>
      <c r="D639" s="180">
        <f>(D615/D612)*BS76</f>
        <v>0</v>
      </c>
      <c r="E639" s="180">
        <f>(E623/E612)*SUM(C639:D639)</f>
        <v>50847.11828416452</v>
      </c>
      <c r="F639" s="180">
        <f>(F624/F612)*BS64</f>
        <v>79.593662204763348</v>
      </c>
      <c r="G639" s="180">
        <f>(G625/G612)*BS77</f>
        <v>0</v>
      </c>
      <c r="H639" s="180">
        <f>(H628/H612)*BS60</f>
        <v>4619.4073867694788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3679873</v>
      </c>
      <c r="D642" s="180">
        <f>(D615/D612)*BV76</f>
        <v>331866.52559624275</v>
      </c>
      <c r="E642" s="180">
        <f>(E623/E612)*SUM(C642:D642)</f>
        <v>559064.74428699119</v>
      </c>
      <c r="F642" s="180">
        <f>(F624/F612)*BV64</f>
        <v>454.50419921940073</v>
      </c>
      <c r="G642" s="180">
        <f>(G625/G612)*BV77</f>
        <v>0</v>
      </c>
      <c r="H642" s="180">
        <f>(H628/H612)*BV60</f>
        <v>161171.12372438711</v>
      </c>
      <c r="I642" s="180">
        <f>(I629/I612)*BV78</f>
        <v>125144.64068161917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934213</v>
      </c>
      <c r="D643" s="180">
        <f>(D615/D612)*BW76</f>
        <v>137297.02595589237</v>
      </c>
      <c r="E643" s="180">
        <f>(E623/E612)*SUM(C643:D643)</f>
        <v>149322.62546954511</v>
      </c>
      <c r="F643" s="180">
        <f>(F624/F612)*BW64</f>
        <v>609.07257851490908</v>
      </c>
      <c r="G643" s="180">
        <f>(G625/G612)*BW77</f>
        <v>0</v>
      </c>
      <c r="H643" s="180">
        <f>(H628/H612)*BW60</f>
        <v>23189.42508158278</v>
      </c>
      <c r="I643" s="180">
        <f>(I629/I612)*BW78</f>
        <v>51798.915455074501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5603071</v>
      </c>
      <c r="D644" s="180">
        <f>(D615/D612)*BX76</f>
        <v>233616.17031879534</v>
      </c>
      <c r="E644" s="180">
        <f>(E623/E612)*SUM(C644:D644)</f>
        <v>813384.31858246459</v>
      </c>
      <c r="F644" s="180">
        <f>(F624/F612)*BX64</f>
        <v>933.61813800629102</v>
      </c>
      <c r="G644" s="180">
        <f>(G625/G612)*BX77</f>
        <v>0</v>
      </c>
      <c r="H644" s="180">
        <f>(H628/H612)*BX60</f>
        <v>183436.66732861599</v>
      </c>
      <c r="I644" s="180">
        <f>(I629/I612)*BX78</f>
        <v>57618.477915672469</v>
      </c>
      <c r="J644" s="180">
        <f>(J630/J612)*BX79</f>
        <v>0</v>
      </c>
      <c r="K644" s="180">
        <f>SUM(C631:J644)</f>
        <v>32606010.1834043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2112004</v>
      </c>
      <c r="D645" s="180">
        <f>(D615/D612)*BY76</f>
        <v>59384.735622240929</v>
      </c>
      <c r="E645" s="180">
        <f>(E623/E612)*SUM(C645:D645)</f>
        <v>302598.63096367882</v>
      </c>
      <c r="F645" s="180">
        <f>(F624/F612)*BY64</f>
        <v>370.77196219247702</v>
      </c>
      <c r="G645" s="180">
        <f>(G625/G612)*BY77</f>
        <v>0</v>
      </c>
      <c r="H645" s="180">
        <f>(H628/H612)*BY60</f>
        <v>71508.426347191533</v>
      </c>
      <c r="I645" s="180">
        <f>(I629/I612)*BY78</f>
        <v>22412.529806931027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4130862</v>
      </c>
      <c r="D647" s="180">
        <f>(D615/D612)*CA76</f>
        <v>355704.91032265039</v>
      </c>
      <c r="E647" s="180">
        <f>(E623/E612)*SUM(C647:D647)</f>
        <v>625235.35400100949</v>
      </c>
      <c r="F647" s="180">
        <f>(F624/F612)*CA64</f>
        <v>1436.418027337867</v>
      </c>
      <c r="G647" s="180">
        <f>(G625/G612)*CA77</f>
        <v>0</v>
      </c>
      <c r="H647" s="180">
        <f>(H628/H612)*CA60</f>
        <v>139921.84974524751</v>
      </c>
      <c r="I647" s="180">
        <f>(I629/I612)*CA78</f>
        <v>134138.50993890694</v>
      </c>
      <c r="J647" s="180">
        <f>(J630/J612)*CA79</f>
        <v>0</v>
      </c>
      <c r="K647" s="180">
        <v>0</v>
      </c>
      <c r="L647" s="180">
        <f>SUM(C645:K647)</f>
        <v>7955578.1367373867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118223844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7305599</v>
      </c>
      <c r="D668" s="180">
        <f>(D615/D612)*C76</f>
        <v>483949.38511661586</v>
      </c>
      <c r="E668" s="180">
        <f>(E623/E612)*SUM(C668:D668)</f>
        <v>1085529.5684704573</v>
      </c>
      <c r="F668" s="180">
        <f>(F624/F612)*C64</f>
        <v>22204.34075835242</v>
      </c>
      <c r="G668" s="180">
        <f>(G625/G612)*C77</f>
        <v>130414.58498941662</v>
      </c>
      <c r="H668" s="180">
        <f>(H628/H612)*C60</f>
        <v>238269.03300956971</v>
      </c>
      <c r="I668" s="180">
        <f>(I629/I612)*C78</f>
        <v>182522.64080966363</v>
      </c>
      <c r="J668" s="180">
        <f>(J630/J612)*C79</f>
        <v>5100.6646345569179</v>
      </c>
      <c r="K668" s="180">
        <f>(K644/K612)*C75</f>
        <v>684094.8922264385</v>
      </c>
      <c r="L668" s="180">
        <f>(L647/L612)*C80</f>
        <v>561312.97584448196</v>
      </c>
      <c r="M668" s="180">
        <f t="shared" ref="M668:M713" si="20">ROUND(SUM(D668:L668),0)</f>
        <v>3393398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5361822</v>
      </c>
      <c r="D669" s="180">
        <f>(D615/D612)*D76</f>
        <v>496200.50435575703</v>
      </c>
      <c r="E669" s="180">
        <f>(E623/E612)*SUM(C669:D669)</f>
        <v>816357.55076554813</v>
      </c>
      <c r="F669" s="180">
        <f>(F624/F612)*D64</f>
        <v>7094.1823732793391</v>
      </c>
      <c r="G669" s="180">
        <f>(G625/G612)*D77</f>
        <v>166648.41557774085</v>
      </c>
      <c r="H669" s="180">
        <f>(H628/H612)*D60</f>
        <v>211753.63460951293</v>
      </c>
      <c r="I669" s="180">
        <f>(I629/I612)*D78</f>
        <v>187139.81433212152</v>
      </c>
      <c r="J669" s="180">
        <f>(J630/J612)*D79</f>
        <v>0</v>
      </c>
      <c r="K669" s="180">
        <f>(K644/K612)*D75</f>
        <v>650476.84296354046</v>
      </c>
      <c r="L669" s="180">
        <f>(L647/L612)*D80</f>
        <v>482382.50513190875</v>
      </c>
      <c r="M669" s="180">
        <f t="shared" si="20"/>
        <v>3018053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26596729</v>
      </c>
      <c r="D670" s="180">
        <f>(D615/D612)*E76</f>
        <v>2881185.6334770368</v>
      </c>
      <c r="E670" s="180">
        <f>(E623/E612)*SUM(C670:D670)</f>
        <v>4107959.3282490727</v>
      </c>
      <c r="F670" s="180">
        <f>(F624/F612)*E64</f>
        <v>48881.815771363814</v>
      </c>
      <c r="G670" s="180">
        <f>(G625/G612)*E77</f>
        <v>997748.08959308569</v>
      </c>
      <c r="H670" s="180">
        <f>(H628/H612)*E60</f>
        <v>1070131.9152190175</v>
      </c>
      <c r="I670" s="180">
        <f>(I629/I612)*E78</f>
        <v>1086526.7400608987</v>
      </c>
      <c r="J670" s="180">
        <f>(J630/J612)*E79</f>
        <v>14698.520485981848</v>
      </c>
      <c r="K670" s="180">
        <f>(K644/K612)*E75</f>
        <v>2605697.9061886226</v>
      </c>
      <c r="L670" s="180">
        <f>(L647/L612)*E80</f>
        <v>2771099.4988008821</v>
      </c>
      <c r="M670" s="180">
        <f t="shared" si="20"/>
        <v>15583929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8428698</v>
      </c>
      <c r="D671" s="180">
        <f>(D615/D612)*F76</f>
        <v>829515.438137908</v>
      </c>
      <c r="E671" s="180">
        <f>(E623/E612)*SUM(C671:D671)</f>
        <v>1290198.6022080244</v>
      </c>
      <c r="F671" s="180">
        <f>(F624/F612)*F64</f>
        <v>14234.406391455212</v>
      </c>
      <c r="G671" s="180">
        <f>(G625/G612)*F77</f>
        <v>142962.95053337875</v>
      </c>
      <c r="H671" s="180">
        <f>(H628/H612)*F60</f>
        <v>259194.94847163546</v>
      </c>
      <c r="I671" s="180">
        <f>(I629/I612)*F78</f>
        <v>312813.5061465223</v>
      </c>
      <c r="J671" s="180">
        <f>(J630/J612)*F79</f>
        <v>4696.1295640040244</v>
      </c>
      <c r="K671" s="180">
        <f>(K644/K612)*F75</f>
        <v>525306.61267291452</v>
      </c>
      <c r="L671" s="180">
        <f>(L647/L612)*F80</f>
        <v>553179.93747713917</v>
      </c>
      <c r="M671" s="180">
        <f t="shared" si="20"/>
        <v>3932103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6040601</v>
      </c>
      <c r="D673" s="180">
        <f>(D615/D612)*H76</f>
        <v>900668.49027065409</v>
      </c>
      <c r="E673" s="180">
        <f>(E623/E612)*SUM(C673:D673)</f>
        <v>967315.80598531058</v>
      </c>
      <c r="F673" s="180">
        <f>(F624/F612)*H64</f>
        <v>4676.8112584067212</v>
      </c>
      <c r="G673" s="180">
        <f>(G625/G612)*H77</f>
        <v>324472.16758188233</v>
      </c>
      <c r="H673" s="180">
        <f>(H628/H612)*H60</f>
        <v>275871.00913787325</v>
      </c>
      <c r="I673" s="180">
        <f>(I629/I612)*H78</f>
        <v>339650.82724580885</v>
      </c>
      <c r="J673" s="180">
        <f>(J630/J612)*H79</f>
        <v>3167.7999386041934</v>
      </c>
      <c r="K673" s="180">
        <f>(K644/K612)*H75</f>
        <v>771354.65605167556</v>
      </c>
      <c r="L673" s="180">
        <f>(L647/L612)*H80</f>
        <v>635043.63514186884</v>
      </c>
      <c r="M673" s="180">
        <f t="shared" si="20"/>
        <v>4222221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35229713</v>
      </c>
      <c r="D681" s="180">
        <f>(D615/D612)*P76</f>
        <v>3233510.9246992343</v>
      </c>
      <c r="E681" s="180">
        <f>(E623/E612)*SUM(C681:D681)</f>
        <v>5360126.7756084744</v>
      </c>
      <c r="F681" s="180">
        <f>(F624/F612)*P64</f>
        <v>746646.82409223868</v>
      </c>
      <c r="G681" s="180">
        <f>(G625/G612)*P77</f>
        <v>0</v>
      </c>
      <c r="H681" s="180">
        <f>(H628/H612)*P60</f>
        <v>458891.92980168003</v>
      </c>
      <c r="I681" s="180">
        <f>(I629/I612)*P78</f>
        <v>881543.47388677858</v>
      </c>
      <c r="J681" s="180">
        <f>(J630/J612)*P79</f>
        <v>13228.219384099604</v>
      </c>
      <c r="K681" s="180">
        <f>(K644/K612)*P75</f>
        <v>7765285.5584760336</v>
      </c>
      <c r="L681" s="180">
        <f>(L647/L612)*P80</f>
        <v>694108.15967847349</v>
      </c>
      <c r="M681" s="180">
        <f t="shared" si="20"/>
        <v>19153342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5198964</v>
      </c>
      <c r="D682" s="180">
        <f>(D615/D612)*Q76</f>
        <v>210864.09173181889</v>
      </c>
      <c r="E682" s="180">
        <f>(E623/E612)*SUM(C682:D682)</f>
        <v>753898.43718508235</v>
      </c>
      <c r="F682" s="180">
        <f>(F624/F612)*Q64</f>
        <v>16098.021414498404</v>
      </c>
      <c r="G682" s="180">
        <f>(G625/G612)*Q77</f>
        <v>0</v>
      </c>
      <c r="H682" s="180">
        <f>(H628/H612)*Q60</f>
        <v>169486.05702057216</v>
      </c>
      <c r="I682" s="180">
        <f>(I629/I612)*Q78</f>
        <v>79501.956589821857</v>
      </c>
      <c r="J682" s="180">
        <f>(J630/J612)*Q79</f>
        <v>3057.704461029798</v>
      </c>
      <c r="K682" s="180">
        <f>(K644/K612)*Q75</f>
        <v>701305.83352474158</v>
      </c>
      <c r="L682" s="180">
        <f>(L647/L612)*Q80</f>
        <v>416118.24171273829</v>
      </c>
      <c r="M682" s="180">
        <f t="shared" si="20"/>
        <v>2350330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1409325</v>
      </c>
      <c r="D683" s="180">
        <f>(D615/D612)*R76</f>
        <v>58600.181188207258</v>
      </c>
      <c r="E683" s="180">
        <f>(E623/E612)*SUM(C683:D683)</f>
        <v>204565.9272785038</v>
      </c>
      <c r="F683" s="180">
        <f>(F624/F612)*R64</f>
        <v>21371.156962905345</v>
      </c>
      <c r="G683" s="180">
        <f>(G625/G612)*R77</f>
        <v>0</v>
      </c>
      <c r="H683" s="180">
        <f>(H628/H612)*R60</f>
        <v>38433.469457922067</v>
      </c>
      <c r="I683" s="180">
        <f>(I629/I612)*R78</f>
        <v>22075.860904251807</v>
      </c>
      <c r="J683" s="180">
        <f>(J630/J612)*R79</f>
        <v>0</v>
      </c>
      <c r="K683" s="180">
        <f>(K644/K612)*R75</f>
        <v>871486.15628803277</v>
      </c>
      <c r="L683" s="180">
        <f>(L647/L612)*R80</f>
        <v>0</v>
      </c>
      <c r="M683" s="180">
        <f t="shared" si="20"/>
        <v>1216533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2445410</v>
      </c>
      <c r="D684" s="180">
        <f>(D615/D612)*S76</f>
        <v>0</v>
      </c>
      <c r="E684" s="180">
        <f>(E623/E612)*SUM(C684:D684)</f>
        <v>340785.46416187385</v>
      </c>
      <c r="F684" s="180">
        <f>(F624/F612)*S64</f>
        <v>12564.897917883525</v>
      </c>
      <c r="G684" s="180">
        <f>(G625/G612)*S77</f>
        <v>0</v>
      </c>
      <c r="H684" s="180">
        <f>(H628/H612)*S60</f>
        <v>74788.205591797872</v>
      </c>
      <c r="I684" s="180">
        <f>(I629/I612)*S78</f>
        <v>0</v>
      </c>
      <c r="J684" s="180">
        <f>(J630/J612)*S79</f>
        <v>14351.549401066481</v>
      </c>
      <c r="K684" s="180">
        <f>(K644/K612)*S75</f>
        <v>58178.969889137574</v>
      </c>
      <c r="L684" s="180">
        <f>(L647/L612)*S80</f>
        <v>0</v>
      </c>
      <c r="M684" s="180">
        <f t="shared" si="20"/>
        <v>500669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692072</v>
      </c>
      <c r="D685" s="180">
        <f>(D615/D612)*T76</f>
        <v>0</v>
      </c>
      <c r="E685" s="180">
        <f>(E623/E612)*SUM(C685:D685)</f>
        <v>96445.208678068855</v>
      </c>
      <c r="F685" s="180">
        <f>(F624/F612)*T64</f>
        <v>5837.2750288526795</v>
      </c>
      <c r="G685" s="180">
        <f>(G625/G612)*T77</f>
        <v>0</v>
      </c>
      <c r="H685" s="180">
        <f>(H628/H612)*T60</f>
        <v>9885.5318076866843</v>
      </c>
      <c r="I685" s="180">
        <f>(I629/I612)*T78</f>
        <v>0</v>
      </c>
      <c r="J685" s="180">
        <f>(J630/J612)*T79</f>
        <v>0</v>
      </c>
      <c r="K685" s="180">
        <f>(K644/K612)*T75</f>
        <v>46127.716954266667</v>
      </c>
      <c r="L685" s="180">
        <f>(L647/L612)*T80</f>
        <v>28532.298534612626</v>
      </c>
      <c r="M685" s="180">
        <f t="shared" si="20"/>
        <v>186828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14183101</v>
      </c>
      <c r="D686" s="180">
        <f>(D615/D612)*U76</f>
        <v>664276.20426220109</v>
      </c>
      <c r="E686" s="180">
        <f>(E623/E612)*SUM(C686:D686)</f>
        <v>2069088.7549085508</v>
      </c>
      <c r="F686" s="180">
        <f>(F624/F612)*U64</f>
        <v>86144.213213903189</v>
      </c>
      <c r="G686" s="180">
        <f>(G625/G612)*U77</f>
        <v>0</v>
      </c>
      <c r="H686" s="180">
        <f>(H628/H612)*U60</f>
        <v>383410.81310186675</v>
      </c>
      <c r="I686" s="180">
        <f>(I629/I612)*U78</f>
        <v>170450.65587073725</v>
      </c>
      <c r="J686" s="180">
        <f>(J630/J612)*U79</f>
        <v>283.17454938702537</v>
      </c>
      <c r="K686" s="180">
        <f>(K644/K612)*U75</f>
        <v>1979284.0217389918</v>
      </c>
      <c r="L686" s="180">
        <f>(L647/L612)*U80</f>
        <v>0</v>
      </c>
      <c r="M686" s="180">
        <f t="shared" si="20"/>
        <v>5352938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718617</v>
      </c>
      <c r="D687" s="180">
        <f>(D615/D612)*V76</f>
        <v>31563.228384585371</v>
      </c>
      <c r="E687" s="180">
        <f>(E623/E612)*SUM(C687:D687)</f>
        <v>104543.00805799496</v>
      </c>
      <c r="F687" s="180">
        <f>(F624/F612)*V64</f>
        <v>498.88302387488858</v>
      </c>
      <c r="G687" s="180">
        <f>(G625/G612)*V77</f>
        <v>0</v>
      </c>
      <c r="H687" s="180">
        <f>(H628/H612)*V60</f>
        <v>31458.16430390015</v>
      </c>
      <c r="I687" s="180">
        <f>(I629/I612)*V78</f>
        <v>11879.602708823957</v>
      </c>
      <c r="J687" s="180">
        <f>(J630/J612)*V79</f>
        <v>0</v>
      </c>
      <c r="K687" s="180">
        <f>(K644/K612)*V75</f>
        <v>225746.52719201447</v>
      </c>
      <c r="L687" s="180">
        <f>(L647/L612)*V80</f>
        <v>0</v>
      </c>
      <c r="M687" s="180">
        <f t="shared" si="20"/>
        <v>405689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1839896</v>
      </c>
      <c r="D688" s="180">
        <f>(D615/D612)*W76</f>
        <v>273266.34440803545</v>
      </c>
      <c r="E688" s="180">
        <f>(E623/E612)*SUM(C688:D688)</f>
        <v>294484.36474394309</v>
      </c>
      <c r="F688" s="180">
        <f>(F624/F612)*W64</f>
        <v>7290.986386697431</v>
      </c>
      <c r="G688" s="180">
        <f>(G625/G612)*W77</f>
        <v>0</v>
      </c>
      <c r="H688" s="180">
        <f>(H628/H612)*W60</f>
        <v>45593.550907414749</v>
      </c>
      <c r="I688" s="180">
        <f>(I629/I612)*W78</f>
        <v>41698.848374697853</v>
      </c>
      <c r="J688" s="180">
        <f>(J630/J612)*W79</f>
        <v>363.38475667751294</v>
      </c>
      <c r="K688" s="180">
        <f>(K644/K612)*W75</f>
        <v>984315.12841381051</v>
      </c>
      <c r="L688" s="180">
        <f>(L647/L612)*W80</f>
        <v>0</v>
      </c>
      <c r="M688" s="180">
        <f t="shared" si="20"/>
        <v>1647013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2032312</v>
      </c>
      <c r="D689" s="180">
        <f>(D615/D612)*X76</f>
        <v>85516.433309670116</v>
      </c>
      <c r="E689" s="180">
        <f>(E623/E612)*SUM(C689:D689)</f>
        <v>295134.61777806177</v>
      </c>
      <c r="F689" s="180">
        <f>(F624/F612)*X64</f>
        <v>8487.4040259109061</v>
      </c>
      <c r="G689" s="180">
        <f>(G625/G612)*X77</f>
        <v>0</v>
      </c>
      <c r="H689" s="180">
        <f>(H628/H612)*X60</f>
        <v>50628.70495899349</v>
      </c>
      <c r="I689" s="180">
        <f>(I629/I612)*X78</f>
        <v>32272.119099679654</v>
      </c>
      <c r="J689" s="180">
        <f>(J630/J612)*X79</f>
        <v>0</v>
      </c>
      <c r="K689" s="180">
        <f>(K644/K612)*X75</f>
        <v>1912230.2644916382</v>
      </c>
      <c r="L689" s="180">
        <f>(L647/L612)*X80</f>
        <v>133.32849782529263</v>
      </c>
      <c r="M689" s="180">
        <f t="shared" si="20"/>
        <v>2384403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14242894</v>
      </c>
      <c r="D690" s="180">
        <f>(D615/D612)*Y76</f>
        <v>1896026.6656950642</v>
      </c>
      <c r="E690" s="180">
        <f>(E623/E612)*SUM(C690:D690)</f>
        <v>2249074.6214870107</v>
      </c>
      <c r="F690" s="180">
        <f>(F624/F612)*Y64</f>
        <v>110844.59496031019</v>
      </c>
      <c r="G690" s="180">
        <f>(G625/G612)*Y77</f>
        <v>0</v>
      </c>
      <c r="H690" s="180">
        <f>(H628/H612)*Y60</f>
        <v>323959.04003414355</v>
      </c>
      <c r="I690" s="180">
        <f>(I629/I612)*Y78</f>
        <v>317478.77522650582</v>
      </c>
      <c r="J690" s="180">
        <f>(J630/J612)*Y79</f>
        <v>6976.584728712196</v>
      </c>
      <c r="K690" s="180">
        <f>(K644/K612)*Y75</f>
        <v>2694944.9442481939</v>
      </c>
      <c r="L690" s="180">
        <f>(L647/L612)*Y80</f>
        <v>79463.784703874408</v>
      </c>
      <c r="M690" s="180">
        <f t="shared" si="20"/>
        <v>7678769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-410486</v>
      </c>
      <c r="D691" s="180">
        <f>(D615/D612)*Z76</f>
        <v>0</v>
      </c>
      <c r="E691" s="180">
        <f>(E623/E612)*SUM(C691:D691)</f>
        <v>-57204.175186145047</v>
      </c>
      <c r="F691" s="180">
        <f>(F624/F612)*Z64</f>
        <v>18.734441382458225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1004.7067174281823</v>
      </c>
      <c r="L691" s="180">
        <f>(L647/L612)*Z80</f>
        <v>0</v>
      </c>
      <c r="M691" s="180">
        <f t="shared" si="20"/>
        <v>-56181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462827</v>
      </c>
      <c r="D692" s="180">
        <f>(D615/D612)*AA76</f>
        <v>51840.942987301787</v>
      </c>
      <c r="E692" s="180">
        <f>(E623/E612)*SUM(C692:D692)</f>
        <v>71722.677931375307</v>
      </c>
      <c r="F692" s="180">
        <f>(F624/F612)*AA64</f>
        <v>5392.415187031349</v>
      </c>
      <c r="G692" s="180">
        <f>(G625/G612)*AA77</f>
        <v>0</v>
      </c>
      <c r="H692" s="180">
        <f>(H628/H612)*AA60</f>
        <v>10578.442915702106</v>
      </c>
      <c r="I692" s="180">
        <f>(I629/I612)*AA78</f>
        <v>19526.796355394843</v>
      </c>
      <c r="J692" s="180">
        <f>(J630/J612)*AA79</f>
        <v>0</v>
      </c>
      <c r="K692" s="180">
        <f>(K644/K612)*AA75</f>
        <v>48273.206750300284</v>
      </c>
      <c r="L692" s="180">
        <f>(L647/L612)*AA80</f>
        <v>0</v>
      </c>
      <c r="M692" s="180">
        <f t="shared" si="20"/>
        <v>207334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16081956</v>
      </c>
      <c r="D693" s="180">
        <f>(D615/D612)*AB76</f>
        <v>155160.72691542827</v>
      </c>
      <c r="E693" s="180">
        <f>(E623/E612)*SUM(C693:D693)</f>
        <v>2262758.9485740224</v>
      </c>
      <c r="F693" s="180">
        <f>(F624/F612)*AB64</f>
        <v>383724.81454837712</v>
      </c>
      <c r="G693" s="180">
        <f>(G625/G612)*AB77</f>
        <v>0</v>
      </c>
      <c r="H693" s="180">
        <f>(H628/H612)*AB60</f>
        <v>164219.93259965495</v>
      </c>
      <c r="I693" s="180">
        <f>(I629/I612)*AB78</f>
        <v>58532.293508658928</v>
      </c>
      <c r="J693" s="180">
        <f>(J630/J612)*AB79</f>
        <v>447.11770955846112</v>
      </c>
      <c r="K693" s="180">
        <f>(K644/K612)*AB75</f>
        <v>2153593.213915322</v>
      </c>
      <c r="L693" s="180">
        <f>(L647/L612)*AB80</f>
        <v>0</v>
      </c>
      <c r="M693" s="180">
        <f t="shared" si="20"/>
        <v>5178437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2151869</v>
      </c>
      <c r="D694" s="180">
        <f>(D615/D612)*AC76</f>
        <v>66264.674505305418</v>
      </c>
      <c r="E694" s="180">
        <f>(E623/E612)*SUM(C694:D694)</f>
        <v>309112.87425804808</v>
      </c>
      <c r="F694" s="180">
        <f>(F624/F612)*AC64</f>
        <v>10659.786291935994</v>
      </c>
      <c r="G694" s="180">
        <f>(G625/G612)*AC77</f>
        <v>0</v>
      </c>
      <c r="H694" s="180">
        <f>(H628/H612)*AC60</f>
        <v>77328.879654521064</v>
      </c>
      <c r="I694" s="180">
        <f>(I629/I612)*AC78</f>
        <v>25009.689913313592</v>
      </c>
      <c r="J694" s="180">
        <f>(J630/J612)*AC79</f>
        <v>0</v>
      </c>
      <c r="K694" s="180">
        <f>(K644/K612)*AC75</f>
        <v>314512.35783528298</v>
      </c>
      <c r="L694" s="180">
        <f>(L647/L612)*AC80</f>
        <v>0</v>
      </c>
      <c r="M694" s="180">
        <f t="shared" si="20"/>
        <v>802888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3876230</v>
      </c>
      <c r="D696" s="180">
        <f>(D615/D612)*AE76</f>
        <v>1037482.7134979103</v>
      </c>
      <c r="E696" s="180">
        <f>(E623/E612)*SUM(C696:D696)</f>
        <v>684761.19253110362</v>
      </c>
      <c r="F696" s="180">
        <f>(F624/F612)*AE64</f>
        <v>902.87443932738518</v>
      </c>
      <c r="G696" s="180">
        <f>(G625/G612)*AE77</f>
        <v>0</v>
      </c>
      <c r="H696" s="180">
        <f>(H628/H612)*AE60</f>
        <v>142092.97121702918</v>
      </c>
      <c r="I696" s="180">
        <f>(I629/I612)*AE78</f>
        <v>94507.770537810022</v>
      </c>
      <c r="J696" s="180">
        <f>(J630/J612)*AE79</f>
        <v>794.59204384389375</v>
      </c>
      <c r="K696" s="180">
        <f>(K644/K612)*AE75</f>
        <v>198562.83010913891</v>
      </c>
      <c r="L696" s="180">
        <f>(L647/L612)*AE80</f>
        <v>0</v>
      </c>
      <c r="M696" s="180">
        <f t="shared" si="20"/>
        <v>2159105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7668771</v>
      </c>
      <c r="D698" s="180">
        <f>(D615/D612)*AG76</f>
        <v>726980.20864381525</v>
      </c>
      <c r="E698" s="180">
        <f>(E623/E612)*SUM(C698:D698)</f>
        <v>1170008.2900721333</v>
      </c>
      <c r="F698" s="180">
        <f>(F624/F612)*AG64</f>
        <v>27179.572822685637</v>
      </c>
      <c r="G698" s="180">
        <f>(G625/G612)*AG77</f>
        <v>0</v>
      </c>
      <c r="H698" s="180">
        <f>(H628/H612)*AG60</f>
        <v>322296.05337490654</v>
      </c>
      <c r="I698" s="180">
        <f>(I629/I612)*AG78</f>
        <v>274144.67789593746</v>
      </c>
      <c r="J698" s="180">
        <f>(J630/J612)*AG79</f>
        <v>7581.4130485512778</v>
      </c>
      <c r="K698" s="180">
        <f>(K644/K612)*AG75</f>
        <v>2822894.4414246469</v>
      </c>
      <c r="L698" s="180">
        <f>(L647/L612)*AG80</f>
        <v>507181.60572741315</v>
      </c>
      <c r="M698" s="180">
        <f t="shared" si="20"/>
        <v>5858266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100896900</v>
      </c>
      <c r="D701" s="180">
        <f>(D615/D612)*AJ76</f>
        <v>4845528.8852741094</v>
      </c>
      <c r="E701" s="180">
        <f>(E623/E612)*SUM(C701:D701)</f>
        <v>14735967.673834685</v>
      </c>
      <c r="F701" s="180">
        <f>(F624/F612)*AJ64</f>
        <v>592448.77334019181</v>
      </c>
      <c r="G701" s="180">
        <f>(G625/G612)*AJ77</f>
        <v>0</v>
      </c>
      <c r="H701" s="180">
        <f>(H628/H612)*AJ60</f>
        <v>1940382.0728125195</v>
      </c>
      <c r="I701" s="180">
        <f>(I629/I612)*AJ78</f>
        <v>0</v>
      </c>
      <c r="J701" s="180">
        <f>(J630/J612)*AJ79</f>
        <v>0</v>
      </c>
      <c r="K701" s="180">
        <f>(K644/K612)*AJ75</f>
        <v>2660184.2560823252</v>
      </c>
      <c r="L701" s="180">
        <f>(L647/L612)*AJ80</f>
        <v>574379.16863136063</v>
      </c>
      <c r="M701" s="180">
        <f t="shared" si="20"/>
        <v>25348891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1619159</v>
      </c>
      <c r="D702" s="180">
        <f>(D615/D612)*AK76</f>
        <v>194569.49964035035</v>
      </c>
      <c r="E702" s="180">
        <f>(E623/E612)*SUM(C702:D702)</f>
        <v>252756.10577103871</v>
      </c>
      <c r="F702" s="180">
        <f>(F624/F612)*AK64</f>
        <v>1331.1430302991619</v>
      </c>
      <c r="G702" s="180">
        <f>(G625/G612)*AK77</f>
        <v>0</v>
      </c>
      <c r="H702" s="180">
        <f>(H628/H612)*AK60</f>
        <v>58296.921221030818</v>
      </c>
      <c r="I702" s="180">
        <f>(I629/I612)*AK78</f>
        <v>73393.820784070267</v>
      </c>
      <c r="J702" s="180">
        <f>(J630/J612)*AK79</f>
        <v>0</v>
      </c>
      <c r="K702" s="180">
        <f>(K644/K612)*AK75</f>
        <v>138911.66873122181</v>
      </c>
      <c r="L702" s="180">
        <f>(L647/L612)*AK80</f>
        <v>0</v>
      </c>
      <c r="M702" s="180">
        <f t="shared" si="20"/>
        <v>719259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479056</v>
      </c>
      <c r="D703" s="180">
        <f>(D615/D612)*AL76</f>
        <v>78395.09306228756</v>
      </c>
      <c r="E703" s="180">
        <f>(E623/E612)*SUM(C703:D703)</f>
        <v>77684.817473051793</v>
      </c>
      <c r="F703" s="180">
        <f>(F624/F612)*AL64</f>
        <v>114.99325755859959</v>
      </c>
      <c r="G703" s="180">
        <f>(G625/G612)*AL77</f>
        <v>0</v>
      </c>
      <c r="H703" s="180">
        <f>(H628/H612)*AL60</f>
        <v>19586.287319902593</v>
      </c>
      <c r="I703" s="180">
        <f>(I629/I612)*AL78</f>
        <v>29578.767878245882</v>
      </c>
      <c r="J703" s="180">
        <f>(J630/J612)*AL79</f>
        <v>0</v>
      </c>
      <c r="K703" s="180">
        <f>(K644/K612)*AL75</f>
        <v>41242.925842179313</v>
      </c>
      <c r="L703" s="180">
        <f>(L647/L612)*AL80</f>
        <v>0</v>
      </c>
      <c r="M703" s="180">
        <f t="shared" si="20"/>
        <v>246603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13223947</v>
      </c>
      <c r="D713" s="180">
        <f>(D615/D612)*AV76</f>
        <v>1596266.5215531224</v>
      </c>
      <c r="E713" s="180">
        <f>(E623/E612)*SUM(C713:D713)</f>
        <v>2065303.3004365566</v>
      </c>
      <c r="F713" s="180">
        <f>(F624/F612)*AV64</f>
        <v>195615.17084886524</v>
      </c>
      <c r="G713" s="180">
        <f>(G625/G612)*AV77</f>
        <v>0</v>
      </c>
      <c r="H713" s="180">
        <f>(H628/H612)*AV60</f>
        <v>152163.27932018662</v>
      </c>
      <c r="I713" s="180">
        <f>(I629/I612)*AV78</f>
        <v>315795.43071310973</v>
      </c>
      <c r="J713" s="180">
        <f>(J630/J612)*AV79</f>
        <v>4241.0759989945254</v>
      </c>
      <c r="K713" s="180">
        <f>(K644/K612)*AV75</f>
        <v>1750994.5446764026</v>
      </c>
      <c r="L713" s="180">
        <f>(L647/L612)*AV80</f>
        <v>652642.99685480748</v>
      </c>
      <c r="M713" s="180">
        <f t="shared" si="20"/>
        <v>6733022</v>
      </c>
      <c r="N713" s="199" t="s">
        <v>741</v>
      </c>
    </row>
    <row r="715" spans="1:15" ht="12.6" customHeight="1" x14ac:dyDescent="0.25">
      <c r="C715" s="180">
        <f>SUM(C614:C647)+SUM(C668:C713)</f>
        <v>395999826</v>
      </c>
      <c r="D715" s="180">
        <f>SUM(D616:D647)+SUM(D668:D713)</f>
        <v>25673880</v>
      </c>
      <c r="E715" s="180">
        <f>SUM(E624:E647)+SUM(E668:E713)</f>
        <v>48435576.845656246</v>
      </c>
      <c r="F715" s="180">
        <f>SUM(F625:F648)+SUM(F668:F713)</f>
        <v>2410599.1131589306</v>
      </c>
      <c r="G715" s="180">
        <f>SUM(G626:G647)+SUM(G668:G713)</f>
        <v>1762246.2082755044</v>
      </c>
      <c r="H715" s="180">
        <f>SUM(H629:H647)+SUM(H668:H713)</f>
        <v>7894844.3884322448</v>
      </c>
      <c r="I715" s="180">
        <f>SUM(I630:I647)+SUM(I668:I713)</f>
        <v>5120589.7230783803</v>
      </c>
      <c r="J715" s="180">
        <f>SUM(J631:J647)+SUM(J668:J713)</f>
        <v>78987.930705067745</v>
      </c>
      <c r="K715" s="180">
        <f>SUM(K668:K713)</f>
        <v>32606010.183404297</v>
      </c>
      <c r="L715" s="180">
        <f>SUM(L668:L713)</f>
        <v>7955578.1367373848</v>
      </c>
      <c r="M715" s="180">
        <f>SUM(M668:M713)</f>
        <v>118223842</v>
      </c>
      <c r="N715" s="198" t="s">
        <v>742</v>
      </c>
    </row>
    <row r="716" spans="1:15" ht="12.6" customHeight="1" x14ac:dyDescent="0.25">
      <c r="C716" s="180">
        <f>CE71</f>
        <v>395999826</v>
      </c>
      <c r="D716" s="180">
        <f>D615</f>
        <v>25673880</v>
      </c>
      <c r="E716" s="180">
        <f>E623</f>
        <v>48435576.845656231</v>
      </c>
      <c r="F716" s="180">
        <f>F624</f>
        <v>2410599.113158931</v>
      </c>
      <c r="G716" s="180">
        <f>G625</f>
        <v>1762246.2082755044</v>
      </c>
      <c r="H716" s="180">
        <f>H628</f>
        <v>7894844.3884322457</v>
      </c>
      <c r="I716" s="180">
        <f>I629</f>
        <v>5120589.7230783813</v>
      </c>
      <c r="J716" s="180">
        <f>J630</f>
        <v>78987.93070506776</v>
      </c>
      <c r="K716" s="180">
        <f>K644</f>
        <v>32606010.1834043</v>
      </c>
      <c r="L716" s="180">
        <f>L647</f>
        <v>7955578.1367373867</v>
      </c>
      <c r="M716" s="180">
        <f>C648</f>
        <v>118223844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A2" sqref="A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1124537</v>
      </c>
      <c r="D47" s="184">
        <v>866098</v>
      </c>
      <c r="E47" s="184">
        <v>4084172</v>
      </c>
      <c r="F47" s="184">
        <v>1308288</v>
      </c>
      <c r="G47" s="184"/>
      <c r="H47" s="184">
        <v>1104832</v>
      </c>
      <c r="I47" s="184"/>
      <c r="J47" s="184"/>
      <c r="K47" s="184"/>
      <c r="L47" s="184"/>
      <c r="M47" s="184"/>
      <c r="N47" s="184"/>
      <c r="O47" s="184"/>
      <c r="P47" s="184">
        <v>2494599</v>
      </c>
      <c r="Q47" s="184">
        <v>478757</v>
      </c>
      <c r="R47" s="184">
        <v>124657</v>
      </c>
      <c r="S47" s="184">
        <v>196384</v>
      </c>
      <c r="T47" s="184">
        <v>62416</v>
      </c>
      <c r="U47" s="184">
        <v>1243905</v>
      </c>
      <c r="V47" s="184">
        <v>92187</v>
      </c>
      <c r="W47" s="184">
        <v>235247</v>
      </c>
      <c r="X47" s="184">
        <v>222148</v>
      </c>
      <c r="Y47" s="184">
        <v>1317334</v>
      </c>
      <c r="Z47" s="184"/>
      <c r="AA47" s="184">
        <v>50408</v>
      </c>
      <c r="AB47" s="184">
        <v>799795</v>
      </c>
      <c r="AC47" s="184">
        <f>322603+15275</f>
        <v>337878</v>
      </c>
      <c r="AD47" s="184"/>
      <c r="AE47" s="184">
        <v>642432</v>
      </c>
      <c r="AF47" s="184"/>
      <c r="AG47" s="184">
        <v>1254314</v>
      </c>
      <c r="AH47" s="184"/>
      <c r="AI47" s="184"/>
      <c r="AJ47" s="184">
        <v>7816778</v>
      </c>
      <c r="AK47" s="184">
        <v>323616</v>
      </c>
      <c r="AL47" s="184">
        <v>97073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757606</v>
      </c>
      <c r="AW47" s="184"/>
      <c r="AX47" s="184"/>
      <c r="AY47" s="184">
        <f>781454*(AY59/(AY59+AZ59))</f>
        <v>235020.7055696827</v>
      </c>
      <c r="AZ47" s="184">
        <f>781454-AY47</f>
        <v>546433.29443031736</v>
      </c>
      <c r="BA47" s="184">
        <v>12308</v>
      </c>
      <c r="BB47" s="184"/>
      <c r="BC47" s="184"/>
      <c r="BD47" s="184">
        <v>300774</v>
      </c>
      <c r="BE47" s="184">
        <v>707514</v>
      </c>
      <c r="BF47" s="184">
        <v>596520</v>
      </c>
      <c r="BG47" s="184"/>
      <c r="BH47" s="184">
        <v>224538</v>
      </c>
      <c r="BI47" s="184"/>
      <c r="BJ47" s="184">
        <v>212853</v>
      </c>
      <c r="BK47" s="184">
        <v>358778</v>
      </c>
      <c r="BL47" s="184">
        <v>888754</v>
      </c>
      <c r="BM47" s="184"/>
      <c r="BN47" s="184">
        <v>442145</v>
      </c>
      <c r="BO47" s="184">
        <v>64344</v>
      </c>
      <c r="BP47" s="184">
        <v>309299</v>
      </c>
      <c r="BQ47" s="184"/>
      <c r="BR47" s="184">
        <v>1174301</v>
      </c>
      <c r="BS47" s="184">
        <v>16000</v>
      </c>
      <c r="BT47" s="184"/>
      <c r="BU47" s="184"/>
      <c r="BV47" s="184">
        <v>494069</v>
      </c>
      <c r="BW47" s="184">
        <v>142202</v>
      </c>
      <c r="BX47" s="184">
        <v>1013728</v>
      </c>
      <c r="BY47" s="184">
        <v>245911</v>
      </c>
      <c r="BZ47" s="184"/>
      <c r="CA47" s="184">
        <v>313381</v>
      </c>
      <c r="CB47" s="184"/>
      <c r="CC47" s="184">
        <f>153477-1</f>
        <v>153476</v>
      </c>
      <c r="CD47" s="195"/>
      <c r="CE47" s="195">
        <f>SUM(C47:CC47)</f>
        <v>35487810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62008</v>
      </c>
      <c r="D51" s="184">
        <v>3583</v>
      </c>
      <c r="E51" s="184">
        <v>213066</v>
      </c>
      <c r="F51" s="184">
        <v>192662</v>
      </c>
      <c r="G51" s="184"/>
      <c r="H51" s="184">
        <v>29694</v>
      </c>
      <c r="I51" s="184"/>
      <c r="J51" s="184"/>
      <c r="K51" s="184"/>
      <c r="L51" s="184"/>
      <c r="M51" s="184"/>
      <c r="N51" s="184"/>
      <c r="O51" s="184"/>
      <c r="P51" s="184">
        <v>2685706</v>
      </c>
      <c r="Q51" s="184">
        <v>25273</v>
      </c>
      <c r="R51" s="184">
        <v>50364</v>
      </c>
      <c r="S51" s="184">
        <v>77605</v>
      </c>
      <c r="T51" s="184">
        <v>72541</v>
      </c>
      <c r="U51" s="184">
        <v>139202</v>
      </c>
      <c r="V51" s="184">
        <v>63076</v>
      </c>
      <c r="W51" s="184">
        <v>5737</v>
      </c>
      <c r="X51" s="184">
        <v>150548</v>
      </c>
      <c r="Y51" s="184">
        <v>1388027</v>
      </c>
      <c r="Z51" s="184">
        <v>291669</v>
      </c>
      <c r="AA51" s="184"/>
      <c r="AB51" s="184">
        <v>118607</v>
      </c>
      <c r="AC51" s="184">
        <v>51464</v>
      </c>
      <c r="AD51" s="184"/>
      <c r="AE51" s="184">
        <v>21950</v>
      </c>
      <c r="AF51" s="184"/>
      <c r="AG51" s="184">
        <v>140094</v>
      </c>
      <c r="AH51" s="184"/>
      <c r="AI51" s="184"/>
      <c r="AJ51" s="184">
        <v>1192419</v>
      </c>
      <c r="AK51" s="184">
        <v>444</v>
      </c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818586</v>
      </c>
      <c r="AW51" s="184"/>
      <c r="AX51" s="184"/>
      <c r="AY51" s="184">
        <f>107944*(AY59/(AY59+AZ59))</f>
        <v>32463.939070007742</v>
      </c>
      <c r="AZ51" s="184">
        <f>107944-AY51</f>
        <v>75480.060929992265</v>
      </c>
      <c r="BA51" s="184"/>
      <c r="BB51" s="184"/>
      <c r="BC51" s="184"/>
      <c r="BD51" s="184">
        <v>12544</v>
      </c>
      <c r="BE51" s="184">
        <v>2263189</v>
      </c>
      <c r="BF51" s="184">
        <v>1023</v>
      </c>
      <c r="BG51" s="184"/>
      <c r="BH51" s="184">
        <v>2886367</v>
      </c>
      <c r="BI51" s="184"/>
      <c r="BJ51" s="184">
        <v>4062</v>
      </c>
      <c r="BK51" s="184">
        <v>1775</v>
      </c>
      <c r="BL51" s="184">
        <v>1510</v>
      </c>
      <c r="BM51" s="184"/>
      <c r="BN51" s="184">
        <v>23409</v>
      </c>
      <c r="BO51" s="184"/>
      <c r="BP51" s="184">
        <v>115515</v>
      </c>
      <c r="BQ51" s="184"/>
      <c r="BR51" s="184"/>
      <c r="BS51" s="184">
        <v>225</v>
      </c>
      <c r="BT51" s="184"/>
      <c r="BU51" s="184"/>
      <c r="BV51" s="184">
        <v>8954</v>
      </c>
      <c r="BW51" s="184"/>
      <c r="BX51" s="184"/>
      <c r="BY51" s="184">
        <v>248170</v>
      </c>
      <c r="BZ51" s="184"/>
      <c r="CA51" s="184"/>
      <c r="CB51" s="184"/>
      <c r="CC51" s="184">
        <v>2728576</v>
      </c>
      <c r="CD51" s="195"/>
      <c r="CE51" s="195">
        <f>SUM(C51:CD51)</f>
        <v>16197588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3701</v>
      </c>
      <c r="D59" s="184">
        <v>4673</v>
      </c>
      <c r="E59" s="184">
        <v>24237</v>
      </c>
      <c r="F59" s="184">
        <v>4370</v>
      </c>
      <c r="G59" s="184"/>
      <c r="H59" s="184">
        <v>9649</v>
      </c>
      <c r="I59" s="184"/>
      <c r="J59" s="184"/>
      <c r="K59" s="184"/>
      <c r="L59" s="184"/>
      <c r="M59" s="184"/>
      <c r="N59" s="184"/>
      <c r="O59" s="184"/>
      <c r="P59" s="185">
        <v>2345649</v>
      </c>
      <c r="Q59" s="185">
        <v>888255</v>
      </c>
      <c r="R59" s="185">
        <v>1275752</v>
      </c>
      <c r="S59" s="248"/>
      <c r="T59" s="248"/>
      <c r="U59" s="224">
        <v>851993</v>
      </c>
      <c r="V59" s="185">
        <v>22658</v>
      </c>
      <c r="W59" s="185">
        <v>7718</v>
      </c>
      <c r="X59" s="185">
        <v>20016</v>
      </c>
      <c r="Y59" s="185">
        <v>78281</v>
      </c>
      <c r="Z59" s="185"/>
      <c r="AA59" s="185">
        <v>824</v>
      </c>
      <c r="AB59" s="248"/>
      <c r="AC59" s="185">
        <v>30302</v>
      </c>
      <c r="AD59" s="185"/>
      <c r="AE59" s="185">
        <v>72926</v>
      </c>
      <c r="AF59" s="185"/>
      <c r="AG59" s="185">
        <v>33651</v>
      </c>
      <c r="AH59" s="185"/>
      <c r="AI59" s="185"/>
      <c r="AJ59" s="185">
        <v>149544</v>
      </c>
      <c r="AK59" s="185">
        <v>42405</v>
      </c>
      <c r="AL59" s="185">
        <v>7269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193845</v>
      </c>
      <c r="AZ59" s="185">
        <v>450698</v>
      </c>
      <c r="BA59" s="248"/>
      <c r="BB59" s="248"/>
      <c r="BC59" s="248"/>
      <c r="BD59" s="248"/>
      <c r="BE59" s="185">
        <v>433631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52.08</v>
      </c>
      <c r="D60" s="187">
        <v>45.32</v>
      </c>
      <c r="E60" s="187">
        <v>219.01</v>
      </c>
      <c r="F60" s="223">
        <v>55.58</v>
      </c>
      <c r="G60" s="187"/>
      <c r="H60" s="187">
        <v>61.15</v>
      </c>
      <c r="I60" s="187"/>
      <c r="J60" s="223"/>
      <c r="K60" s="187"/>
      <c r="L60" s="187"/>
      <c r="M60" s="187"/>
      <c r="N60" s="187"/>
      <c r="O60" s="187"/>
      <c r="P60" s="221">
        <v>121.03</v>
      </c>
      <c r="Q60" s="221">
        <v>19.329999999999998</v>
      </c>
      <c r="R60" s="221">
        <v>8.85</v>
      </c>
      <c r="S60" s="221">
        <v>15.81</v>
      </c>
      <c r="T60" s="221">
        <v>2.0499999999999998</v>
      </c>
      <c r="U60" s="221">
        <v>88.3</v>
      </c>
      <c r="V60" s="221">
        <v>7.09</v>
      </c>
      <c r="W60" s="221">
        <v>10.08</v>
      </c>
      <c r="X60" s="221">
        <v>10.130000000000001</v>
      </c>
      <c r="Y60" s="221">
        <v>71.22</v>
      </c>
      <c r="Z60" s="221"/>
      <c r="AA60" s="221">
        <v>2.23</v>
      </c>
      <c r="AB60" s="221">
        <v>34.29</v>
      </c>
      <c r="AC60" s="221">
        <v>17.46</v>
      </c>
      <c r="AD60" s="221"/>
      <c r="AE60" s="221">
        <v>32.08</v>
      </c>
      <c r="AF60" s="221"/>
      <c r="AG60" s="221">
        <v>67.78</v>
      </c>
      <c r="AH60" s="221"/>
      <c r="AI60" s="221"/>
      <c r="AJ60" s="221">
        <v>405.43</v>
      </c>
      <c r="AK60" s="221">
        <v>14.34</v>
      </c>
      <c r="AL60" s="221">
        <v>4.51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33.340000000000003</v>
      </c>
      <c r="AW60" s="221"/>
      <c r="AX60" s="221"/>
      <c r="AY60" s="221">
        <f>71.72*(AY59/(AY59+AZ59))</f>
        <v>21.5696445388438</v>
      </c>
      <c r="AZ60" s="221">
        <f>71.72-AY60</f>
        <v>50.150355461156195</v>
      </c>
      <c r="BA60" s="221">
        <v>1.3</v>
      </c>
      <c r="BB60" s="221"/>
      <c r="BC60" s="221"/>
      <c r="BD60" s="221">
        <v>23.63</v>
      </c>
      <c r="BE60" s="221">
        <v>47.68</v>
      </c>
      <c r="BF60" s="221">
        <v>59.93</v>
      </c>
      <c r="BG60" s="221"/>
      <c r="BH60" s="221">
        <v>8.32</v>
      </c>
      <c r="BI60" s="221"/>
      <c r="BJ60" s="221">
        <v>12.99</v>
      </c>
      <c r="BK60" s="221">
        <v>29.92</v>
      </c>
      <c r="BL60" s="221">
        <v>77.03</v>
      </c>
      <c r="BM60" s="221"/>
      <c r="BN60" s="221">
        <v>12.11</v>
      </c>
      <c r="BO60" s="221">
        <v>2.11</v>
      </c>
      <c r="BP60" s="221">
        <v>0.04</v>
      </c>
      <c r="BQ60" s="221"/>
      <c r="BR60" s="221">
        <v>17.78</v>
      </c>
      <c r="BS60" s="221">
        <v>1</v>
      </c>
      <c r="BT60" s="221"/>
      <c r="BU60" s="221"/>
      <c r="BV60" s="221">
        <v>36.130000000000003</v>
      </c>
      <c r="BW60" s="221">
        <v>5.67</v>
      </c>
      <c r="BX60" s="221">
        <v>46.26</v>
      </c>
      <c r="BY60" s="221">
        <v>11.67</v>
      </c>
      <c r="BZ60" s="221"/>
      <c r="CA60" s="221">
        <v>25.93</v>
      </c>
      <c r="CB60" s="221"/>
      <c r="CC60" s="221">
        <f>26.47</f>
        <v>26.47</v>
      </c>
      <c r="CD60" s="249" t="s">
        <v>221</v>
      </c>
      <c r="CE60" s="251">
        <f t="shared" ref="CE60:CE70" si="0">SUM(C60:CD60)</f>
        <v>1916.1799999999998</v>
      </c>
    </row>
    <row r="61" spans="1:84" ht="12.6" customHeight="1" x14ac:dyDescent="0.25">
      <c r="A61" s="171" t="s">
        <v>235</v>
      </c>
      <c r="B61" s="175"/>
      <c r="C61" s="184">
        <v>4728246</v>
      </c>
      <c r="D61" s="184">
        <v>3600143</v>
      </c>
      <c r="E61" s="184">
        <v>17645446</v>
      </c>
      <c r="F61" s="185">
        <v>5735939</v>
      </c>
      <c r="G61" s="184"/>
      <c r="H61" s="184">
        <v>4695316</v>
      </c>
      <c r="I61" s="185"/>
      <c r="J61" s="185"/>
      <c r="K61" s="185"/>
      <c r="L61" s="185"/>
      <c r="M61" s="184"/>
      <c r="N61" s="184"/>
      <c r="O61" s="184"/>
      <c r="P61" s="185">
        <v>10757703</v>
      </c>
      <c r="Q61" s="185">
        <v>2015308</v>
      </c>
      <c r="R61" s="185">
        <v>517853</v>
      </c>
      <c r="S61" s="185">
        <v>816407</v>
      </c>
      <c r="T61" s="185">
        <v>259270</v>
      </c>
      <c r="U61" s="185">
        <v>5196313</v>
      </c>
      <c r="V61" s="185">
        <v>383080</v>
      </c>
      <c r="W61" s="185">
        <v>977767</v>
      </c>
      <c r="X61" s="185">
        <v>923529</v>
      </c>
      <c r="Y61" s="185">
        <v>5444086</v>
      </c>
      <c r="Z61" s="185"/>
      <c r="AA61" s="185">
        <v>285517</v>
      </c>
      <c r="AB61" s="185">
        <v>3392914</v>
      </c>
      <c r="AC61" s="185">
        <f>1340761+101722</f>
        <v>1442483</v>
      </c>
      <c r="AD61" s="185"/>
      <c r="AE61" s="185">
        <v>2793375</v>
      </c>
      <c r="AF61" s="185"/>
      <c r="AG61" s="185">
        <v>4711581</v>
      </c>
      <c r="AH61" s="185"/>
      <c r="AI61" s="185"/>
      <c r="AJ61" s="185">
        <v>48356957</v>
      </c>
      <c r="AK61" s="185">
        <v>1344479</v>
      </c>
      <c r="AL61" s="185">
        <v>403433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3266029</v>
      </c>
      <c r="AW61" s="185"/>
      <c r="AX61" s="185"/>
      <c r="AY61" s="185">
        <f>3309370*(AY59/(AY59+AZ59))</f>
        <v>995286.3154979574</v>
      </c>
      <c r="AZ61" s="185">
        <f>3309370-AY61</f>
        <v>2314083.6845020428</v>
      </c>
      <c r="BA61" s="185">
        <v>51213</v>
      </c>
      <c r="BB61" s="185"/>
      <c r="BC61" s="185"/>
      <c r="BD61" s="185">
        <v>1283186</v>
      </c>
      <c r="BE61" s="185">
        <v>2971195</v>
      </c>
      <c r="BF61" s="185">
        <v>2525430</v>
      </c>
      <c r="BG61" s="185"/>
      <c r="BH61" s="185">
        <v>1095656</v>
      </c>
      <c r="BI61" s="185"/>
      <c r="BJ61" s="185">
        <v>979123</v>
      </c>
      <c r="BK61" s="185">
        <v>1560611</v>
      </c>
      <c r="BL61" s="185">
        <v>3703241</v>
      </c>
      <c r="BM61" s="185"/>
      <c r="BN61" s="185">
        <v>2215034</v>
      </c>
      <c r="BO61" s="185">
        <v>328593</v>
      </c>
      <c r="BP61" s="185">
        <v>1475419</v>
      </c>
      <c r="BQ61" s="185"/>
      <c r="BR61" s="185">
        <v>1646596</v>
      </c>
      <c r="BS61" s="185">
        <v>66472</v>
      </c>
      <c r="BT61" s="185"/>
      <c r="BU61" s="185"/>
      <c r="BV61" s="185">
        <v>2104778</v>
      </c>
      <c r="BW61" s="185">
        <v>634125</v>
      </c>
      <c r="BX61" s="185">
        <v>4276118</v>
      </c>
      <c r="BY61" s="185">
        <v>1022779</v>
      </c>
      <c r="BZ61" s="185"/>
      <c r="CA61" s="185">
        <v>1389101</v>
      </c>
      <c r="CB61" s="185"/>
      <c r="CC61" s="185">
        <f>1585377-5</f>
        <v>1585372</v>
      </c>
      <c r="CD61" s="249" t="s">
        <v>221</v>
      </c>
      <c r="CE61" s="195">
        <f t="shared" si="0"/>
        <v>163916586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1124537</v>
      </c>
      <c r="D62" s="195">
        <f t="shared" si="1"/>
        <v>866098</v>
      </c>
      <c r="E62" s="195">
        <f t="shared" si="1"/>
        <v>4084172</v>
      </c>
      <c r="F62" s="195">
        <f t="shared" si="1"/>
        <v>1308288</v>
      </c>
      <c r="G62" s="195">
        <f t="shared" si="1"/>
        <v>0</v>
      </c>
      <c r="H62" s="195">
        <f t="shared" si="1"/>
        <v>1104832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2494599</v>
      </c>
      <c r="Q62" s="195">
        <f t="shared" si="1"/>
        <v>478757</v>
      </c>
      <c r="R62" s="195">
        <f t="shared" si="1"/>
        <v>124657</v>
      </c>
      <c r="S62" s="195">
        <f t="shared" si="1"/>
        <v>196384</v>
      </c>
      <c r="T62" s="195">
        <f t="shared" si="1"/>
        <v>62416</v>
      </c>
      <c r="U62" s="195">
        <f t="shared" si="1"/>
        <v>1243905</v>
      </c>
      <c r="V62" s="195">
        <f t="shared" si="1"/>
        <v>92187</v>
      </c>
      <c r="W62" s="195">
        <f t="shared" si="1"/>
        <v>235247</v>
      </c>
      <c r="X62" s="195">
        <f t="shared" si="1"/>
        <v>222148</v>
      </c>
      <c r="Y62" s="195">
        <f t="shared" si="1"/>
        <v>1317334</v>
      </c>
      <c r="Z62" s="195">
        <f t="shared" si="1"/>
        <v>0</v>
      </c>
      <c r="AA62" s="195">
        <f t="shared" si="1"/>
        <v>50408</v>
      </c>
      <c r="AB62" s="195">
        <f t="shared" si="1"/>
        <v>799795</v>
      </c>
      <c r="AC62" s="195">
        <f t="shared" si="1"/>
        <v>337878</v>
      </c>
      <c r="AD62" s="195">
        <f t="shared" si="1"/>
        <v>0</v>
      </c>
      <c r="AE62" s="195">
        <f t="shared" si="1"/>
        <v>642432</v>
      </c>
      <c r="AF62" s="195">
        <f t="shared" si="1"/>
        <v>0</v>
      </c>
      <c r="AG62" s="195">
        <f t="shared" si="1"/>
        <v>1254314</v>
      </c>
      <c r="AH62" s="195">
        <f t="shared" si="1"/>
        <v>0</v>
      </c>
      <c r="AI62" s="195">
        <f t="shared" si="1"/>
        <v>0</v>
      </c>
      <c r="AJ62" s="195">
        <f t="shared" si="1"/>
        <v>7816778</v>
      </c>
      <c r="AK62" s="195">
        <f t="shared" si="1"/>
        <v>323616</v>
      </c>
      <c r="AL62" s="195">
        <f t="shared" si="1"/>
        <v>97073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757606</v>
      </c>
      <c r="AW62" s="195">
        <f t="shared" si="1"/>
        <v>0</v>
      </c>
      <c r="AX62" s="195">
        <f t="shared" si="1"/>
        <v>0</v>
      </c>
      <c r="AY62" s="195">
        <f>ROUND(AY47+AY48,0)</f>
        <v>235021</v>
      </c>
      <c r="AZ62" s="195">
        <f>ROUND(AZ47+AZ48,0)</f>
        <v>546433</v>
      </c>
      <c r="BA62" s="195">
        <f>ROUND(BA47+BA48,0)</f>
        <v>12308</v>
      </c>
      <c r="BB62" s="195">
        <f t="shared" si="1"/>
        <v>0</v>
      </c>
      <c r="BC62" s="195">
        <f t="shared" si="1"/>
        <v>0</v>
      </c>
      <c r="BD62" s="195">
        <f t="shared" si="1"/>
        <v>300774</v>
      </c>
      <c r="BE62" s="195">
        <f t="shared" si="1"/>
        <v>707514</v>
      </c>
      <c r="BF62" s="195">
        <f t="shared" si="1"/>
        <v>596520</v>
      </c>
      <c r="BG62" s="195">
        <f t="shared" si="1"/>
        <v>0</v>
      </c>
      <c r="BH62" s="195">
        <f t="shared" si="1"/>
        <v>224538</v>
      </c>
      <c r="BI62" s="195">
        <f t="shared" si="1"/>
        <v>0</v>
      </c>
      <c r="BJ62" s="195">
        <f t="shared" si="1"/>
        <v>212853</v>
      </c>
      <c r="BK62" s="195">
        <f t="shared" si="1"/>
        <v>358778</v>
      </c>
      <c r="BL62" s="195">
        <f t="shared" si="1"/>
        <v>888754</v>
      </c>
      <c r="BM62" s="195">
        <f t="shared" si="1"/>
        <v>0</v>
      </c>
      <c r="BN62" s="195">
        <f t="shared" si="1"/>
        <v>442145</v>
      </c>
      <c r="BO62" s="195">
        <f t="shared" ref="BO62:CC62" si="2">ROUND(BO47+BO48,0)</f>
        <v>64344</v>
      </c>
      <c r="BP62" s="195">
        <f t="shared" si="2"/>
        <v>309299</v>
      </c>
      <c r="BQ62" s="195">
        <f t="shared" si="2"/>
        <v>0</v>
      </c>
      <c r="BR62" s="195">
        <f t="shared" si="2"/>
        <v>1174301</v>
      </c>
      <c r="BS62" s="195">
        <f t="shared" si="2"/>
        <v>16000</v>
      </c>
      <c r="BT62" s="195">
        <f t="shared" si="2"/>
        <v>0</v>
      </c>
      <c r="BU62" s="195">
        <f t="shared" si="2"/>
        <v>0</v>
      </c>
      <c r="BV62" s="195">
        <f t="shared" si="2"/>
        <v>494069</v>
      </c>
      <c r="BW62" s="195">
        <f t="shared" si="2"/>
        <v>142202</v>
      </c>
      <c r="BX62" s="195">
        <f t="shared" si="2"/>
        <v>1013728</v>
      </c>
      <c r="BY62" s="195">
        <f t="shared" si="2"/>
        <v>245911</v>
      </c>
      <c r="BZ62" s="195">
        <f t="shared" si="2"/>
        <v>0</v>
      </c>
      <c r="CA62" s="195">
        <f t="shared" si="2"/>
        <v>313381</v>
      </c>
      <c r="CB62" s="195">
        <f t="shared" si="2"/>
        <v>0</v>
      </c>
      <c r="CC62" s="195">
        <f t="shared" si="2"/>
        <v>153476</v>
      </c>
      <c r="CD62" s="249" t="s">
        <v>221</v>
      </c>
      <c r="CE62" s="195">
        <f t="shared" si="0"/>
        <v>35487810</v>
      </c>
      <c r="CF62" s="252"/>
    </row>
    <row r="63" spans="1:84" ht="12.6" customHeight="1" x14ac:dyDescent="0.25">
      <c r="A63" s="171" t="s">
        <v>236</v>
      </c>
      <c r="B63" s="175"/>
      <c r="C63" s="184">
        <v>96822</v>
      </c>
      <c r="D63" s="184">
        <v>5508</v>
      </c>
      <c r="E63" s="184">
        <v>371813</v>
      </c>
      <c r="F63" s="185">
        <v>196849</v>
      </c>
      <c r="G63" s="184"/>
      <c r="H63" s="184">
        <v>42941</v>
      </c>
      <c r="I63" s="185"/>
      <c r="J63" s="185"/>
      <c r="K63" s="185"/>
      <c r="L63" s="185"/>
      <c r="M63" s="184"/>
      <c r="N63" s="184"/>
      <c r="O63" s="184"/>
      <c r="P63" s="185">
        <v>14102</v>
      </c>
      <c r="Q63" s="185">
        <v>4702</v>
      </c>
      <c r="R63" s="185">
        <v>329400</v>
      </c>
      <c r="S63" s="185">
        <v>53141</v>
      </c>
      <c r="T63" s="185"/>
      <c r="U63" s="185">
        <v>568611</v>
      </c>
      <c r="V63" s="185">
        <v>156616</v>
      </c>
      <c r="W63" s="185"/>
      <c r="X63" s="185"/>
      <c r="Y63" s="185">
        <v>703490</v>
      </c>
      <c r="Z63" s="185"/>
      <c r="AA63" s="185"/>
      <c r="AB63" s="185"/>
      <c r="AC63" s="185"/>
      <c r="AD63" s="185"/>
      <c r="AE63" s="185"/>
      <c r="AF63" s="185"/>
      <c r="AG63" s="185">
        <v>888116</v>
      </c>
      <c r="AH63" s="185"/>
      <c r="AI63" s="185"/>
      <c r="AJ63" s="185">
        <v>9593260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136300</v>
      </c>
      <c r="AW63" s="185"/>
      <c r="AX63" s="185"/>
      <c r="AY63" s="185">
        <f>170*(AY59/(AY59+AZ59))</f>
        <v>51.127155209194733</v>
      </c>
      <c r="AZ63" s="185">
        <f>170-AY63</f>
        <v>118.87284479080526</v>
      </c>
      <c r="BA63" s="185"/>
      <c r="BB63" s="185"/>
      <c r="BC63" s="185"/>
      <c r="BD63" s="185"/>
      <c r="BE63" s="185"/>
      <c r="BF63" s="185">
        <v>14665</v>
      </c>
      <c r="BG63" s="185"/>
      <c r="BH63" s="185"/>
      <c r="BI63" s="185"/>
      <c r="BJ63" s="185"/>
      <c r="BK63" s="185">
        <v>124058</v>
      </c>
      <c r="BL63" s="185"/>
      <c r="BM63" s="185"/>
      <c r="BN63" s="185">
        <v>1009255</v>
      </c>
      <c r="BO63" s="185"/>
      <c r="BP63" s="185"/>
      <c r="BQ63" s="185"/>
      <c r="BR63" s="185">
        <v>33235</v>
      </c>
      <c r="BS63" s="185"/>
      <c r="BT63" s="185"/>
      <c r="BU63" s="185"/>
      <c r="BV63" s="185"/>
      <c r="BW63" s="185">
        <v>61284</v>
      </c>
      <c r="BX63" s="185">
        <v>160427</v>
      </c>
      <c r="BY63" s="185"/>
      <c r="BZ63" s="185"/>
      <c r="CA63" s="185"/>
      <c r="CB63" s="185"/>
      <c r="CC63" s="185">
        <f>6994-1</f>
        <v>6993</v>
      </c>
      <c r="CD63" s="249" t="s">
        <v>221</v>
      </c>
      <c r="CE63" s="195">
        <f t="shared" si="0"/>
        <v>14571758</v>
      </c>
      <c r="CF63" s="252"/>
    </row>
    <row r="64" spans="1:84" ht="12.6" customHeight="1" x14ac:dyDescent="0.25">
      <c r="A64" s="171" t="s">
        <v>237</v>
      </c>
      <c r="B64" s="175"/>
      <c r="C64" s="184">
        <v>462751</v>
      </c>
      <c r="D64" s="184">
        <v>151536</v>
      </c>
      <c r="E64" s="185">
        <v>953183</v>
      </c>
      <c r="F64" s="185">
        <v>365125</v>
      </c>
      <c r="G64" s="184"/>
      <c r="H64" s="184">
        <v>117555</v>
      </c>
      <c r="I64" s="185"/>
      <c r="J64" s="185"/>
      <c r="K64" s="185"/>
      <c r="L64" s="185"/>
      <c r="M64" s="184"/>
      <c r="N64" s="184"/>
      <c r="O64" s="184"/>
      <c r="P64" s="185">
        <v>24400918</v>
      </c>
      <c r="Q64" s="185">
        <v>103218</v>
      </c>
      <c r="R64" s="185">
        <v>568569</v>
      </c>
      <c r="S64" s="185">
        <v>374537</v>
      </c>
      <c r="T64" s="185">
        <v>810269</v>
      </c>
      <c r="U64" s="185">
        <v>2179891</v>
      </c>
      <c r="V64" s="185">
        <v>15478</v>
      </c>
      <c r="W64" s="185">
        <v>193141</v>
      </c>
      <c r="X64" s="185">
        <v>181106</v>
      </c>
      <c r="Y64" s="185">
        <v>3072182</v>
      </c>
      <c r="Z64" s="185">
        <v>208</v>
      </c>
      <c r="AA64" s="185">
        <v>168851</v>
      </c>
      <c r="AB64" s="185">
        <v>10275136</v>
      </c>
      <c r="AC64" s="185">
        <f>233078+875</f>
        <v>233953</v>
      </c>
      <c r="AD64" s="185"/>
      <c r="AE64" s="185">
        <v>16912</v>
      </c>
      <c r="AF64" s="185"/>
      <c r="AG64" s="185">
        <v>668973</v>
      </c>
      <c r="AH64" s="185"/>
      <c r="AI64" s="185"/>
      <c r="AJ64" s="185">
        <v>13920418</v>
      </c>
      <c r="AK64" s="185">
        <v>26593</v>
      </c>
      <c r="AL64" s="185">
        <v>1963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4112698</v>
      </c>
      <c r="AW64" s="185"/>
      <c r="AX64" s="185"/>
      <c r="AY64" s="185">
        <f>1204298*(AY59/(AY59+AZ59))</f>
        <v>362190.18096542824</v>
      </c>
      <c r="AZ64" s="185">
        <f>1204298-AY64</f>
        <v>842107.81903457176</v>
      </c>
      <c r="BA64" s="185"/>
      <c r="BB64" s="185"/>
      <c r="BC64" s="185"/>
      <c r="BD64" s="185">
        <v>-333995</v>
      </c>
      <c r="BE64" s="185">
        <v>397540</v>
      </c>
      <c r="BF64" s="185">
        <v>278282</v>
      </c>
      <c r="BG64" s="185"/>
      <c r="BH64" s="185">
        <v>17673</v>
      </c>
      <c r="BI64" s="185"/>
      <c r="BJ64" s="185">
        <v>4818</v>
      </c>
      <c r="BK64" s="185">
        <v>23103</v>
      </c>
      <c r="BL64" s="185">
        <v>93331</v>
      </c>
      <c r="BM64" s="185"/>
      <c r="BN64" s="185">
        <v>61253</v>
      </c>
      <c r="BO64" s="185">
        <v>29077</v>
      </c>
      <c r="BP64" s="185">
        <v>66045</v>
      </c>
      <c r="BQ64" s="185"/>
      <c r="BR64" s="185">
        <v>11097</v>
      </c>
      <c r="BS64" s="185">
        <v>1397</v>
      </c>
      <c r="BT64" s="185"/>
      <c r="BU64" s="185"/>
      <c r="BV64" s="185">
        <v>15455</v>
      </c>
      <c r="BW64" s="185">
        <v>2604</v>
      </c>
      <c r="BX64" s="185">
        <v>15071</v>
      </c>
      <c r="BY64" s="185">
        <v>10468</v>
      </c>
      <c r="BZ64" s="185"/>
      <c r="CA64" s="185">
        <v>43737</v>
      </c>
      <c r="CB64" s="185"/>
      <c r="CC64" s="185">
        <f>1025025+2</f>
        <v>1025027</v>
      </c>
      <c r="CD64" s="249" t="s">
        <v>221</v>
      </c>
      <c r="CE64" s="195">
        <f t="shared" si="0"/>
        <v>66341445</v>
      </c>
      <c r="CF64" s="252"/>
    </row>
    <row r="65" spans="1:84" ht="12.6" customHeight="1" x14ac:dyDescent="0.25">
      <c r="A65" s="171" t="s">
        <v>238</v>
      </c>
      <c r="B65" s="175"/>
      <c r="C65" s="184">
        <v>556</v>
      </c>
      <c r="D65" s="184"/>
      <c r="E65" s="184">
        <v>1529</v>
      </c>
      <c r="F65" s="184">
        <v>1489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3822</v>
      </c>
      <c r="Q65" s="185"/>
      <c r="R65" s="185"/>
      <c r="S65" s="185">
        <v>756</v>
      </c>
      <c r="T65" s="185">
        <v>1602</v>
      </c>
      <c r="U65" s="185">
        <v>8953</v>
      </c>
      <c r="V65" s="185"/>
      <c r="W65" s="185"/>
      <c r="X65" s="185"/>
      <c r="Y65" s="185">
        <v>20817</v>
      </c>
      <c r="Z65" s="185">
        <v>1928</v>
      </c>
      <c r="AA65" s="185"/>
      <c r="AB65" s="185"/>
      <c r="AC65" s="185">
        <f>1365+58</f>
        <v>1423</v>
      </c>
      <c r="AD65" s="185"/>
      <c r="AE65" s="185"/>
      <c r="AF65" s="185"/>
      <c r="AG65" s="185">
        <v>139</v>
      </c>
      <c r="AH65" s="185"/>
      <c r="AI65" s="185"/>
      <c r="AJ65" s="185">
        <v>195211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746</v>
      </c>
      <c r="AW65" s="185"/>
      <c r="AX65" s="185"/>
      <c r="AY65" s="185">
        <f>1047*(AY59/(AY59+AZ59))</f>
        <v>314.88312649427581</v>
      </c>
      <c r="AZ65" s="185">
        <f>1047-AY65</f>
        <v>732.11687350572424</v>
      </c>
      <c r="BA65" s="185"/>
      <c r="BB65" s="185"/>
      <c r="BC65" s="185"/>
      <c r="BD65" s="185">
        <v>1296</v>
      </c>
      <c r="BE65" s="185">
        <v>1745119</v>
      </c>
      <c r="BF65" s="185">
        <v>311633</v>
      </c>
      <c r="BG65" s="185"/>
      <c r="BH65" s="185">
        <v>257251</v>
      </c>
      <c r="BI65" s="185"/>
      <c r="BJ65" s="185"/>
      <c r="BK65" s="185">
        <v>6629</v>
      </c>
      <c r="BL65" s="185">
        <v>705</v>
      </c>
      <c r="BM65" s="185"/>
      <c r="BN65" s="185">
        <v>4938</v>
      </c>
      <c r="BO65" s="185"/>
      <c r="BP65" s="185"/>
      <c r="BQ65" s="185"/>
      <c r="BR65" s="185"/>
      <c r="BS65" s="185"/>
      <c r="BT65" s="185"/>
      <c r="BU65" s="185"/>
      <c r="BV65" s="185">
        <v>489</v>
      </c>
      <c r="BW65" s="185"/>
      <c r="BX65" s="185"/>
      <c r="BY65" s="185">
        <v>2745</v>
      </c>
      <c r="BZ65" s="185"/>
      <c r="CA65" s="185"/>
      <c r="CB65" s="185"/>
      <c r="CC65" s="185">
        <v>812021</v>
      </c>
      <c r="CD65" s="249" t="s">
        <v>221</v>
      </c>
      <c r="CE65" s="195">
        <f t="shared" si="0"/>
        <v>3382844</v>
      </c>
      <c r="CF65" s="252"/>
    </row>
    <row r="66" spans="1:84" ht="12.6" customHeight="1" x14ac:dyDescent="0.25">
      <c r="A66" s="171" t="s">
        <v>239</v>
      </c>
      <c r="B66" s="175"/>
      <c r="C66" s="184">
        <v>286922</v>
      </c>
      <c r="D66" s="184">
        <v>125994</v>
      </c>
      <c r="E66" s="184">
        <v>677811</v>
      </c>
      <c r="F66" s="184">
        <v>88994</v>
      </c>
      <c r="G66" s="184"/>
      <c r="H66" s="184">
        <v>50133</v>
      </c>
      <c r="I66" s="184"/>
      <c r="J66" s="184"/>
      <c r="K66" s="185"/>
      <c r="L66" s="185"/>
      <c r="M66" s="184"/>
      <c r="N66" s="184"/>
      <c r="O66" s="185"/>
      <c r="P66" s="185">
        <v>1410916</v>
      </c>
      <c r="Q66" s="185">
        <v>45292</v>
      </c>
      <c r="R66" s="185">
        <v>6258</v>
      </c>
      <c r="S66" s="184">
        <v>401759</v>
      </c>
      <c r="T66" s="184">
        <v>70512</v>
      </c>
      <c r="U66" s="185">
        <v>4621818</v>
      </c>
      <c r="V66" s="185">
        <v>1044</v>
      </c>
      <c r="W66" s="185">
        <v>307370</v>
      </c>
      <c r="X66" s="185">
        <v>339876</v>
      </c>
      <c r="Y66" s="185">
        <v>2345471</v>
      </c>
      <c r="Z66" s="185">
        <v>39517</v>
      </c>
      <c r="AA66" s="185">
        <v>70418</v>
      </c>
      <c r="AB66" s="185">
        <v>512724</v>
      </c>
      <c r="AC66" s="185">
        <f>75+6111</f>
        <v>6186</v>
      </c>
      <c r="AD66" s="185"/>
      <c r="AE66" s="185">
        <v>81114</v>
      </c>
      <c r="AF66" s="185"/>
      <c r="AG66" s="185">
        <v>161019</v>
      </c>
      <c r="AH66" s="185"/>
      <c r="AI66" s="185"/>
      <c r="AJ66" s="185">
        <v>5937965</v>
      </c>
      <c r="AK66" s="185">
        <v>14308</v>
      </c>
      <c r="AL66" s="185">
        <v>1009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3027019</v>
      </c>
      <c r="AW66" s="185"/>
      <c r="AX66" s="185"/>
      <c r="AY66" s="185">
        <f>130022*(AY59/(AY59+AZ59))</f>
        <v>39103.852791823047</v>
      </c>
      <c r="AZ66" s="185">
        <f>130022-AY66</f>
        <v>90918.147208176961</v>
      </c>
      <c r="BA66" s="185">
        <v>-1208</v>
      </c>
      <c r="BB66" s="185"/>
      <c r="BC66" s="185"/>
      <c r="BD66" s="185">
        <v>447898</v>
      </c>
      <c r="BE66" s="185">
        <v>1407667</v>
      </c>
      <c r="BF66" s="185">
        <v>105014</v>
      </c>
      <c r="BG66" s="185"/>
      <c r="BH66" s="185">
        <v>3374061</v>
      </c>
      <c r="BI66" s="185"/>
      <c r="BJ66" s="185">
        <v>77644</v>
      </c>
      <c r="BK66" s="185">
        <v>601119</v>
      </c>
      <c r="BL66" s="185">
        <v>96444</v>
      </c>
      <c r="BM66" s="185"/>
      <c r="BN66" s="185">
        <v>29599456</v>
      </c>
      <c r="BO66" s="185">
        <v>50438</v>
      </c>
      <c r="BP66" s="185">
        <v>73327</v>
      </c>
      <c r="BQ66" s="185"/>
      <c r="BR66" s="185">
        <v>339652</v>
      </c>
      <c r="BS66" s="185"/>
      <c r="BT66" s="185"/>
      <c r="BU66" s="185"/>
      <c r="BV66" s="185">
        <v>839102</v>
      </c>
      <c r="BW66" s="185">
        <v>183314</v>
      </c>
      <c r="BX66" s="185">
        <v>944956</v>
      </c>
      <c r="BY66" s="185">
        <v>264983</v>
      </c>
      <c r="BZ66" s="185"/>
      <c r="CA66" s="185">
        <v>2153176</v>
      </c>
      <c r="CB66" s="185"/>
      <c r="CC66" s="185">
        <v>1505162</v>
      </c>
      <c r="CD66" s="249" t="s">
        <v>221</v>
      </c>
      <c r="CE66" s="195">
        <f t="shared" si="0"/>
        <v>62823676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62008</v>
      </c>
      <c r="D67" s="195">
        <f>ROUND(D51+D52,0)</f>
        <v>3583</v>
      </c>
      <c r="E67" s="195">
        <f t="shared" ref="E67:BP67" si="3">ROUND(E51+E52,0)</f>
        <v>213066</v>
      </c>
      <c r="F67" s="195">
        <f t="shared" si="3"/>
        <v>192662</v>
      </c>
      <c r="G67" s="195">
        <f t="shared" si="3"/>
        <v>0</v>
      </c>
      <c r="H67" s="195">
        <f t="shared" si="3"/>
        <v>29694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2685706</v>
      </c>
      <c r="Q67" s="195">
        <f t="shared" si="3"/>
        <v>25273</v>
      </c>
      <c r="R67" s="195">
        <f t="shared" si="3"/>
        <v>50364</v>
      </c>
      <c r="S67" s="195">
        <f t="shared" si="3"/>
        <v>77605</v>
      </c>
      <c r="T67" s="195">
        <f t="shared" si="3"/>
        <v>72541</v>
      </c>
      <c r="U67" s="195">
        <f t="shared" si="3"/>
        <v>139202</v>
      </c>
      <c r="V67" s="195">
        <f t="shared" si="3"/>
        <v>63076</v>
      </c>
      <c r="W67" s="195">
        <f t="shared" si="3"/>
        <v>5737</v>
      </c>
      <c r="X67" s="195">
        <f t="shared" si="3"/>
        <v>150548</v>
      </c>
      <c r="Y67" s="195">
        <f t="shared" si="3"/>
        <v>1388027</v>
      </c>
      <c r="Z67" s="195">
        <f t="shared" si="3"/>
        <v>291669</v>
      </c>
      <c r="AA67" s="195">
        <f t="shared" si="3"/>
        <v>0</v>
      </c>
      <c r="AB67" s="195">
        <f t="shared" si="3"/>
        <v>118607</v>
      </c>
      <c r="AC67" s="195">
        <f t="shared" si="3"/>
        <v>51464</v>
      </c>
      <c r="AD67" s="195">
        <f t="shared" si="3"/>
        <v>0</v>
      </c>
      <c r="AE67" s="195">
        <f t="shared" si="3"/>
        <v>21950</v>
      </c>
      <c r="AF67" s="195">
        <f t="shared" si="3"/>
        <v>0</v>
      </c>
      <c r="AG67" s="195">
        <f t="shared" si="3"/>
        <v>140094</v>
      </c>
      <c r="AH67" s="195">
        <f t="shared" si="3"/>
        <v>0</v>
      </c>
      <c r="AI67" s="195">
        <f t="shared" si="3"/>
        <v>0</v>
      </c>
      <c r="AJ67" s="195">
        <f t="shared" si="3"/>
        <v>1192419</v>
      </c>
      <c r="AK67" s="195">
        <f t="shared" si="3"/>
        <v>444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818586</v>
      </c>
      <c r="AW67" s="195">
        <f t="shared" si="3"/>
        <v>0</v>
      </c>
      <c r="AX67" s="195">
        <f t="shared" si="3"/>
        <v>0</v>
      </c>
      <c r="AY67" s="195">
        <f t="shared" si="3"/>
        <v>32464</v>
      </c>
      <c r="AZ67" s="195">
        <f>ROUND(AZ51+AZ52,0)</f>
        <v>75480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12544</v>
      </c>
      <c r="BE67" s="195">
        <f t="shared" si="3"/>
        <v>2263189</v>
      </c>
      <c r="BF67" s="195">
        <f t="shared" si="3"/>
        <v>1023</v>
      </c>
      <c r="BG67" s="195">
        <f t="shared" si="3"/>
        <v>0</v>
      </c>
      <c r="BH67" s="195">
        <f t="shared" si="3"/>
        <v>2886367</v>
      </c>
      <c r="BI67" s="195">
        <f t="shared" si="3"/>
        <v>0</v>
      </c>
      <c r="BJ67" s="195">
        <f t="shared" si="3"/>
        <v>4062</v>
      </c>
      <c r="BK67" s="195">
        <f t="shared" si="3"/>
        <v>1775</v>
      </c>
      <c r="BL67" s="195">
        <f t="shared" si="3"/>
        <v>1510</v>
      </c>
      <c r="BM67" s="195">
        <f t="shared" si="3"/>
        <v>0</v>
      </c>
      <c r="BN67" s="195">
        <f t="shared" si="3"/>
        <v>23409</v>
      </c>
      <c r="BO67" s="195">
        <f t="shared" si="3"/>
        <v>0</v>
      </c>
      <c r="BP67" s="195">
        <f t="shared" si="3"/>
        <v>115515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225</v>
      </c>
      <c r="BT67" s="195">
        <f t="shared" si="4"/>
        <v>0</v>
      </c>
      <c r="BU67" s="195">
        <f t="shared" si="4"/>
        <v>0</v>
      </c>
      <c r="BV67" s="195">
        <f t="shared" si="4"/>
        <v>8954</v>
      </c>
      <c r="BW67" s="195">
        <f t="shared" si="4"/>
        <v>0</v>
      </c>
      <c r="BX67" s="195">
        <f t="shared" si="4"/>
        <v>0</v>
      </c>
      <c r="BY67" s="195">
        <f t="shared" si="4"/>
        <v>248170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2728576</v>
      </c>
      <c r="CD67" s="249" t="s">
        <v>221</v>
      </c>
      <c r="CE67" s="195">
        <f t="shared" si="0"/>
        <v>16197588</v>
      </c>
      <c r="CF67" s="252"/>
    </row>
    <row r="68" spans="1:84" ht="12.6" customHeight="1" x14ac:dyDescent="0.25">
      <c r="A68" s="171" t="s">
        <v>240</v>
      </c>
      <c r="B68" s="175"/>
      <c r="C68" s="184">
        <v>117574</v>
      </c>
      <c r="D68" s="184">
        <v>130775</v>
      </c>
      <c r="E68" s="184">
        <v>164642</v>
      </c>
      <c r="F68" s="184">
        <v>66709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788914</v>
      </c>
      <c r="Q68" s="185">
        <v>45208</v>
      </c>
      <c r="R68" s="185">
        <v>91594</v>
      </c>
      <c r="S68" s="185">
        <v>417767</v>
      </c>
      <c r="T68" s="185"/>
      <c r="U68" s="185">
        <v>48648</v>
      </c>
      <c r="V68" s="185"/>
      <c r="W68" s="185"/>
      <c r="X68" s="185"/>
      <c r="Y68" s="185">
        <v>259023</v>
      </c>
      <c r="Z68" s="185">
        <v>-49</v>
      </c>
      <c r="AA68" s="185"/>
      <c r="AB68" s="185">
        <v>553207</v>
      </c>
      <c r="AC68" s="185">
        <v>84089</v>
      </c>
      <c r="AD68" s="185"/>
      <c r="AE68" s="185"/>
      <c r="AF68" s="185"/>
      <c r="AG68" s="185">
        <v>147824</v>
      </c>
      <c r="AH68" s="185"/>
      <c r="AI68" s="185"/>
      <c r="AJ68" s="185">
        <v>3384156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631775</v>
      </c>
      <c r="AW68" s="185"/>
      <c r="AX68" s="185"/>
      <c r="AY68" s="185">
        <f>1043*(AY59/(AY59+AZ59))</f>
        <v>313.68013460700064</v>
      </c>
      <c r="AZ68" s="185">
        <f>1043-AY68</f>
        <v>729.31986539299942</v>
      </c>
      <c r="BA68" s="185"/>
      <c r="BB68" s="185"/>
      <c r="BC68" s="185"/>
      <c r="BD68" s="185">
        <v>590291</v>
      </c>
      <c r="BE68" s="185">
        <v>206374</v>
      </c>
      <c r="BF68" s="185"/>
      <c r="BG68" s="185"/>
      <c r="BH68" s="185">
        <v>467018</v>
      </c>
      <c r="BI68" s="185"/>
      <c r="BJ68" s="185"/>
      <c r="BK68" s="185">
        <v>384</v>
      </c>
      <c r="BL68" s="185"/>
      <c r="BM68" s="185"/>
      <c r="BN68" s="185"/>
      <c r="BO68" s="185"/>
      <c r="BP68" s="185"/>
      <c r="BQ68" s="185"/>
      <c r="BR68" s="185">
        <v>87772</v>
      </c>
      <c r="BS68" s="185"/>
      <c r="BT68" s="185"/>
      <c r="BU68" s="185"/>
      <c r="BV68" s="185"/>
      <c r="BW68" s="185"/>
      <c r="BX68" s="185">
        <v>3100</v>
      </c>
      <c r="BY68" s="185"/>
      <c r="BZ68" s="185"/>
      <c r="CA68" s="185"/>
      <c r="CB68" s="185"/>
      <c r="CC68" s="185">
        <f>1575147-2</f>
        <v>1575145</v>
      </c>
      <c r="CD68" s="249" t="s">
        <v>221</v>
      </c>
      <c r="CE68" s="195">
        <f t="shared" si="0"/>
        <v>9862983</v>
      </c>
      <c r="CF68" s="252"/>
    </row>
    <row r="69" spans="1:84" ht="12.6" customHeight="1" x14ac:dyDescent="0.25">
      <c r="A69" s="171" t="s">
        <v>241</v>
      </c>
      <c r="B69" s="175"/>
      <c r="C69" s="184">
        <v>322</v>
      </c>
      <c r="D69" s="184"/>
      <c r="E69" s="185">
        <v>10548</v>
      </c>
      <c r="F69" s="185">
        <v>1492</v>
      </c>
      <c r="G69" s="184"/>
      <c r="H69" s="184">
        <v>198</v>
      </c>
      <c r="I69" s="185"/>
      <c r="J69" s="185"/>
      <c r="K69" s="185"/>
      <c r="L69" s="185"/>
      <c r="M69" s="184"/>
      <c r="N69" s="184"/>
      <c r="O69" s="184"/>
      <c r="P69" s="185">
        <v>16051</v>
      </c>
      <c r="Q69" s="185"/>
      <c r="R69" s="224"/>
      <c r="S69" s="185">
        <v>285</v>
      </c>
      <c r="T69" s="184">
        <v>59</v>
      </c>
      <c r="U69" s="185">
        <v>2322</v>
      </c>
      <c r="V69" s="185"/>
      <c r="W69" s="184">
        <v>2799</v>
      </c>
      <c r="X69" s="185"/>
      <c r="Y69" s="185">
        <v>35016</v>
      </c>
      <c r="Z69" s="185"/>
      <c r="AA69" s="185"/>
      <c r="AB69" s="185">
        <v>6355</v>
      </c>
      <c r="AC69" s="185">
        <f>1493+80</f>
        <v>1573</v>
      </c>
      <c r="AD69" s="185"/>
      <c r="AE69" s="185">
        <v>173</v>
      </c>
      <c r="AF69" s="185"/>
      <c r="AG69" s="185">
        <v>17493</v>
      </c>
      <c r="AH69" s="185"/>
      <c r="AI69" s="185"/>
      <c r="AJ69" s="185">
        <v>716106</v>
      </c>
      <c r="AK69" s="185">
        <v>102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11330</v>
      </c>
      <c r="AW69" s="185"/>
      <c r="AX69" s="185"/>
      <c r="AY69" s="185">
        <f>160543*(AY59/(AY59+AZ59))</f>
        <v>48282.981639704412</v>
      </c>
      <c r="AZ69" s="185">
        <f>160543-AY69</f>
        <v>112260.01836029559</v>
      </c>
      <c r="BA69" s="185"/>
      <c r="BB69" s="185"/>
      <c r="BC69" s="185"/>
      <c r="BD69" s="185">
        <v>69551</v>
      </c>
      <c r="BE69" s="185">
        <v>508335</v>
      </c>
      <c r="BF69" s="185">
        <v>460</v>
      </c>
      <c r="BG69" s="185"/>
      <c r="BH69" s="224">
        <v>3832</v>
      </c>
      <c r="BI69" s="185"/>
      <c r="BJ69" s="185">
        <v>11109</v>
      </c>
      <c r="BK69" s="185">
        <v>1900</v>
      </c>
      <c r="BL69" s="185">
        <v>1095</v>
      </c>
      <c r="BM69" s="185"/>
      <c r="BN69" s="185">
        <v>543227</v>
      </c>
      <c r="BO69" s="185">
        <v>431</v>
      </c>
      <c r="BP69" s="185">
        <v>132</v>
      </c>
      <c r="BQ69" s="185"/>
      <c r="BR69" s="185">
        <v>326027</v>
      </c>
      <c r="BS69" s="185"/>
      <c r="BT69" s="185"/>
      <c r="BU69" s="185"/>
      <c r="BV69" s="185">
        <v>5397</v>
      </c>
      <c r="BW69" s="185">
        <v>119186</v>
      </c>
      <c r="BX69" s="185">
        <v>4945</v>
      </c>
      <c r="BY69" s="185">
        <v>16539</v>
      </c>
      <c r="BZ69" s="185"/>
      <c r="CA69" s="185">
        <v>13874</v>
      </c>
      <c r="CB69" s="185"/>
      <c r="CC69" s="185">
        <f>21673-1</f>
        <v>21672</v>
      </c>
      <c r="CD69" s="188">
        <f>C386+C387+C388</f>
        <v>16759283</v>
      </c>
      <c r="CE69" s="195">
        <f t="shared" si="0"/>
        <v>19389762</v>
      </c>
      <c r="CF69" s="252"/>
    </row>
    <row r="70" spans="1:84" ht="12.6" customHeight="1" x14ac:dyDescent="0.25">
      <c r="A70" s="171" t="s">
        <v>242</v>
      </c>
      <c r="B70" s="175"/>
      <c r="C70" s="184">
        <v>45</v>
      </c>
      <c r="D70" s="184"/>
      <c r="E70" s="184"/>
      <c r="F70" s="185">
        <v>8534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11443</v>
      </c>
      <c r="Q70" s="184"/>
      <c r="R70" s="184"/>
      <c r="S70" s="184">
        <v>3040</v>
      </c>
      <c r="T70" s="184"/>
      <c r="U70" s="185">
        <v>85737</v>
      </c>
      <c r="V70" s="184"/>
      <c r="W70" s="184"/>
      <c r="X70" s="185"/>
      <c r="Y70" s="185">
        <v>144942</v>
      </c>
      <c r="Z70" s="185">
        <v>728616</v>
      </c>
      <c r="AA70" s="185"/>
      <c r="AB70" s="185">
        <v>55226</v>
      </c>
      <c r="AC70" s="185"/>
      <c r="AD70" s="185"/>
      <c r="AE70" s="185">
        <v>27524</v>
      </c>
      <c r="AF70" s="185"/>
      <c r="AG70" s="185"/>
      <c r="AH70" s="185"/>
      <c r="AI70" s="185"/>
      <c r="AJ70" s="185">
        <v>3290765</v>
      </c>
      <c r="AK70" s="185"/>
      <c r="AL70" s="185">
        <v>3995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88890</v>
      </c>
      <c r="AW70" s="185"/>
      <c r="AX70" s="185"/>
      <c r="AY70" s="185">
        <f>2015529*(AY59/(AY59+AZ59))</f>
        <v>606166.25889195909</v>
      </c>
      <c r="AZ70" s="185">
        <f>2015529-AY70</f>
        <v>1409362.7411080408</v>
      </c>
      <c r="BA70" s="185">
        <v>1825</v>
      </c>
      <c r="BB70" s="185"/>
      <c r="BC70" s="185"/>
      <c r="BD70" s="185">
        <v>5415</v>
      </c>
      <c r="BE70" s="185">
        <v>2355913</v>
      </c>
      <c r="BF70" s="185"/>
      <c r="BG70" s="185"/>
      <c r="BH70" s="185">
        <v>-41448</v>
      </c>
      <c r="BI70" s="185"/>
      <c r="BJ70" s="185">
        <v>51200</v>
      </c>
      <c r="BK70" s="185">
        <v>37252</v>
      </c>
      <c r="BL70" s="185"/>
      <c r="BM70" s="185"/>
      <c r="BN70" s="185">
        <v>197933</v>
      </c>
      <c r="BO70" s="185"/>
      <c r="BP70" s="185">
        <v>22708</v>
      </c>
      <c r="BQ70" s="185"/>
      <c r="BR70" s="185">
        <v>2957</v>
      </c>
      <c r="BS70" s="185"/>
      <c r="BT70" s="185"/>
      <c r="BU70" s="185"/>
      <c r="BV70" s="185">
        <v>32385</v>
      </c>
      <c r="BW70" s="185">
        <v>-101</v>
      </c>
      <c r="BX70" s="185"/>
      <c r="BY70" s="185">
        <v>79619</v>
      </c>
      <c r="BZ70" s="185"/>
      <c r="CA70" s="185">
        <v>7895</v>
      </c>
      <c r="CB70" s="185"/>
      <c r="CC70" s="185">
        <v>5939851</v>
      </c>
      <c r="CD70" s="188"/>
      <c r="CE70" s="195">
        <f t="shared" si="0"/>
        <v>15157690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6879693</v>
      </c>
      <c r="D71" s="195">
        <f t="shared" ref="D71:AI71" si="5">SUM(D61:D69)-D70</f>
        <v>4883637</v>
      </c>
      <c r="E71" s="195">
        <f t="shared" si="5"/>
        <v>24122210</v>
      </c>
      <c r="F71" s="195">
        <f t="shared" si="5"/>
        <v>7949013</v>
      </c>
      <c r="G71" s="195">
        <f t="shared" si="5"/>
        <v>0</v>
      </c>
      <c r="H71" s="195">
        <f t="shared" si="5"/>
        <v>6040669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42561288</v>
      </c>
      <c r="Q71" s="195">
        <f t="shared" si="5"/>
        <v>2717758</v>
      </c>
      <c r="R71" s="195">
        <f t="shared" si="5"/>
        <v>1688695</v>
      </c>
      <c r="S71" s="195">
        <f t="shared" si="5"/>
        <v>2335601</v>
      </c>
      <c r="T71" s="195">
        <f t="shared" si="5"/>
        <v>1276669</v>
      </c>
      <c r="U71" s="195">
        <f t="shared" si="5"/>
        <v>13923926</v>
      </c>
      <c r="V71" s="195">
        <f t="shared" si="5"/>
        <v>711481</v>
      </c>
      <c r="W71" s="195">
        <f t="shared" si="5"/>
        <v>1722061</v>
      </c>
      <c r="X71" s="195">
        <f t="shared" si="5"/>
        <v>1817207</v>
      </c>
      <c r="Y71" s="195">
        <f t="shared" si="5"/>
        <v>14440504</v>
      </c>
      <c r="Z71" s="195">
        <f t="shared" si="5"/>
        <v>-395343</v>
      </c>
      <c r="AA71" s="195">
        <f t="shared" si="5"/>
        <v>575194</v>
      </c>
      <c r="AB71" s="195">
        <f t="shared" si="5"/>
        <v>15603512</v>
      </c>
      <c r="AC71" s="195">
        <f t="shared" si="5"/>
        <v>2159049</v>
      </c>
      <c r="AD71" s="195">
        <f t="shared" si="5"/>
        <v>0</v>
      </c>
      <c r="AE71" s="195">
        <f t="shared" si="5"/>
        <v>3528432</v>
      </c>
      <c r="AF71" s="195">
        <f t="shared" si="5"/>
        <v>0</v>
      </c>
      <c r="AG71" s="195">
        <f t="shared" si="5"/>
        <v>7989553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87822505</v>
      </c>
      <c r="AK71" s="195">
        <f t="shared" si="6"/>
        <v>1709542</v>
      </c>
      <c r="AL71" s="195">
        <f t="shared" si="6"/>
        <v>499483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12673199</v>
      </c>
      <c r="AW71" s="195">
        <f t="shared" si="6"/>
        <v>0</v>
      </c>
      <c r="AX71" s="195">
        <f t="shared" si="6"/>
        <v>0</v>
      </c>
      <c r="AY71" s="195">
        <f t="shared" si="6"/>
        <v>1106861.7624192643</v>
      </c>
      <c r="AZ71" s="195">
        <f t="shared" si="6"/>
        <v>2573500.2375807357</v>
      </c>
      <c r="BA71" s="195">
        <f t="shared" si="6"/>
        <v>60488</v>
      </c>
      <c r="BB71" s="195">
        <f t="shared" si="6"/>
        <v>0</v>
      </c>
      <c r="BC71" s="195">
        <f t="shared" si="6"/>
        <v>0</v>
      </c>
      <c r="BD71" s="195">
        <f t="shared" si="6"/>
        <v>2366130</v>
      </c>
      <c r="BE71" s="195">
        <f t="shared" si="6"/>
        <v>7851020</v>
      </c>
      <c r="BF71" s="195">
        <f t="shared" si="6"/>
        <v>3833027</v>
      </c>
      <c r="BG71" s="195">
        <f t="shared" si="6"/>
        <v>0</v>
      </c>
      <c r="BH71" s="195">
        <f t="shared" si="6"/>
        <v>8367844</v>
      </c>
      <c r="BI71" s="195">
        <f t="shared" si="6"/>
        <v>0</v>
      </c>
      <c r="BJ71" s="195">
        <f t="shared" si="6"/>
        <v>1238409</v>
      </c>
      <c r="BK71" s="195">
        <f t="shared" si="6"/>
        <v>2641105</v>
      </c>
      <c r="BL71" s="195">
        <f t="shared" si="6"/>
        <v>4785080</v>
      </c>
      <c r="BM71" s="195">
        <f t="shared" si="6"/>
        <v>0</v>
      </c>
      <c r="BN71" s="195">
        <f t="shared" si="6"/>
        <v>33700784</v>
      </c>
      <c r="BO71" s="195">
        <f t="shared" si="6"/>
        <v>472883</v>
      </c>
      <c r="BP71" s="195">
        <f t="shared" ref="BP71:CC71" si="7">SUM(BP61:BP69)-BP70</f>
        <v>2017029</v>
      </c>
      <c r="BQ71" s="195">
        <f t="shared" si="7"/>
        <v>0</v>
      </c>
      <c r="BR71" s="195">
        <f t="shared" si="7"/>
        <v>3615723</v>
      </c>
      <c r="BS71" s="195">
        <f t="shared" si="7"/>
        <v>84094</v>
      </c>
      <c r="BT71" s="195">
        <f t="shared" si="7"/>
        <v>0</v>
      </c>
      <c r="BU71" s="195">
        <f t="shared" si="7"/>
        <v>0</v>
      </c>
      <c r="BV71" s="195">
        <f t="shared" si="7"/>
        <v>3435859</v>
      </c>
      <c r="BW71" s="195">
        <f t="shared" si="7"/>
        <v>1142816</v>
      </c>
      <c r="BX71" s="195">
        <f t="shared" si="7"/>
        <v>6418345</v>
      </c>
      <c r="BY71" s="195">
        <f t="shared" si="7"/>
        <v>1731976</v>
      </c>
      <c r="BZ71" s="195">
        <f t="shared" si="7"/>
        <v>0</v>
      </c>
      <c r="CA71" s="195">
        <f t="shared" si="7"/>
        <v>3905374</v>
      </c>
      <c r="CB71" s="195">
        <f t="shared" si="7"/>
        <v>0</v>
      </c>
      <c r="CC71" s="195">
        <f t="shared" si="7"/>
        <v>3473593</v>
      </c>
      <c r="CD71" s="245">
        <f>CD69-CD70</f>
        <v>16759283</v>
      </c>
      <c r="CE71" s="195">
        <f>SUM(CE61:CE69)-CE70</f>
        <v>376816762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24340459</v>
      </c>
      <c r="D73" s="184">
        <v>22208918</v>
      </c>
      <c r="E73" s="185">
        <v>84507117</v>
      </c>
      <c r="F73" s="185">
        <v>18227184</v>
      </c>
      <c r="G73" s="184"/>
      <c r="H73" s="184">
        <v>28694762</v>
      </c>
      <c r="I73" s="185"/>
      <c r="J73" s="185"/>
      <c r="K73" s="185"/>
      <c r="L73" s="185"/>
      <c r="M73" s="184"/>
      <c r="N73" s="184"/>
      <c r="O73" s="184"/>
      <c r="P73" s="185">
        <v>125226643</v>
      </c>
      <c r="Q73" s="185">
        <v>5619542</v>
      </c>
      <c r="R73" s="185">
        <v>13896224</v>
      </c>
      <c r="S73" s="185">
        <v>1815449</v>
      </c>
      <c r="T73" s="185">
        <v>1204832</v>
      </c>
      <c r="U73" s="185">
        <v>30939818</v>
      </c>
      <c r="V73" s="185">
        <v>3207507</v>
      </c>
      <c r="W73" s="185">
        <v>7340006</v>
      </c>
      <c r="X73" s="185">
        <v>21485844</v>
      </c>
      <c r="Y73" s="185">
        <v>27433150</v>
      </c>
      <c r="Z73" s="185">
        <v>59060</v>
      </c>
      <c r="AA73" s="185">
        <v>294845</v>
      </c>
      <c r="AB73" s="185">
        <v>46234823</v>
      </c>
      <c r="AC73" s="185">
        <f>9838759+11635</f>
        <v>9850394</v>
      </c>
      <c r="AD73" s="185"/>
      <c r="AE73" s="185">
        <v>3682574</v>
      </c>
      <c r="AF73" s="185"/>
      <c r="AG73" s="185">
        <v>31572930</v>
      </c>
      <c r="AH73" s="185"/>
      <c r="AI73" s="185"/>
      <c r="AJ73" s="185"/>
      <c r="AK73" s="185">
        <v>2373011</v>
      </c>
      <c r="AL73" s="185">
        <v>892320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11865074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522972486</v>
      </c>
      <c r="CF73" s="252"/>
    </row>
    <row r="74" spans="1:84" ht="12.6" customHeight="1" x14ac:dyDescent="0.25">
      <c r="A74" s="171" t="s">
        <v>246</v>
      </c>
      <c r="B74" s="175"/>
      <c r="C74" s="184">
        <v>31041</v>
      </c>
      <c r="D74" s="184">
        <v>547522</v>
      </c>
      <c r="E74" s="185">
        <v>3921589</v>
      </c>
      <c r="F74" s="185">
        <v>1321010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186508507</v>
      </c>
      <c r="Q74" s="185">
        <v>10091224</v>
      </c>
      <c r="R74" s="185">
        <v>21104387</v>
      </c>
      <c r="S74" s="185">
        <v>13939</v>
      </c>
      <c r="T74" s="185">
        <v>59628</v>
      </c>
      <c r="U74" s="185">
        <v>41671681</v>
      </c>
      <c r="V74" s="185">
        <v>5377380</v>
      </c>
      <c r="W74" s="185">
        <v>26363219</v>
      </c>
      <c r="X74" s="185">
        <v>42071099</v>
      </c>
      <c r="Y74" s="185">
        <v>72500548</v>
      </c>
      <c r="Z74" s="185"/>
      <c r="AA74" s="185">
        <v>1831517</v>
      </c>
      <c r="AB74" s="185">
        <v>32855733</v>
      </c>
      <c r="AC74" s="185">
        <f>294330+1307828</f>
        <v>1602158</v>
      </c>
      <c r="AD74" s="185"/>
      <c r="AE74" s="185">
        <v>3914450</v>
      </c>
      <c r="AF74" s="185"/>
      <c r="AG74" s="185">
        <v>72599471</v>
      </c>
      <c r="AH74" s="185"/>
      <c r="AI74" s="185"/>
      <c r="AJ74" s="185">
        <v>97684624</v>
      </c>
      <c r="AK74" s="185">
        <v>2492696</v>
      </c>
      <c r="AL74" s="185">
        <v>627411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50479391+34416-3</f>
        <v>50513804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675704638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24371500</v>
      </c>
      <c r="D75" s="195">
        <f t="shared" si="9"/>
        <v>22756440</v>
      </c>
      <c r="E75" s="195">
        <f t="shared" si="9"/>
        <v>88428706</v>
      </c>
      <c r="F75" s="195">
        <f t="shared" si="9"/>
        <v>19548194</v>
      </c>
      <c r="G75" s="195">
        <f t="shared" si="9"/>
        <v>0</v>
      </c>
      <c r="H75" s="195">
        <f t="shared" si="9"/>
        <v>28694762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311735150</v>
      </c>
      <c r="Q75" s="195">
        <f t="shared" si="9"/>
        <v>15710766</v>
      </c>
      <c r="R75" s="195">
        <f t="shared" si="9"/>
        <v>35000611</v>
      </c>
      <c r="S75" s="195">
        <f t="shared" si="9"/>
        <v>1829388</v>
      </c>
      <c r="T75" s="195">
        <f t="shared" si="9"/>
        <v>1264460</v>
      </c>
      <c r="U75" s="195">
        <f t="shared" si="9"/>
        <v>72611499</v>
      </c>
      <c r="V75" s="195">
        <f t="shared" si="9"/>
        <v>8584887</v>
      </c>
      <c r="W75" s="195">
        <f t="shared" si="9"/>
        <v>33703225</v>
      </c>
      <c r="X75" s="195">
        <f t="shared" si="9"/>
        <v>63556943</v>
      </c>
      <c r="Y75" s="195">
        <f t="shared" si="9"/>
        <v>99933698</v>
      </c>
      <c r="Z75" s="195">
        <f t="shared" si="9"/>
        <v>59060</v>
      </c>
      <c r="AA75" s="195">
        <f t="shared" si="9"/>
        <v>2126362</v>
      </c>
      <c r="AB75" s="195">
        <f t="shared" si="9"/>
        <v>79090556</v>
      </c>
      <c r="AC75" s="195">
        <f t="shared" si="9"/>
        <v>11452552</v>
      </c>
      <c r="AD75" s="195">
        <f t="shared" si="9"/>
        <v>0</v>
      </c>
      <c r="AE75" s="195">
        <f t="shared" si="9"/>
        <v>7597024</v>
      </c>
      <c r="AF75" s="195">
        <f t="shared" si="9"/>
        <v>0</v>
      </c>
      <c r="AG75" s="195">
        <f t="shared" si="9"/>
        <v>104172401</v>
      </c>
      <c r="AH75" s="195">
        <f t="shared" si="9"/>
        <v>0</v>
      </c>
      <c r="AI75" s="195">
        <f t="shared" si="9"/>
        <v>0</v>
      </c>
      <c r="AJ75" s="195">
        <f t="shared" si="9"/>
        <v>97684624</v>
      </c>
      <c r="AK75" s="195">
        <f t="shared" si="9"/>
        <v>4865707</v>
      </c>
      <c r="AL75" s="195">
        <f t="shared" si="9"/>
        <v>1519731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62378878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1198677124</v>
      </c>
      <c r="CF75" s="252"/>
    </row>
    <row r="76" spans="1:84" ht="12.6" customHeight="1" x14ac:dyDescent="0.25">
      <c r="A76" s="171" t="s">
        <v>248</v>
      </c>
      <c r="B76" s="175"/>
      <c r="C76" s="184">
        <v>8019</v>
      </c>
      <c r="D76" s="184">
        <v>8222</v>
      </c>
      <c r="E76" s="185">
        <v>47741</v>
      </c>
      <c r="F76" s="185">
        <v>13745</v>
      </c>
      <c r="G76" s="184"/>
      <c r="H76" s="184">
        <v>14924</v>
      </c>
      <c r="I76" s="185"/>
      <c r="J76" s="185"/>
      <c r="K76" s="185"/>
      <c r="L76" s="185"/>
      <c r="M76" s="185"/>
      <c r="N76" s="185"/>
      <c r="O76" s="185"/>
      <c r="P76" s="185">
        <v>53579</v>
      </c>
      <c r="Q76" s="185">
        <v>3494</v>
      </c>
      <c r="R76" s="185">
        <v>971</v>
      </c>
      <c r="S76" s="185"/>
      <c r="T76" s="185"/>
      <c r="U76" s="185">
        <v>11007</v>
      </c>
      <c r="V76" s="185">
        <v>523</v>
      </c>
      <c r="W76" s="185">
        <v>4528</v>
      </c>
      <c r="X76" s="185">
        <v>1417</v>
      </c>
      <c r="Y76" s="185">
        <v>31417</v>
      </c>
      <c r="Z76" s="185"/>
      <c r="AA76" s="185">
        <v>859</v>
      </c>
      <c r="AB76" s="185">
        <v>2571</v>
      </c>
      <c r="AC76" s="185">
        <v>1098</v>
      </c>
      <c r="AD76" s="185"/>
      <c r="AE76" s="185">
        <v>17191</v>
      </c>
      <c r="AF76" s="185"/>
      <c r="AG76" s="185">
        <v>12046</v>
      </c>
      <c r="AH76" s="185"/>
      <c r="AI76" s="185"/>
      <c r="AJ76" s="185">
        <v>80290</v>
      </c>
      <c r="AK76" s="185">
        <v>3224</v>
      </c>
      <c r="AL76" s="185">
        <v>1299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26450</v>
      </c>
      <c r="AW76" s="185"/>
      <c r="AX76" s="185"/>
      <c r="AY76" s="185">
        <f>14448*(AY59/(AY59+AZ59))</f>
        <v>4345.2066968379149</v>
      </c>
      <c r="AZ76" s="185">
        <f>14448-AY76</f>
        <v>10102.793303162085</v>
      </c>
      <c r="BA76" s="185"/>
      <c r="BB76" s="185"/>
      <c r="BC76" s="185"/>
      <c r="BD76" s="185">
        <v>4643</v>
      </c>
      <c r="BE76" s="185">
        <v>8217</v>
      </c>
      <c r="BF76" s="185">
        <v>4126</v>
      </c>
      <c r="BG76" s="185"/>
      <c r="BH76" s="185">
        <v>15291</v>
      </c>
      <c r="BI76" s="185"/>
      <c r="BJ76" s="185"/>
      <c r="BK76" s="185">
        <v>5123</v>
      </c>
      <c r="BL76" s="185">
        <v>9038</v>
      </c>
      <c r="BM76" s="185"/>
      <c r="BN76" s="185">
        <v>1475</v>
      </c>
      <c r="BO76" s="185"/>
      <c r="BP76" s="185">
        <v>2679</v>
      </c>
      <c r="BQ76" s="185"/>
      <c r="BR76" s="185">
        <v>3756</v>
      </c>
      <c r="BS76" s="185"/>
      <c r="BT76" s="185"/>
      <c r="BU76" s="185"/>
      <c r="BV76" s="185">
        <v>5499</v>
      </c>
      <c r="BW76" s="185">
        <v>2275</v>
      </c>
      <c r="BX76" s="185">
        <v>3871</v>
      </c>
      <c r="BY76" s="185">
        <v>984</v>
      </c>
      <c r="BZ76" s="185"/>
      <c r="CA76" s="185">
        <v>5894</v>
      </c>
      <c r="CB76" s="185"/>
      <c r="CC76" s="185">
        <v>1697</v>
      </c>
      <c r="CD76" s="249" t="s">
        <v>221</v>
      </c>
      <c r="CE76" s="195">
        <f t="shared" si="8"/>
        <v>433631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14219</v>
      </c>
      <c r="D77" s="184">
        <v>17996</v>
      </c>
      <c r="E77" s="184">
        <f>42246+43641+13308+6297+2370</f>
        <v>107862</v>
      </c>
      <c r="F77" s="184">
        <v>16697</v>
      </c>
      <c r="G77" s="184"/>
      <c r="H77" s="184">
        <v>37071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193845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3820</v>
      </c>
      <c r="D78" s="184">
        <v>3917</v>
      </c>
      <c r="E78" s="184">
        <v>22743</v>
      </c>
      <c r="F78" s="184">
        <v>6548</v>
      </c>
      <c r="G78" s="184"/>
      <c r="H78" s="184">
        <v>7110</v>
      </c>
      <c r="I78" s="184"/>
      <c r="J78" s="184"/>
      <c r="K78" s="184"/>
      <c r="L78" s="184"/>
      <c r="M78" s="184"/>
      <c r="N78" s="184"/>
      <c r="O78" s="184"/>
      <c r="P78" s="184">
        <v>18453</v>
      </c>
      <c r="Q78" s="184">
        <v>1665</v>
      </c>
      <c r="R78" s="184">
        <v>463</v>
      </c>
      <c r="S78" s="184"/>
      <c r="T78" s="184"/>
      <c r="U78" s="184">
        <v>3568</v>
      </c>
      <c r="V78" s="184">
        <v>249</v>
      </c>
      <c r="W78" s="184">
        <v>873</v>
      </c>
      <c r="X78" s="184">
        <v>675</v>
      </c>
      <c r="Y78" s="184">
        <v>6645</v>
      </c>
      <c r="Z78" s="184"/>
      <c r="AA78" s="184">
        <v>409</v>
      </c>
      <c r="AB78" s="184">
        <v>1225</v>
      </c>
      <c r="AC78" s="184">
        <v>523</v>
      </c>
      <c r="AD78" s="184"/>
      <c r="AE78" s="184">
        <v>1978</v>
      </c>
      <c r="AF78" s="184"/>
      <c r="AG78" s="184">
        <v>5739</v>
      </c>
      <c r="AH78" s="184"/>
      <c r="AI78" s="184"/>
      <c r="AJ78" s="184"/>
      <c r="AK78" s="184">
        <v>1536</v>
      </c>
      <c r="AL78" s="184">
        <v>619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6612-1</f>
        <v>6611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1771</v>
      </c>
      <c r="BI78" s="184"/>
      <c r="BJ78" s="249" t="s">
        <v>221</v>
      </c>
      <c r="BK78" s="184"/>
      <c r="BL78" s="184">
        <v>1859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2620</v>
      </c>
      <c r="BW78" s="184">
        <v>1084</v>
      </c>
      <c r="BX78" s="184">
        <v>1206</v>
      </c>
      <c r="BY78" s="184">
        <v>469</v>
      </c>
      <c r="BZ78" s="184"/>
      <c r="CA78" s="184">
        <v>2808</v>
      </c>
      <c r="CB78" s="184"/>
      <c r="CC78" s="249" t="s">
        <v>221</v>
      </c>
      <c r="CD78" s="249" t="s">
        <v>221</v>
      </c>
      <c r="CE78" s="195">
        <f t="shared" si="8"/>
        <v>107186</v>
      </c>
      <c r="CF78" s="195"/>
    </row>
    <row r="79" spans="1:84" ht="12.6" customHeight="1" x14ac:dyDescent="0.25">
      <c r="A79" s="171" t="s">
        <v>251</v>
      </c>
      <c r="B79" s="175"/>
      <c r="C79" s="225">
        <v>140981</v>
      </c>
      <c r="D79" s="225"/>
      <c r="E79" s="184">
        <v>420669</v>
      </c>
      <c r="F79" s="184">
        <v>123438</v>
      </c>
      <c r="G79" s="184"/>
      <c r="H79" s="184">
        <v>73006</v>
      </c>
      <c r="I79" s="184"/>
      <c r="J79" s="184"/>
      <c r="K79" s="184"/>
      <c r="L79" s="184"/>
      <c r="M79" s="184"/>
      <c r="N79" s="184"/>
      <c r="O79" s="184"/>
      <c r="P79" s="184">
        <v>406590</v>
      </c>
      <c r="Q79" s="184">
        <v>36908</v>
      </c>
      <c r="R79" s="184"/>
      <c r="S79" s="184">
        <v>491121</v>
      </c>
      <c r="T79" s="184"/>
      <c r="U79" s="184">
        <v>21658</v>
      </c>
      <c r="V79" s="184"/>
      <c r="W79" s="184">
        <v>12481</v>
      </c>
      <c r="X79" s="184"/>
      <c r="Y79" s="184">
        <v>208642</v>
      </c>
      <c r="Z79" s="184"/>
      <c r="AA79" s="184"/>
      <c r="AB79" s="184">
        <v>7127</v>
      </c>
      <c r="AC79" s="184"/>
      <c r="AD79" s="184"/>
      <c r="AE79" s="184">
        <v>24802</v>
      </c>
      <c r="AF79" s="184"/>
      <c r="AG79" s="184">
        <v>213319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110973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2291715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41.62</v>
      </c>
      <c r="D80" s="187">
        <v>34.659999999999997</v>
      </c>
      <c r="E80" s="187">
        <v>190.93</v>
      </c>
      <c r="F80" s="187">
        <v>40.299999999999997</v>
      </c>
      <c r="G80" s="187"/>
      <c r="H80" s="187">
        <v>47.37</v>
      </c>
      <c r="I80" s="187"/>
      <c r="J80" s="187"/>
      <c r="K80" s="187"/>
      <c r="L80" s="187"/>
      <c r="M80" s="187"/>
      <c r="N80" s="187"/>
      <c r="O80" s="187"/>
      <c r="P80" s="187">
        <v>69.260000000000005</v>
      </c>
      <c r="Q80" s="187">
        <v>16.600000000000001</v>
      </c>
      <c r="R80" s="187"/>
      <c r="S80" s="187"/>
      <c r="T80" s="187">
        <v>2</v>
      </c>
      <c r="U80" s="187"/>
      <c r="V80" s="187"/>
      <c r="W80" s="187"/>
      <c r="X80" s="187"/>
      <c r="Y80" s="187">
        <v>5.78</v>
      </c>
      <c r="Z80" s="187"/>
      <c r="AA80" s="187"/>
      <c r="AB80" s="187"/>
      <c r="AC80" s="187"/>
      <c r="AD80" s="187"/>
      <c r="AE80" s="187"/>
      <c r="AF80" s="187"/>
      <c r="AG80" s="187">
        <v>33.57</v>
      </c>
      <c r="AH80" s="187"/>
      <c r="AI80" s="187"/>
      <c r="AJ80" s="187">
        <v>41.18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f>21.05+0.03+1.89+1.37+9.09+15.2+0.01</f>
        <v>48.640000000000008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571.91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0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9935</v>
      </c>
      <c r="D111" s="174">
        <v>48653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1078</v>
      </c>
      <c r="D114" s="174">
        <v>1771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197</v>
      </c>
    </row>
    <row r="128" spans="1:5" ht="12.6" customHeight="1" x14ac:dyDescent="0.25">
      <c r="A128" s="173" t="s">
        <v>292</v>
      </c>
      <c r="B128" s="172" t="s">
        <v>256</v>
      </c>
      <c r="C128" s="189">
        <v>281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5475</v>
      </c>
      <c r="C138" s="189">
        <v>1581</v>
      </c>
      <c r="D138" s="174">
        <v>2879</v>
      </c>
      <c r="E138" s="175">
        <f>SUM(B138:D138)</f>
        <v>9935</v>
      </c>
    </row>
    <row r="139" spans="1:6" ht="12.6" customHeight="1" x14ac:dyDescent="0.25">
      <c r="A139" s="173" t="s">
        <v>215</v>
      </c>
      <c r="B139" s="174">
        <v>31639</v>
      </c>
      <c r="C139" s="189">
        <v>8049</v>
      </c>
      <c r="D139" s="174">
        <v>8965</v>
      </c>
      <c r="E139" s="175">
        <f>SUM(B139:D139)</f>
        <v>48653</v>
      </c>
    </row>
    <row r="140" spans="1:6" ht="12.6" customHeight="1" x14ac:dyDescent="0.25">
      <c r="A140" s="173" t="s">
        <v>298</v>
      </c>
      <c r="B140" s="174">
        <v>221166</v>
      </c>
      <c r="C140" s="174">
        <v>69723</v>
      </c>
      <c r="D140" s="174">
        <v>181116</v>
      </c>
      <c r="E140" s="175">
        <f>SUM(B140:D140)</f>
        <v>472005</v>
      </c>
    </row>
    <row r="141" spans="1:6" ht="12.6" customHeight="1" x14ac:dyDescent="0.25">
      <c r="A141" s="173" t="s">
        <v>245</v>
      </c>
      <c r="B141" s="174">
        <v>253854575.34</v>
      </c>
      <c r="C141" s="189">
        <v>74803787.459999993</v>
      </c>
      <c r="D141" s="174">
        <v>194314123.62</v>
      </c>
      <c r="E141" s="175">
        <f>SUM(B141:D141)</f>
        <v>522972486.42000002</v>
      </c>
      <c r="F141" s="199"/>
    </row>
    <row r="142" spans="1:6" ht="12.6" customHeight="1" x14ac:dyDescent="0.25">
      <c r="A142" s="173" t="s">
        <v>246</v>
      </c>
      <c r="B142" s="174">
        <v>307805759.31</v>
      </c>
      <c r="C142" s="189">
        <v>102260861.98999999</v>
      </c>
      <c r="D142" s="174">
        <v>265638017.18000001</v>
      </c>
      <c r="E142" s="175">
        <f>SUM(B142:D142)</f>
        <v>675704638.48000002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11220397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289289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656461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16380805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169290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5163289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1608282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35487813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5966629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3896354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9862983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1414179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1038907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2453086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211338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10426304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10637642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3668555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3668555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105250+10816822</f>
        <v>10922072</v>
      </c>
      <c r="C195" s="189"/>
      <c r="D195" s="174"/>
      <c r="E195" s="175">
        <f t="shared" ref="E195:E203" si="10">SUM(B195:C195)-D195</f>
        <v>10922072</v>
      </c>
    </row>
    <row r="196" spans="1:8" ht="12.6" customHeight="1" x14ac:dyDescent="0.25">
      <c r="A196" s="173" t="s">
        <v>333</v>
      </c>
      <c r="B196" s="174">
        <v>5984429</v>
      </c>
      <c r="C196" s="189"/>
      <c r="D196" s="174">
        <v>55528.53</v>
      </c>
      <c r="E196" s="175">
        <f t="shared" si="10"/>
        <v>5928900.4699999997</v>
      </c>
    </row>
    <row r="197" spans="1:8" ht="12.6" customHeight="1" x14ac:dyDescent="0.25">
      <c r="A197" s="173" t="s">
        <v>334</v>
      </c>
      <c r="B197" s="174">
        <v>142191094</v>
      </c>
      <c r="C197" s="189">
        <v>3917514.81</v>
      </c>
      <c r="D197" s="174">
        <v>42413.25</v>
      </c>
      <c r="E197" s="175">
        <f t="shared" si="10"/>
        <v>146066195.56</v>
      </c>
    </row>
    <row r="198" spans="1:8" ht="12.6" customHeight="1" x14ac:dyDescent="0.25">
      <c r="A198" s="173" t="s">
        <v>335</v>
      </c>
      <c r="B198" s="174">
        <v>46677141</v>
      </c>
      <c r="C198" s="189">
        <v>25944.01</v>
      </c>
      <c r="D198" s="174">
        <v>60161.32</v>
      </c>
      <c r="E198" s="175">
        <f t="shared" si="10"/>
        <v>46642923.689999998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176961116</v>
      </c>
      <c r="C200" s="189">
        <v>2510443.7400000002</v>
      </c>
      <c r="D200" s="174">
        <v>26577870</v>
      </c>
      <c r="E200" s="175">
        <f t="shared" si="10"/>
        <v>152893689.74000001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18153816</v>
      </c>
      <c r="C202" s="189"/>
      <c r="D202" s="174">
        <v>1263178</v>
      </c>
      <c r="E202" s="175">
        <f t="shared" si="10"/>
        <v>16890638</v>
      </c>
    </row>
    <row r="203" spans="1:8" ht="12.6" customHeight="1" x14ac:dyDescent="0.25">
      <c r="A203" s="173" t="s">
        <v>340</v>
      </c>
      <c r="B203" s="174">
        <v>2472160</v>
      </c>
      <c r="C203" s="189">
        <v>8154086</v>
      </c>
      <c r="D203" s="174">
        <f>6080485.96+524988.27</f>
        <v>6605474.2300000004</v>
      </c>
      <c r="E203" s="175">
        <f t="shared" si="10"/>
        <v>4020771.7699999996</v>
      </c>
    </row>
    <row r="204" spans="1:8" ht="12.6" customHeight="1" x14ac:dyDescent="0.25">
      <c r="A204" s="173" t="s">
        <v>203</v>
      </c>
      <c r="B204" s="175">
        <f>SUM(B195:B203)</f>
        <v>403361828</v>
      </c>
      <c r="C204" s="191">
        <f>SUM(C195:C203)</f>
        <v>14607988.560000001</v>
      </c>
      <c r="D204" s="175">
        <f>SUM(D195:D203)</f>
        <v>34604625.329999998</v>
      </c>
      <c r="E204" s="175">
        <f>SUM(E195:E203)</f>
        <v>383365191.23000002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5318009</v>
      </c>
      <c r="C209" s="189">
        <v>171716</v>
      </c>
      <c r="D209" s="174">
        <v>55528.53</v>
      </c>
      <c r="E209" s="175">
        <f t="shared" ref="E209:E216" si="11">SUM(B209:C209)-D209</f>
        <v>5434196.4699999997</v>
      </c>
      <c r="H209" s="259"/>
    </row>
    <row r="210" spans="1:8" ht="12.6" customHeight="1" x14ac:dyDescent="0.25">
      <c r="A210" s="173" t="s">
        <v>334</v>
      </c>
      <c r="B210" s="174">
        <v>87783656</v>
      </c>
      <c r="C210" s="189">
        <v>5868253</v>
      </c>
      <c r="D210" s="174">
        <v>42412.25</v>
      </c>
      <c r="E210" s="175">
        <f t="shared" si="11"/>
        <v>93609496.75</v>
      </c>
      <c r="H210" s="259"/>
    </row>
    <row r="211" spans="1:8" ht="12.6" customHeight="1" x14ac:dyDescent="0.25">
      <c r="A211" s="173" t="s">
        <v>335</v>
      </c>
      <c r="B211" s="174">
        <v>37650370</v>
      </c>
      <c r="C211" s="189">
        <v>642512</v>
      </c>
      <c r="D211" s="174">
        <v>-776376.17</v>
      </c>
      <c r="E211" s="175">
        <f t="shared" si="11"/>
        <v>39069258.170000002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152734600</v>
      </c>
      <c r="C213" s="189">
        <v>8116529</v>
      </c>
      <c r="D213" s="174">
        <v>26976382.82</v>
      </c>
      <c r="E213" s="175">
        <f t="shared" si="11"/>
        <v>133874746.18000001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11354276</v>
      </c>
      <c r="C215" s="189">
        <v>1047051</v>
      </c>
      <c r="D215" s="174">
        <v>1245343.5</v>
      </c>
      <c r="E215" s="175">
        <f t="shared" si="11"/>
        <v>11155983.5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294840911</v>
      </c>
      <c r="C217" s="191">
        <f>SUM(C208:C216)</f>
        <v>15846061</v>
      </c>
      <c r="D217" s="175">
        <f>SUM(D208:D216)</f>
        <v>27543290.93</v>
      </c>
      <c r="E217" s="175">
        <f>SUM(E208:E216)</f>
        <v>283143681.06999999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2" t="s">
        <v>1255</v>
      </c>
      <c r="C220" s="292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6033962</v>
      </c>
      <c r="D221" s="172">
        <f>C221</f>
        <v>6033962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409034707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138042660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14239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14679256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226769573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34829467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823369902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3380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5246472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8786143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14032615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3320132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3320132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846756611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17056828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136132803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98272944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4857302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5111387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3152917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68038293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4533643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40802789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45336432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10922072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5928900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146066196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46642924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152893689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16890638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4020772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383365191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283143681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100221510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6401125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7739032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14140157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227736392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11323851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21383532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4741366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10491904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1253393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4152086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53346132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6937197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438838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59532697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64924946.5+4152086</f>
        <v>69077032.5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135985764.5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4152086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131833678.5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42556581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227736391.5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227736392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522972486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675704638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1198677124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6033962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369545798+457144237-1</f>
        <v>826690034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14032615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846756611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351920513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15157690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15157690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367078203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163916586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35487810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3823584+10748174</f>
        <v>14571758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66341445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3382844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62823676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15846061+351527</f>
        <v>16197588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9892983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2453086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10637642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3668555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2630479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392004452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-24926249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223952+3668555</f>
        <v>3892507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-21033742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-21033742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UW Medicine/Northwest Hospital &amp; Medical Center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9935</v>
      </c>
      <c r="C414" s="194">
        <f>E138</f>
        <v>9935</v>
      </c>
      <c r="D414" s="179"/>
    </row>
    <row r="415" spans="1:5" ht="12.6" customHeight="1" x14ac:dyDescent="0.25">
      <c r="A415" s="179" t="s">
        <v>464</v>
      </c>
      <c r="B415" s="179">
        <f>D111</f>
        <v>48653</v>
      </c>
      <c r="C415" s="179">
        <f>E139</f>
        <v>48653</v>
      </c>
      <c r="D415" s="194">
        <f>SUM(C59:H59)+N59</f>
        <v>46630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1078</v>
      </c>
    </row>
    <row r="424" spans="1:7" ht="12.6" customHeight="1" x14ac:dyDescent="0.25">
      <c r="A424" s="179" t="s">
        <v>1244</v>
      </c>
      <c r="B424" s="179">
        <f>D114</f>
        <v>1771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163916586</v>
      </c>
      <c r="C427" s="179">
        <f t="shared" ref="C427:C434" si="13">CE61</f>
        <v>163916586</v>
      </c>
      <c r="D427" s="179"/>
    </row>
    <row r="428" spans="1:7" ht="12.6" customHeight="1" x14ac:dyDescent="0.25">
      <c r="A428" s="179" t="s">
        <v>3</v>
      </c>
      <c r="B428" s="179">
        <f t="shared" si="12"/>
        <v>35487810</v>
      </c>
      <c r="C428" s="179">
        <f t="shared" si="13"/>
        <v>35487810</v>
      </c>
      <c r="D428" s="179">
        <f>D173</f>
        <v>35487813</v>
      </c>
    </row>
    <row r="429" spans="1:7" ht="12.6" customHeight="1" x14ac:dyDescent="0.25">
      <c r="A429" s="179" t="s">
        <v>236</v>
      </c>
      <c r="B429" s="179">
        <f t="shared" si="12"/>
        <v>14571758</v>
      </c>
      <c r="C429" s="179">
        <f t="shared" si="13"/>
        <v>14571758</v>
      </c>
      <c r="D429" s="179"/>
    </row>
    <row r="430" spans="1:7" ht="12.6" customHeight="1" x14ac:dyDescent="0.25">
      <c r="A430" s="179" t="s">
        <v>237</v>
      </c>
      <c r="B430" s="179">
        <f t="shared" si="12"/>
        <v>66341445</v>
      </c>
      <c r="C430" s="179">
        <f t="shared" si="13"/>
        <v>66341445</v>
      </c>
      <c r="D430" s="179"/>
    </row>
    <row r="431" spans="1:7" ht="12.6" customHeight="1" x14ac:dyDescent="0.25">
      <c r="A431" s="179" t="s">
        <v>444</v>
      </c>
      <c r="B431" s="179">
        <f t="shared" si="12"/>
        <v>3382844</v>
      </c>
      <c r="C431" s="179">
        <f t="shared" si="13"/>
        <v>3382844</v>
      </c>
      <c r="D431" s="179"/>
    </row>
    <row r="432" spans="1:7" ht="12.6" customHeight="1" x14ac:dyDescent="0.25">
      <c r="A432" s="179" t="s">
        <v>445</v>
      </c>
      <c r="B432" s="179">
        <f t="shared" si="12"/>
        <v>62823676</v>
      </c>
      <c r="C432" s="179">
        <f t="shared" si="13"/>
        <v>62823676</v>
      </c>
      <c r="D432" s="179"/>
    </row>
    <row r="433" spans="1:7" ht="12.6" customHeight="1" x14ac:dyDescent="0.25">
      <c r="A433" s="179" t="s">
        <v>6</v>
      </c>
      <c r="B433" s="179">
        <f t="shared" si="12"/>
        <v>16197588</v>
      </c>
      <c r="C433" s="179">
        <f t="shared" si="13"/>
        <v>16197588</v>
      </c>
      <c r="D433" s="179">
        <f>C217</f>
        <v>15846061</v>
      </c>
    </row>
    <row r="434" spans="1:7" ht="12.6" customHeight="1" x14ac:dyDescent="0.25">
      <c r="A434" s="179" t="s">
        <v>474</v>
      </c>
      <c r="B434" s="179">
        <f t="shared" si="12"/>
        <v>9892983</v>
      </c>
      <c r="C434" s="179">
        <f t="shared" si="13"/>
        <v>9862983</v>
      </c>
      <c r="D434" s="179">
        <f>D177</f>
        <v>9862983</v>
      </c>
    </row>
    <row r="435" spans="1:7" ht="12.6" customHeight="1" x14ac:dyDescent="0.25">
      <c r="A435" s="179" t="s">
        <v>447</v>
      </c>
      <c r="B435" s="179">
        <f t="shared" si="12"/>
        <v>2453086</v>
      </c>
      <c r="C435" s="179"/>
      <c r="D435" s="179">
        <f>D181</f>
        <v>2453086</v>
      </c>
    </row>
    <row r="436" spans="1:7" ht="12.6" customHeight="1" x14ac:dyDescent="0.25">
      <c r="A436" s="179" t="s">
        <v>475</v>
      </c>
      <c r="B436" s="179">
        <f t="shared" si="12"/>
        <v>10637642</v>
      </c>
      <c r="C436" s="179"/>
      <c r="D436" s="179">
        <f>D186</f>
        <v>10637642</v>
      </c>
    </row>
    <row r="437" spans="1:7" ht="12.6" customHeight="1" x14ac:dyDescent="0.25">
      <c r="A437" s="194" t="s">
        <v>449</v>
      </c>
      <c r="B437" s="194">
        <f t="shared" si="12"/>
        <v>3668555</v>
      </c>
      <c r="C437" s="194"/>
      <c r="D437" s="194">
        <f>D190</f>
        <v>3668555</v>
      </c>
    </row>
    <row r="438" spans="1:7" ht="12.6" customHeight="1" x14ac:dyDescent="0.25">
      <c r="A438" s="194" t="s">
        <v>476</v>
      </c>
      <c r="B438" s="194">
        <f>C386+C387+C388</f>
        <v>16759283</v>
      </c>
      <c r="C438" s="194">
        <f>CD69</f>
        <v>16759283</v>
      </c>
      <c r="D438" s="194">
        <f>D181+D186+D190</f>
        <v>16759283</v>
      </c>
    </row>
    <row r="439" spans="1:7" ht="12.6" customHeight="1" x14ac:dyDescent="0.25">
      <c r="A439" s="179" t="s">
        <v>451</v>
      </c>
      <c r="B439" s="194">
        <f>C389</f>
        <v>2630479</v>
      </c>
      <c r="C439" s="194">
        <f>SUM(C69:CC69)</f>
        <v>2630479</v>
      </c>
      <c r="D439" s="179"/>
    </row>
    <row r="440" spans="1:7" ht="12.6" customHeight="1" x14ac:dyDescent="0.25">
      <c r="A440" s="179" t="s">
        <v>477</v>
      </c>
      <c r="B440" s="194">
        <f>B438+B439</f>
        <v>19389762</v>
      </c>
      <c r="C440" s="194">
        <f>CE69</f>
        <v>19389762</v>
      </c>
      <c r="D440" s="179"/>
    </row>
    <row r="441" spans="1:7" ht="12.6" customHeight="1" x14ac:dyDescent="0.25">
      <c r="A441" s="179" t="s">
        <v>478</v>
      </c>
      <c r="B441" s="179">
        <f>D390</f>
        <v>392004452</v>
      </c>
      <c r="C441" s="179">
        <f>SUM(C427:C437)+C440</f>
        <v>391974452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6033962</v>
      </c>
      <c r="C444" s="179">
        <f>C363</f>
        <v>6033962</v>
      </c>
      <c r="D444" s="179"/>
    </row>
    <row r="445" spans="1:7" ht="12.6" customHeight="1" x14ac:dyDescent="0.25">
      <c r="A445" s="179" t="s">
        <v>343</v>
      </c>
      <c r="B445" s="179">
        <f>D229</f>
        <v>823369902</v>
      </c>
      <c r="C445" s="179">
        <f>C364</f>
        <v>826690034</v>
      </c>
      <c r="D445" s="179"/>
    </row>
    <row r="446" spans="1:7" ht="12.6" customHeight="1" x14ac:dyDescent="0.25">
      <c r="A446" s="179" t="s">
        <v>351</v>
      </c>
      <c r="B446" s="179">
        <f>D236</f>
        <v>14032615</v>
      </c>
      <c r="C446" s="179">
        <f>C365</f>
        <v>14032615</v>
      </c>
      <c r="D446" s="179"/>
    </row>
    <row r="447" spans="1:7" ht="12.6" customHeight="1" x14ac:dyDescent="0.25">
      <c r="A447" s="179" t="s">
        <v>356</v>
      </c>
      <c r="B447" s="179">
        <f>D240</f>
        <v>3320132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846756611</v>
      </c>
      <c r="C448" s="179">
        <f>D367</f>
        <v>846756611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3380</v>
      </c>
    </row>
    <row r="454" spans="1:7" ht="12.6" customHeight="1" x14ac:dyDescent="0.25">
      <c r="A454" s="179" t="s">
        <v>168</v>
      </c>
      <c r="B454" s="179">
        <f>C233</f>
        <v>5246472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8786143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15157690</v>
      </c>
      <c r="C458" s="194">
        <f>CE70</f>
        <v>15157690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522972486</v>
      </c>
      <c r="C463" s="194">
        <f>CE73</f>
        <v>522972486</v>
      </c>
      <c r="D463" s="194">
        <f>E141+E147+E153</f>
        <v>522972486.42000002</v>
      </c>
    </row>
    <row r="464" spans="1:7" ht="12.6" customHeight="1" x14ac:dyDescent="0.25">
      <c r="A464" s="179" t="s">
        <v>246</v>
      </c>
      <c r="B464" s="194">
        <f>C360</f>
        <v>675704638</v>
      </c>
      <c r="C464" s="194">
        <f>CE74</f>
        <v>675704638</v>
      </c>
      <c r="D464" s="194">
        <f>E142+E148+E154</f>
        <v>675704638.48000002</v>
      </c>
    </row>
    <row r="465" spans="1:7" ht="12.6" customHeight="1" x14ac:dyDescent="0.25">
      <c r="A465" s="179" t="s">
        <v>247</v>
      </c>
      <c r="B465" s="194">
        <f>D361</f>
        <v>1198677124</v>
      </c>
      <c r="C465" s="194">
        <f>CE75</f>
        <v>1198677124</v>
      </c>
      <c r="D465" s="194">
        <f>D463+D464</f>
        <v>1198677124.9000001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10922072</v>
      </c>
      <c r="C468" s="179">
        <f>E195</f>
        <v>10922072</v>
      </c>
      <c r="D468" s="179"/>
    </row>
    <row r="469" spans="1:7" ht="12.6" customHeight="1" x14ac:dyDescent="0.25">
      <c r="A469" s="179" t="s">
        <v>333</v>
      </c>
      <c r="B469" s="179">
        <f t="shared" si="14"/>
        <v>5928900</v>
      </c>
      <c r="C469" s="179">
        <f>E196</f>
        <v>5928900.4699999997</v>
      </c>
      <c r="D469" s="179"/>
    </row>
    <row r="470" spans="1:7" ht="12.6" customHeight="1" x14ac:dyDescent="0.25">
      <c r="A470" s="179" t="s">
        <v>334</v>
      </c>
      <c r="B470" s="179">
        <f t="shared" si="14"/>
        <v>146066196</v>
      </c>
      <c r="C470" s="179">
        <f>E197</f>
        <v>146066195.56</v>
      </c>
      <c r="D470" s="179"/>
    </row>
    <row r="471" spans="1:7" ht="12.6" customHeight="1" x14ac:dyDescent="0.25">
      <c r="A471" s="179" t="s">
        <v>494</v>
      </c>
      <c r="B471" s="179">
        <f t="shared" si="14"/>
        <v>46642924</v>
      </c>
      <c r="C471" s="179">
        <f>E198</f>
        <v>46642923.689999998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152893689</v>
      </c>
      <c r="C473" s="179">
        <f>SUM(E200:E201)</f>
        <v>152893689.74000001</v>
      </c>
      <c r="D473" s="179"/>
    </row>
    <row r="474" spans="1:7" ht="12.6" customHeight="1" x14ac:dyDescent="0.25">
      <c r="A474" s="179" t="s">
        <v>339</v>
      </c>
      <c r="B474" s="179">
        <f t="shared" si="14"/>
        <v>16890638</v>
      </c>
      <c r="C474" s="179">
        <f>E202</f>
        <v>16890638</v>
      </c>
      <c r="D474" s="179"/>
    </row>
    <row r="475" spans="1:7" ht="12.6" customHeight="1" x14ac:dyDescent="0.25">
      <c r="A475" s="179" t="s">
        <v>340</v>
      </c>
      <c r="B475" s="179">
        <f t="shared" si="14"/>
        <v>4020772</v>
      </c>
      <c r="C475" s="179">
        <f>E203</f>
        <v>4020771.7699999996</v>
      </c>
      <c r="D475" s="179"/>
    </row>
    <row r="476" spans="1:7" ht="12.6" customHeight="1" x14ac:dyDescent="0.25">
      <c r="A476" s="179" t="s">
        <v>203</v>
      </c>
      <c r="B476" s="179">
        <f>D275</f>
        <v>383365191</v>
      </c>
      <c r="C476" s="179">
        <f>E204</f>
        <v>383365191.23000002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283143681</v>
      </c>
      <c r="C478" s="179">
        <f>E217</f>
        <v>283143681.06999999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227736392</v>
      </c>
    </row>
    <row r="482" spans="1:12" ht="12.6" customHeight="1" x14ac:dyDescent="0.25">
      <c r="A482" s="180" t="s">
        <v>499</v>
      </c>
      <c r="C482" s="180">
        <f>D339</f>
        <v>227736391.5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130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6712656</v>
      </c>
      <c r="C496" s="240">
        <f>C71</f>
        <v>6879693</v>
      </c>
      <c r="D496" s="240">
        <v>3924</v>
      </c>
      <c r="E496" s="180">
        <f>C59</f>
        <v>3701</v>
      </c>
      <c r="F496" s="263">
        <f t="shared" ref="F496:G511" si="15">IF(B496=0,"",IF(D496=0,"",B496/D496))</f>
        <v>1710.6666666666667</v>
      </c>
      <c r="G496" s="264">
        <f t="shared" si="15"/>
        <v>1858.8740880843015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4663172</v>
      </c>
      <c r="C497" s="240">
        <f>D71</f>
        <v>4883637</v>
      </c>
      <c r="D497" s="240">
        <v>4624</v>
      </c>
      <c r="E497" s="180">
        <f>D59</f>
        <v>4673</v>
      </c>
      <c r="F497" s="263">
        <f t="shared" si="15"/>
        <v>1008.4714532871973</v>
      </c>
      <c r="G497" s="263">
        <f t="shared" si="15"/>
        <v>1045.0753263428205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23630696</v>
      </c>
      <c r="C498" s="240">
        <f>E71</f>
        <v>24122210</v>
      </c>
      <c r="D498" s="240">
        <v>27526</v>
      </c>
      <c r="E498" s="180">
        <f>E59</f>
        <v>24237</v>
      </c>
      <c r="F498" s="263">
        <f t="shared" si="15"/>
        <v>858.48637651674778</v>
      </c>
      <c r="G498" s="263">
        <f t="shared" si="15"/>
        <v>995.26385278706107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7883366</v>
      </c>
      <c r="C499" s="240">
        <f>F71</f>
        <v>7949013</v>
      </c>
      <c r="D499" s="240">
        <v>4718</v>
      </c>
      <c r="E499" s="180">
        <f>F59</f>
        <v>4370</v>
      </c>
      <c r="F499" s="263">
        <f t="shared" si="15"/>
        <v>1670.9126748622298</v>
      </c>
      <c r="G499" s="263">
        <f t="shared" si="15"/>
        <v>1818.9961098398169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6094603</v>
      </c>
      <c r="C501" s="240">
        <f>H71</f>
        <v>6040669</v>
      </c>
      <c r="D501" s="240">
        <v>9700</v>
      </c>
      <c r="E501" s="180">
        <f>H59</f>
        <v>9649</v>
      </c>
      <c r="F501" s="263">
        <f t="shared" si="15"/>
        <v>628.30958762886598</v>
      </c>
      <c r="G501" s="263">
        <f t="shared" si="15"/>
        <v>626.04093688465127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40119687</v>
      </c>
      <c r="C509" s="240">
        <f>P71</f>
        <v>42561288</v>
      </c>
      <c r="D509" s="240">
        <v>2203743</v>
      </c>
      <c r="E509" s="180">
        <f>P59</f>
        <v>2345649</v>
      </c>
      <c r="F509" s="263">
        <f t="shared" si="15"/>
        <v>18.205247617349212</v>
      </c>
      <c r="G509" s="263">
        <f t="shared" si="15"/>
        <v>18.144781252438026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2499717</v>
      </c>
      <c r="C510" s="240">
        <f>Q71</f>
        <v>2717758</v>
      </c>
      <c r="D510" s="240">
        <v>927131</v>
      </c>
      <c r="E510" s="180">
        <f>Q59</f>
        <v>888255</v>
      </c>
      <c r="F510" s="263">
        <f t="shared" si="15"/>
        <v>2.6961853287183795</v>
      </c>
      <c r="G510" s="263">
        <f t="shared" si="15"/>
        <v>3.0596596698020275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1496488</v>
      </c>
      <c r="C511" s="240">
        <f>R71</f>
        <v>1688695</v>
      </c>
      <c r="D511" s="240">
        <v>1084113</v>
      </c>
      <c r="E511" s="180">
        <f>R59</f>
        <v>1275752</v>
      </c>
      <c r="F511" s="263">
        <f t="shared" si="15"/>
        <v>1.3803800895294125</v>
      </c>
      <c r="G511" s="263">
        <f t="shared" si="15"/>
        <v>1.3236859515015458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2134033</v>
      </c>
      <c r="C512" s="240">
        <f>S71</f>
        <v>2335601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1191847</v>
      </c>
      <c r="C513" s="240">
        <f>T71</f>
        <v>1276669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13699247</v>
      </c>
      <c r="C514" s="240">
        <f>U71</f>
        <v>13923926</v>
      </c>
      <c r="D514" s="240">
        <v>859418</v>
      </c>
      <c r="E514" s="180">
        <f>U59</f>
        <v>851993</v>
      </c>
      <c r="F514" s="263">
        <f t="shared" si="17"/>
        <v>15.940144376775912</v>
      </c>
      <c r="G514" s="263">
        <f t="shared" si="17"/>
        <v>16.342770421822713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737547</v>
      </c>
      <c r="C515" s="240">
        <f>V71</f>
        <v>711481</v>
      </c>
      <c r="D515" s="240">
        <v>21780</v>
      </c>
      <c r="E515" s="180">
        <f>V59</f>
        <v>22658</v>
      </c>
      <c r="F515" s="263">
        <f t="shared" si="17"/>
        <v>33.863498622589532</v>
      </c>
      <c r="G515" s="263">
        <f t="shared" si="17"/>
        <v>31.400873863536059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2114756</v>
      </c>
      <c r="C516" s="240">
        <f>W71</f>
        <v>1722061</v>
      </c>
      <c r="D516" s="240">
        <v>7483</v>
      </c>
      <c r="E516" s="180">
        <f>W59</f>
        <v>7718</v>
      </c>
      <c r="F516" s="263">
        <f t="shared" si="17"/>
        <v>282.60804490177736</v>
      </c>
      <c r="G516" s="263">
        <f t="shared" si="17"/>
        <v>223.12270018139415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1731608</v>
      </c>
      <c r="C517" s="240">
        <f>X71</f>
        <v>1817207</v>
      </c>
      <c r="D517" s="240">
        <v>18577</v>
      </c>
      <c r="E517" s="180">
        <f>X59</f>
        <v>20016</v>
      </c>
      <c r="F517" s="263">
        <f t="shared" si="17"/>
        <v>93.212467029122038</v>
      </c>
      <c r="G517" s="263">
        <f t="shared" si="17"/>
        <v>90.787719824140694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15710832</v>
      </c>
      <c r="C518" s="240">
        <f>Y71</f>
        <v>14440504</v>
      </c>
      <c r="D518" s="240">
        <v>77345</v>
      </c>
      <c r="E518" s="180">
        <f>Y59</f>
        <v>78281</v>
      </c>
      <c r="F518" s="263">
        <f t="shared" si="17"/>
        <v>203.1266662356972</v>
      </c>
      <c r="G518" s="263">
        <f t="shared" si="17"/>
        <v>184.47010130172072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-101555</v>
      </c>
      <c r="C519" s="240">
        <f>Z71</f>
        <v>-395343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516887</v>
      </c>
      <c r="C520" s="240">
        <f>AA71</f>
        <v>575194</v>
      </c>
      <c r="D520" s="240">
        <v>849</v>
      </c>
      <c r="E520" s="180">
        <f>AA59</f>
        <v>824</v>
      </c>
      <c r="F520" s="263">
        <f t="shared" si="17"/>
        <v>608.81861012956415</v>
      </c>
      <c r="G520" s="263">
        <f t="shared" si="17"/>
        <v>698.05097087378635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16093061</v>
      </c>
      <c r="C521" s="240">
        <f>AB71</f>
        <v>15603512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2175264</v>
      </c>
      <c r="C522" s="240">
        <f>AC71</f>
        <v>2159049</v>
      </c>
      <c r="D522" s="240">
        <v>25617</v>
      </c>
      <c r="E522" s="180">
        <f>AC59</f>
        <v>30302</v>
      </c>
      <c r="F522" s="263">
        <f t="shared" si="17"/>
        <v>84.914861224967794</v>
      </c>
      <c r="G522" s="263">
        <f t="shared" si="17"/>
        <v>71.251039535344205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3851239</v>
      </c>
      <c r="C524" s="240">
        <f>AE71</f>
        <v>3528432</v>
      </c>
      <c r="D524" s="240">
        <v>77568</v>
      </c>
      <c r="E524" s="180">
        <f>AE59</f>
        <v>72926</v>
      </c>
      <c r="F524" s="263">
        <f t="shared" si="17"/>
        <v>49.649842718646866</v>
      </c>
      <c r="G524" s="263">
        <f t="shared" si="17"/>
        <v>48.383731453802483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7581562</v>
      </c>
      <c r="C526" s="240">
        <f>AG71</f>
        <v>7989553</v>
      </c>
      <c r="D526" s="240">
        <v>34150</v>
      </c>
      <c r="E526" s="180">
        <f>AG59</f>
        <v>33651</v>
      </c>
      <c r="F526" s="263">
        <f t="shared" si="17"/>
        <v>222.00767203513908</v>
      </c>
      <c r="G526" s="263">
        <f t="shared" si="17"/>
        <v>237.42393985319902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86530333</v>
      </c>
      <c r="C529" s="240">
        <f>AJ71</f>
        <v>87822505</v>
      </c>
      <c r="D529" s="240">
        <v>187592</v>
      </c>
      <c r="E529" s="180">
        <f>AJ59</f>
        <v>149544</v>
      </c>
      <c r="F529" s="263">
        <f t="shared" si="18"/>
        <v>461.26878011855518</v>
      </c>
      <c r="G529" s="263">
        <f t="shared" si="18"/>
        <v>587.26866340341303</v>
      </c>
      <c r="H529" s="265">
        <f t="shared" si="16"/>
        <v>0.27315935679079217</v>
      </c>
      <c r="I529" s="267" t="s">
        <v>1279</v>
      </c>
      <c r="K529" s="261"/>
      <c r="L529" s="261"/>
    </row>
    <row r="530" spans="1:12" ht="12.6" customHeight="1" x14ac:dyDescent="0.25">
      <c r="A530" s="180" t="s">
        <v>546</v>
      </c>
      <c r="B530" s="240">
        <v>1718909</v>
      </c>
      <c r="C530" s="240">
        <f>AK71</f>
        <v>1709542</v>
      </c>
      <c r="D530" s="240">
        <v>40090</v>
      </c>
      <c r="E530" s="180">
        <f>AK59</f>
        <v>42405</v>
      </c>
      <c r="F530" s="263">
        <f t="shared" si="18"/>
        <v>42.876253429782992</v>
      </c>
      <c r="G530" s="263">
        <f t="shared" si="18"/>
        <v>40.314632708407025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570071</v>
      </c>
      <c r="C531" s="240">
        <f>AL71</f>
        <v>499483</v>
      </c>
      <c r="D531" s="240">
        <v>13108</v>
      </c>
      <c r="E531" s="180">
        <f>AL59</f>
        <v>7269</v>
      </c>
      <c r="F531" s="263">
        <f t="shared" si="18"/>
        <v>43.490311260299052</v>
      </c>
      <c r="G531" s="263">
        <f t="shared" si="18"/>
        <v>68.714128490851564</v>
      </c>
      <c r="H531" s="265">
        <f t="shared" si="16"/>
        <v>0.57998704768017029</v>
      </c>
      <c r="I531" s="267" t="s">
        <v>1280</v>
      </c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11904532</v>
      </c>
      <c r="C541" s="240">
        <f>AV71</f>
        <v>12673199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1111808.7138041803</v>
      </c>
      <c r="C544" s="240">
        <f>AY71</f>
        <v>1106861.7624192643</v>
      </c>
      <c r="D544" s="240">
        <v>208031</v>
      </c>
      <c r="E544" s="180">
        <f>AY59</f>
        <v>193845</v>
      </c>
      <c r="F544" s="263">
        <f t="shared" ref="F544:G550" si="19">IF(B544=0,"",IF(D544=0,"",B544/D544))</f>
        <v>5.344437674212883</v>
      </c>
      <c r="G544" s="263">
        <f t="shared" si="19"/>
        <v>5.7100351436419006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2361522.2861958211</v>
      </c>
      <c r="C545" s="240">
        <f>AZ71</f>
        <v>2573500.2375807357</v>
      </c>
      <c r="D545" s="240">
        <v>441678</v>
      </c>
      <c r="E545" s="180">
        <f>AZ59</f>
        <v>450698</v>
      </c>
      <c r="F545" s="263">
        <f t="shared" si="19"/>
        <v>5.3467057136552443</v>
      </c>
      <c r="G545" s="263">
        <f t="shared" si="19"/>
        <v>5.7100325219564665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68965</v>
      </c>
      <c r="C546" s="240">
        <f>BA71</f>
        <v>60488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2165532</v>
      </c>
      <c r="C549" s="240">
        <f>BD71</f>
        <v>2366130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8231983</v>
      </c>
      <c r="C550" s="240">
        <f>BE71</f>
        <v>7851020</v>
      </c>
      <c r="D550" s="240">
        <v>435312</v>
      </c>
      <c r="E550" s="180">
        <f>BE59</f>
        <v>433631</v>
      </c>
      <c r="F550" s="263">
        <f t="shared" si="19"/>
        <v>18.910535432057927</v>
      </c>
      <c r="G550" s="263">
        <f t="shared" si="19"/>
        <v>18.10530151211514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3770508</v>
      </c>
      <c r="C551" s="240">
        <f>BF71</f>
        <v>3833027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10356698</v>
      </c>
      <c r="C553" s="240">
        <f>BH71</f>
        <v>8367844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1793448</v>
      </c>
      <c r="C555" s="240">
        <f>BJ71</f>
        <v>1238409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3271534</v>
      </c>
      <c r="C556" s="240">
        <f>BK71</f>
        <v>2641105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4678585</v>
      </c>
      <c r="C557" s="240">
        <f>BL71</f>
        <v>4785080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31420777</v>
      </c>
      <c r="C559" s="240">
        <f>BN71</f>
        <v>33700784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714918</v>
      </c>
      <c r="C560" s="240">
        <f>BO71</f>
        <v>472883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1692068</v>
      </c>
      <c r="C561" s="240">
        <f>BP71</f>
        <v>2017029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4137163</v>
      </c>
      <c r="C563" s="240">
        <f>BR71</f>
        <v>3615723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83545</v>
      </c>
      <c r="C564" s="240">
        <f>BS71</f>
        <v>84094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3453281</v>
      </c>
      <c r="C567" s="240">
        <f>BV71</f>
        <v>3435859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1051988</v>
      </c>
      <c r="C568" s="240">
        <f>BW71</f>
        <v>1142816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6161601</v>
      </c>
      <c r="C569" s="240">
        <f>BX71</f>
        <v>6418345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2009119</v>
      </c>
      <c r="C570" s="240">
        <f>BY71</f>
        <v>1731976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3982027</v>
      </c>
      <c r="C572" s="240">
        <f>CA71</f>
        <v>3905374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761407</v>
      </c>
      <c r="C574" s="240">
        <f>CC71</f>
        <v>3473593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17061993</v>
      </c>
      <c r="C575" s="240">
        <f>CD71</f>
        <v>16759283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425414</v>
      </c>
      <c r="E612" s="180">
        <f>SUM(C624:D647)+SUM(C668:D713)</f>
        <v>336048465.23199755</v>
      </c>
      <c r="F612" s="180">
        <f>CE64-(AX64+BD64+BE64+BG64+BJ64+BN64+BP64+BQ64+CB64+CC64+CD64)</f>
        <v>65120757</v>
      </c>
      <c r="G612" s="180">
        <f>CE77-(AX77+AY77+BD77+BE77+BG77+BJ77+BN77+BP77+BQ77+CB77+CC77+CD77)</f>
        <v>193845</v>
      </c>
      <c r="H612" s="197">
        <f>CE60-(AX60+AY60+AZ60+BD60+BE60+BG60+BJ60+BN60+BO60+BP60+BQ60+BR60+CB60+CC60+CD60)</f>
        <v>1701.6499999999999</v>
      </c>
      <c r="I612" s="180">
        <f>CE78-(AX78+AY78+AZ78+BD78+BE78+BF78+BG78+BJ78+BN78+BO78+BP78+BQ78+BR78+CB78+CC78+CD78)</f>
        <v>107186</v>
      </c>
      <c r="J612" s="180">
        <f>CE79-(AX79+AY79+AZ79+BA79+BD79+BE79+BF79+BG79+BJ79+BN79+BO79+BP79+BQ79+BR79+CB79+CC79+CD79)</f>
        <v>2291715</v>
      </c>
      <c r="K612" s="180">
        <f>CE75-(AW75+AX75+AY75+AZ75+BA75+BB75+BC75+BD75+BE75+BF75+BG75+BH75+BI75+BJ75+BK75+BL75+BM75+BN75+BO75+BP75+BQ75+BR75+BS75+BT75+BU75+BV75+BW75+BX75+CB75+CC75+CD75)</f>
        <v>1198677124</v>
      </c>
      <c r="L612" s="197">
        <f>CE80-(AW80+AX80+AY80+AZ80+BA80+BB80+BC80+BD80+BE80+BF80+BG80+BH80+BI80+BJ80+BK80+BL80+BM80+BN80+BO80+BP80+BQ80+BR80+BS80+BT80+BU80+BV80+BW80+BX80+BY80+BZ80+CA80+CB80+CC80+CD80)</f>
        <v>571.91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7851020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16759283</v>
      </c>
      <c r="D615" s="266">
        <f>SUM(C614:C615)</f>
        <v>24610303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1238409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33700784</v>
      </c>
      <c r="D619" s="180">
        <f>(D615/D612)*BN76</f>
        <v>85329.107469429771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3473593</v>
      </c>
      <c r="D620" s="180">
        <f>(D615/D612)*CC76</f>
        <v>98171.861271608359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2017029</v>
      </c>
      <c r="D621" s="180">
        <f>(D615/D612)*BP76</f>
        <v>154980.79926142533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40768296.768002465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2366130</v>
      </c>
      <c r="D624" s="180">
        <f>(D615/D612)*BD76</f>
        <v>268598.67524105927</v>
      </c>
      <c r="E624" s="180">
        <f>(E623/E612)*SUM(C624:D624)</f>
        <v>319636.63473730959</v>
      </c>
      <c r="F624" s="180">
        <f>SUM(C624:E624)</f>
        <v>2954365.3099783687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1106861.7624192643</v>
      </c>
      <c r="D625" s="180">
        <f>(D615/D612)*AY76</f>
        <v>251371.26048228369</v>
      </c>
      <c r="E625" s="180">
        <f>(E623/E612)*SUM(C625:D625)</f>
        <v>164776.37212097869</v>
      </c>
      <c r="F625" s="180">
        <f>(F624/F612)*AY64</f>
        <v>16431.659513095783</v>
      </c>
      <c r="G625" s="180">
        <f>SUM(C625:F625)</f>
        <v>1539441.0545356227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3615723</v>
      </c>
      <c r="D626" s="180">
        <f>(D615/D612)*BR76</f>
        <v>217285.51027469712</v>
      </c>
      <c r="E626" s="180">
        <f>(E623/E612)*SUM(C626:D626)</f>
        <v>465008.01113100501</v>
      </c>
      <c r="F626" s="180">
        <f>(F624/F612)*BR64</f>
        <v>503.44303959534682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472883</v>
      </c>
      <c r="D627" s="180">
        <f>(D615/D612)*BO76</f>
        <v>0</v>
      </c>
      <c r="E627" s="180">
        <f>(E623/E612)*SUM(C627:D627)</f>
        <v>57368.613385078046</v>
      </c>
      <c r="F627" s="180">
        <f>(F624/F612)*BO64</f>
        <v>1319.1505147619987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2573500.2375807357</v>
      </c>
      <c r="D628" s="180">
        <f>(D615/D612)*AZ76</f>
        <v>584449.04102166311</v>
      </c>
      <c r="E628" s="180">
        <f>(E623/E612)*SUM(C628:D628)</f>
        <v>383112.04093576455</v>
      </c>
      <c r="F628" s="180">
        <f>(F624/F612)*AZ64</f>
        <v>38204.318291589894</v>
      </c>
      <c r="G628" s="180">
        <f>(G625/G612)*AZ77</f>
        <v>0</v>
      </c>
      <c r="H628" s="180">
        <f>SUM(C626:G628)</f>
        <v>8409356.3661748916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3833027</v>
      </c>
      <c r="D629" s="180">
        <f>(D615/D612)*BF76</f>
        <v>238690.09994499476</v>
      </c>
      <c r="E629" s="180">
        <f>(E623/E612)*SUM(C629:D629)</f>
        <v>493967.35370092728</v>
      </c>
      <c r="F629" s="180">
        <f>(F624/F612)*BF64</f>
        <v>12624.9559290504</v>
      </c>
      <c r="G629" s="180">
        <f>(G625/G612)*BF77</f>
        <v>0</v>
      </c>
      <c r="H629" s="180">
        <f>(H628/H612)*BF60</f>
        <v>296167.08901646122</v>
      </c>
      <c r="I629" s="180">
        <f>SUM(C629:H629)</f>
        <v>4874476.4985914333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60488</v>
      </c>
      <c r="D630" s="180">
        <f>(D615/D612)*BA76</f>
        <v>0</v>
      </c>
      <c r="E630" s="180">
        <f>(E623/E612)*SUM(C630:D630)</f>
        <v>7338.2056162657591</v>
      </c>
      <c r="F630" s="180">
        <f>(F624/F612)*BA64</f>
        <v>0</v>
      </c>
      <c r="G630" s="180">
        <f>(G625/G612)*BA77</f>
        <v>0</v>
      </c>
      <c r="H630" s="180">
        <f>(H628/H612)*BA60</f>
        <v>6424.4487856065352</v>
      </c>
      <c r="I630" s="180">
        <f>(I629/I612)*BA78</f>
        <v>0</v>
      </c>
      <c r="J630" s="180">
        <f>SUM(C630:I630)</f>
        <v>74250.654401872293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2641105</v>
      </c>
      <c r="D635" s="180">
        <f>(D615/D612)*BK76</f>
        <v>296366.79157009406</v>
      </c>
      <c r="E635" s="180">
        <f>(E623/E612)*SUM(C635:D635)</f>
        <v>356364.43589673826</v>
      </c>
      <c r="F635" s="180">
        <f>(F624/F612)*BK64</f>
        <v>1048.1251278517884</v>
      </c>
      <c r="G635" s="180">
        <f>(G625/G612)*BK77</f>
        <v>0</v>
      </c>
      <c r="H635" s="180">
        <f>(H628/H612)*BK60</f>
        <v>147861.15974257502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8367844</v>
      </c>
      <c r="D636" s="180">
        <f>(D615/D612)*BH76</f>
        <v>884588.05580681411</v>
      </c>
      <c r="E636" s="180">
        <f>(E623/E612)*SUM(C636:D636)</f>
        <v>1122474.6871452008</v>
      </c>
      <c r="F636" s="180">
        <f>(F624/F612)*BH64</f>
        <v>801.77965565184866</v>
      </c>
      <c r="G636" s="180">
        <f>(G625/G612)*BH77</f>
        <v>0</v>
      </c>
      <c r="H636" s="180">
        <f>(H628/H612)*BH60</f>
        <v>41116.472227881823</v>
      </c>
      <c r="I636" s="180">
        <f>(I629/I612)*BH78</f>
        <v>80539.416332407491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4785080</v>
      </c>
      <c r="D637" s="180">
        <f>(D615/D612)*BL76</f>
        <v>522850.49037878396</v>
      </c>
      <c r="E637" s="180">
        <f>(E623/E612)*SUM(C637:D637)</f>
        <v>643940.70452396933</v>
      </c>
      <c r="F637" s="180">
        <f>(F624/F612)*BL64</f>
        <v>4234.1932349710114</v>
      </c>
      <c r="G637" s="180">
        <f>(G625/G612)*BL77</f>
        <v>0</v>
      </c>
      <c r="H637" s="180">
        <f>(H628/H612)*BL60</f>
        <v>380673.29996559338</v>
      </c>
      <c r="I637" s="180">
        <f>(I629/I612)*BL78</f>
        <v>84541.374907930833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84094</v>
      </c>
      <c r="D639" s="180">
        <f>(D615/D612)*BS76</f>
        <v>0</v>
      </c>
      <c r="E639" s="180">
        <f>(E623/E612)*SUM(C639:D639)</f>
        <v>10202.008052741912</v>
      </c>
      <c r="F639" s="180">
        <f>(F624/F612)*BS64</f>
        <v>63.378383915896144</v>
      </c>
      <c r="G639" s="180">
        <f>(G625/G612)*BS77</f>
        <v>0</v>
      </c>
      <c r="H639" s="180">
        <f>(H628/H612)*BS60</f>
        <v>4941.8836812357958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3435859</v>
      </c>
      <c r="D642" s="180">
        <f>(D615/D612)*BV76</f>
        <v>318118.48269450467</v>
      </c>
      <c r="E642" s="180">
        <f>(E623/E612)*SUM(C642:D642)</f>
        <v>455420.22627370735</v>
      </c>
      <c r="F642" s="180">
        <f>(F624/F612)*BV64</f>
        <v>701.154562219166</v>
      </c>
      <c r="G642" s="180">
        <f>(G625/G612)*BV77</f>
        <v>0</v>
      </c>
      <c r="H642" s="180">
        <f>(H628/H612)*BV60</f>
        <v>178550.25740304933</v>
      </c>
      <c r="I642" s="180">
        <f>(I629/I612)*BV78</f>
        <v>119149.22122580893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1142816</v>
      </c>
      <c r="D643" s="180">
        <f>(D615/D612)*BW76</f>
        <v>131609.3013511544</v>
      </c>
      <c r="E643" s="180">
        <f>(E623/E612)*SUM(C643:D643)</f>
        <v>154609.09443007247</v>
      </c>
      <c r="F643" s="180">
        <f>(F624/F612)*BW64</f>
        <v>118.1369446793082</v>
      </c>
      <c r="G643" s="180">
        <f>(G625/G612)*BW77</f>
        <v>0</v>
      </c>
      <c r="H643" s="180">
        <f>(H628/H612)*BW60</f>
        <v>28020.480472606963</v>
      </c>
      <c r="I643" s="180">
        <f>(I629/I612)*BW78</f>
        <v>49296.853362128582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6418345</v>
      </c>
      <c r="D644" s="180">
        <f>(D615/D612)*BX76</f>
        <v>223938.28814519502</v>
      </c>
      <c r="E644" s="180">
        <f>(E623/E612)*SUM(C644:D644)</f>
        <v>805820.00611518417</v>
      </c>
      <c r="F644" s="180">
        <f>(F624/F612)*BX64</f>
        <v>683.73344595309288</v>
      </c>
      <c r="G644" s="180">
        <f>(G625/G612)*BX77</f>
        <v>0</v>
      </c>
      <c r="H644" s="180">
        <f>(H628/H612)*BX60</f>
        <v>228611.53909396791</v>
      </c>
      <c r="I644" s="180">
        <f>(I629/I612)*BX78</f>
        <v>54845.023205467776</v>
      </c>
      <c r="J644" s="180">
        <f>(J630/J612)*BX79</f>
        <v>0</v>
      </c>
      <c r="K644" s="180">
        <f>SUM(C631:J644)</f>
        <v>34207243.055360056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1731976</v>
      </c>
      <c r="D645" s="180">
        <f>(D615/D612)*BY76</f>
        <v>56924.638474521293</v>
      </c>
      <c r="E645" s="180">
        <f>(E623/E612)*SUM(C645:D645)</f>
        <v>217023.55363369815</v>
      </c>
      <c r="F645" s="180">
        <f>(F624/F612)*BY64</f>
        <v>474.90688821159688</v>
      </c>
      <c r="G645" s="180">
        <f>(G625/G612)*BY77</f>
        <v>0</v>
      </c>
      <c r="H645" s="180">
        <f>(H628/H612)*BY60</f>
        <v>57671.78256002174</v>
      </c>
      <c r="I645" s="180">
        <f>(I629/I612)*BY78</f>
        <v>21328.620135459689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3905374</v>
      </c>
      <c r="D647" s="180">
        <f>(D615/D612)*CA76</f>
        <v>340969.32842360617</v>
      </c>
      <c r="E647" s="180">
        <f>(E623/E612)*SUM(C647:D647)</f>
        <v>515152.43455281615</v>
      </c>
      <c r="F647" s="180">
        <f>(F624/F612)*CA64</f>
        <v>1984.2379222115601</v>
      </c>
      <c r="G647" s="180">
        <f>(G625/G612)*CA77</f>
        <v>0</v>
      </c>
      <c r="H647" s="180">
        <f>(H628/H612)*CA60</f>
        <v>128143.04385444419</v>
      </c>
      <c r="I647" s="180">
        <f>(I629/I612)*CA78</f>
        <v>127698.86000079064</v>
      </c>
      <c r="J647" s="180">
        <f>(J630/J612)*CA79</f>
        <v>0</v>
      </c>
      <c r="K647" s="180">
        <v>0</v>
      </c>
      <c r="L647" s="180">
        <f>SUM(C645:K647)</f>
        <v>7104721.4064457808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111581224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6879693</v>
      </c>
      <c r="D668" s="180">
        <f>(D615/D612)*C76</f>
        <v>463901.0934219372</v>
      </c>
      <c r="E668" s="180">
        <f>(E623/E612)*SUM(C668:D668)</f>
        <v>890900.731052852</v>
      </c>
      <c r="F668" s="180">
        <f>(F624/F612)*C64</f>
        <v>20993.851492816648</v>
      </c>
      <c r="G668" s="180">
        <f>(G625/G612)*C77</f>
        <v>112921.72794986726</v>
      </c>
      <c r="H668" s="180">
        <f>(H628/H612)*C60</f>
        <v>257373.30211876024</v>
      </c>
      <c r="I668" s="180">
        <f>(I629/I612)*C78</f>
        <v>173721.3836193092</v>
      </c>
      <c r="J668" s="180">
        <f>(J630/J612)*C79</f>
        <v>4567.7283205941221</v>
      </c>
      <c r="K668" s="180">
        <f>(K644/K612)*C75</f>
        <v>695501.57205111359</v>
      </c>
      <c r="L668" s="180">
        <f>(L647/L612)*C80</f>
        <v>517036.780151201</v>
      </c>
      <c r="M668" s="180">
        <f t="shared" ref="M668:M713" si="20">ROUND(SUM(D668:L668),0)</f>
        <v>3136918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4883637</v>
      </c>
      <c r="D669" s="180">
        <f>(D615/D612)*D76</f>
        <v>475644.69261942484</v>
      </c>
      <c r="E669" s="180">
        <f>(E623/E612)*SUM(C669:D669)</f>
        <v>650170.4638263809</v>
      </c>
      <c r="F669" s="180">
        <f>(F624/F612)*D64</f>
        <v>6874.8080064990963</v>
      </c>
      <c r="G669" s="180">
        <f>(G625/G612)*D77</f>
        <v>142917.18237469663</v>
      </c>
      <c r="H669" s="180">
        <f>(H628/H612)*D60</f>
        <v>223966.16843360628</v>
      </c>
      <c r="I669" s="180">
        <f>(I629/I612)*D78</f>
        <v>178132.63341278382</v>
      </c>
      <c r="J669" s="180">
        <f>(J630/J612)*D79</f>
        <v>0</v>
      </c>
      <c r="K669" s="180">
        <f>(K644/K612)*D75</f>
        <v>649411.80453754775</v>
      </c>
      <c r="L669" s="180">
        <f>(L647/L612)*D80</f>
        <v>430574.11821337399</v>
      </c>
      <c r="M669" s="180">
        <f t="shared" si="20"/>
        <v>2757692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24122210</v>
      </c>
      <c r="D670" s="180">
        <f>(D615/D612)*E76</f>
        <v>2761828.4201342692</v>
      </c>
      <c r="E670" s="180">
        <f>(E623/E612)*SUM(C670:D670)</f>
        <v>3261483.297886089</v>
      </c>
      <c r="F670" s="180">
        <f>(F624/F612)*E64</f>
        <v>43243.520483969674</v>
      </c>
      <c r="G670" s="180">
        <f>(G625/G612)*E77</f>
        <v>856597.75090573053</v>
      </c>
      <c r="H670" s="180">
        <f>(H628/H612)*E60</f>
        <v>1082321.9450274515</v>
      </c>
      <c r="I670" s="180">
        <f>(I629/I612)*E78</f>
        <v>1034278.907762814</v>
      </c>
      <c r="J670" s="180">
        <f>(J630/J612)*E79</f>
        <v>13629.508266333823</v>
      </c>
      <c r="K670" s="180">
        <f>(K644/K612)*E75</f>
        <v>2523533.8012615452</v>
      </c>
      <c r="L670" s="180">
        <f>(L647/L612)*E80</f>
        <v>2371884.4890501881</v>
      </c>
      <c r="M670" s="180">
        <f t="shared" si="20"/>
        <v>13948802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7949013</v>
      </c>
      <c r="D671" s="180">
        <f>(D615/D612)*F76</f>
        <v>795151.58113038121</v>
      </c>
      <c r="E671" s="180">
        <f>(E623/E612)*SUM(C671:D671)</f>
        <v>1060813.3454371626</v>
      </c>
      <c r="F671" s="180">
        <f>(F624/F612)*F64</f>
        <v>16564.804887109218</v>
      </c>
      <c r="G671" s="180">
        <f>(G625/G612)*F77</f>
        <v>132601.03323573625</v>
      </c>
      <c r="H671" s="180">
        <f>(H628/H612)*F60</f>
        <v>274669.89500308555</v>
      </c>
      <c r="I671" s="180">
        <f>(I629/I612)*F78</f>
        <v>297782.09946053318</v>
      </c>
      <c r="J671" s="180">
        <f>(J630/J612)*F79</f>
        <v>3999.3420988466337</v>
      </c>
      <c r="K671" s="180">
        <f>(K644/K612)*F75</f>
        <v>557856.49868740735</v>
      </c>
      <c r="L671" s="180">
        <f>(L647/L612)*F80</f>
        <v>500638.68909402692</v>
      </c>
      <c r="M671" s="180">
        <f t="shared" si="20"/>
        <v>3640077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6040669</v>
      </c>
      <c r="D673" s="180">
        <f>(D615/D612)*H76</f>
        <v>863357.01686357288</v>
      </c>
      <c r="E673" s="180">
        <f>(E623/E612)*SUM(C673:D673)</f>
        <v>837573.7748279525</v>
      </c>
      <c r="F673" s="180">
        <f>(F624/F612)*H64</f>
        <v>5333.1753194224557</v>
      </c>
      <c r="G673" s="180">
        <f>(G625/G612)*H77</f>
        <v>294403.36006959202</v>
      </c>
      <c r="H673" s="180">
        <f>(H628/H612)*H60</f>
        <v>302196.1871075689</v>
      </c>
      <c r="I673" s="180">
        <f>(I629/I612)*H78</f>
        <v>323340.06218148913</v>
      </c>
      <c r="J673" s="180">
        <f>(J630/J612)*H79</f>
        <v>2365.3653596817621</v>
      </c>
      <c r="K673" s="180">
        <f>(K644/K612)*H75</f>
        <v>818876.64200531598</v>
      </c>
      <c r="L673" s="180">
        <f>(L647/L612)*H80</f>
        <v>588467.85861995176</v>
      </c>
      <c r="M673" s="180">
        <f t="shared" si="20"/>
        <v>4035913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42561288</v>
      </c>
      <c r="D681" s="180">
        <f>(D615/D612)*P76</f>
        <v>3099558.1349861547</v>
      </c>
      <c r="E681" s="180">
        <f>(E623/E612)*SUM(C681:D681)</f>
        <v>5539423.9775030101</v>
      </c>
      <c r="F681" s="180">
        <f>(F624/F612)*P64</f>
        <v>1107008.410096135</v>
      </c>
      <c r="G681" s="180">
        <f>(G625/G612)*P77</f>
        <v>0</v>
      </c>
      <c r="H681" s="180">
        <f>(H628/H612)*P60</f>
        <v>598116.18193996837</v>
      </c>
      <c r="I681" s="180">
        <f>(I629/I612)*P78</f>
        <v>839183.42720605049</v>
      </c>
      <c r="J681" s="180">
        <f>(J630/J612)*P79</f>
        <v>13173.354266676815</v>
      </c>
      <c r="K681" s="180">
        <f>(K644/K612)*P75</f>
        <v>8896140.4463652093</v>
      </c>
      <c r="L681" s="180">
        <f>(L647/L612)*P80</f>
        <v>860402.86865142209</v>
      </c>
      <c r="M681" s="180">
        <f t="shared" si="20"/>
        <v>20953007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2717758</v>
      </c>
      <c r="D682" s="180">
        <f>(D615/D612)*Q76</f>
        <v>202128.74677843231</v>
      </c>
      <c r="E682" s="180">
        <f>(E623/E612)*SUM(C682:D682)</f>
        <v>354231.07598316111</v>
      </c>
      <c r="F682" s="180">
        <f>(F624/F612)*Q64</f>
        <v>4682.7416113321169</v>
      </c>
      <c r="G682" s="180">
        <f>(G625/G612)*Q77</f>
        <v>0</v>
      </c>
      <c r="H682" s="180">
        <f>(H628/H612)*Q60</f>
        <v>95526.611558287928</v>
      </c>
      <c r="I682" s="180">
        <f>(I629/I612)*Q78</f>
        <v>75718.875320981635</v>
      </c>
      <c r="J682" s="180">
        <f>(J630/J612)*Q79</f>
        <v>1195.8045187400278</v>
      </c>
      <c r="K682" s="180">
        <f>(K644/K612)*Q75</f>
        <v>448345.9143313783</v>
      </c>
      <c r="L682" s="180">
        <f>(L647/L612)*Q80</f>
        <v>206218.41784021957</v>
      </c>
      <c r="M682" s="180">
        <f t="shared" si="20"/>
        <v>1388048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1688695</v>
      </c>
      <c r="D683" s="180">
        <f>(D615/D612)*R76</f>
        <v>56172.585323943262</v>
      </c>
      <c r="E683" s="180">
        <f>(E623/E612)*SUM(C683:D683)</f>
        <v>211681.60815805176</v>
      </c>
      <c r="F683" s="180">
        <f>(F624/F612)*R64</f>
        <v>25794.548578866968</v>
      </c>
      <c r="G683" s="180">
        <f>(G625/G612)*R77</f>
        <v>0</v>
      </c>
      <c r="H683" s="180">
        <f>(H628/H612)*R60</f>
        <v>43735.670578936792</v>
      </c>
      <c r="I683" s="180">
        <f>(I629/I612)*R78</f>
        <v>21055.759323492188</v>
      </c>
      <c r="J683" s="180">
        <f>(J630/J612)*R79</f>
        <v>0</v>
      </c>
      <c r="K683" s="180">
        <f>(K644/K612)*R75</f>
        <v>998829.77958884358</v>
      </c>
      <c r="L683" s="180">
        <f>(L647/L612)*R80</f>
        <v>0</v>
      </c>
      <c r="M683" s="180">
        <f t="shared" si="20"/>
        <v>1357270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2335601</v>
      </c>
      <c r="D684" s="180">
        <f>(D615/D612)*S76</f>
        <v>0</v>
      </c>
      <c r="E684" s="180">
        <f>(E623/E612)*SUM(C684:D684)</f>
        <v>283347.44702347444</v>
      </c>
      <c r="F684" s="180">
        <f>(F624/F612)*S64</f>
        <v>16991.803705589115</v>
      </c>
      <c r="G684" s="180">
        <f>(G625/G612)*S77</f>
        <v>0</v>
      </c>
      <c r="H684" s="180">
        <f>(H628/H612)*S60</f>
        <v>78131.181000337936</v>
      </c>
      <c r="I684" s="180">
        <f>(I629/I612)*S78</f>
        <v>0</v>
      </c>
      <c r="J684" s="180">
        <f>(J630/J612)*S79</f>
        <v>15912.12504194541</v>
      </c>
      <c r="K684" s="180">
        <f>(K644/K612)*S75</f>
        <v>52206.151853248368</v>
      </c>
      <c r="L684" s="180">
        <f>(L647/L612)*S80</f>
        <v>0</v>
      </c>
      <c r="M684" s="180">
        <f t="shared" si="20"/>
        <v>446589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1276669</v>
      </c>
      <c r="D685" s="180">
        <f>(D615/D612)*T76</f>
        <v>0</v>
      </c>
      <c r="E685" s="180">
        <f>(E623/E612)*SUM(C685:D685)</f>
        <v>154881.29258551102</v>
      </c>
      <c r="F685" s="180">
        <f>(F624/F612)*T64</f>
        <v>36759.870978632251</v>
      </c>
      <c r="G685" s="180">
        <f>(G625/G612)*T77</f>
        <v>0</v>
      </c>
      <c r="H685" s="180">
        <f>(H628/H612)*T60</f>
        <v>10130.861546533381</v>
      </c>
      <c r="I685" s="180">
        <f>(I629/I612)*T78</f>
        <v>0</v>
      </c>
      <c r="J685" s="180">
        <f>(J630/J612)*T79</f>
        <v>0</v>
      </c>
      <c r="K685" s="180">
        <f>(K644/K612)*T75</f>
        <v>36084.521584463459</v>
      </c>
      <c r="L685" s="180">
        <f>(L647/L612)*T80</f>
        <v>24845.592510869825</v>
      </c>
      <c r="M685" s="180">
        <f t="shared" si="20"/>
        <v>262702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13923926</v>
      </c>
      <c r="D686" s="180">
        <f>(D615/D612)*U76</f>
        <v>636757.6175701787</v>
      </c>
      <c r="E686" s="180">
        <f>(E623/E612)*SUM(C686:D686)</f>
        <v>1766454.3429956737</v>
      </c>
      <c r="F686" s="180">
        <f>(F624/F612)*U64</f>
        <v>98896.183745745715</v>
      </c>
      <c r="G686" s="180">
        <f>(G625/G612)*U77</f>
        <v>0</v>
      </c>
      <c r="H686" s="180">
        <f>(H628/H612)*U60</f>
        <v>436368.32905312075</v>
      </c>
      <c r="I686" s="180">
        <f>(I629/I612)*U78</f>
        <v>162261.22951667415</v>
      </c>
      <c r="J686" s="180">
        <f>(J630/J612)*U79</f>
        <v>701.71058488326435</v>
      </c>
      <c r="K686" s="180">
        <f>(K644/K612)*U75</f>
        <v>2072150.3273695861</v>
      </c>
      <c r="L686" s="180">
        <f>(L647/L612)*U80</f>
        <v>0</v>
      </c>
      <c r="M686" s="180">
        <f t="shared" si="20"/>
        <v>5173590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711481</v>
      </c>
      <c r="D687" s="180">
        <f>(D615/D612)*V76</f>
        <v>30255.676750177474</v>
      </c>
      <c r="E687" s="180">
        <f>(E623/E612)*SUM(C687:D687)</f>
        <v>89985.058972332568</v>
      </c>
      <c r="F687" s="180">
        <f>(F624/F612)*V64</f>
        <v>702.19801449551926</v>
      </c>
      <c r="G687" s="180">
        <f>(G625/G612)*V77</f>
        <v>0</v>
      </c>
      <c r="H687" s="180">
        <f>(H628/H612)*V60</f>
        <v>35037.955299961795</v>
      </c>
      <c r="I687" s="180">
        <f>(I629/I612)*V78</f>
        <v>11323.723696651306</v>
      </c>
      <c r="J687" s="180">
        <f>(J630/J612)*V79</f>
        <v>0</v>
      </c>
      <c r="K687" s="180">
        <f>(K644/K612)*V75</f>
        <v>244991.17429707522</v>
      </c>
      <c r="L687" s="180">
        <f>(L647/L612)*V80</f>
        <v>0</v>
      </c>
      <c r="M687" s="180">
        <f t="shared" si="20"/>
        <v>412296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1722061</v>
      </c>
      <c r="D688" s="180">
        <f>(D615/D612)*W76</f>
        <v>261945.89737056138</v>
      </c>
      <c r="E688" s="180">
        <f>(E623/E612)*SUM(C688:D688)</f>
        <v>240693.20455288087</v>
      </c>
      <c r="F688" s="180">
        <f>(F624/F612)*W64</f>
        <v>8762.3224394417302</v>
      </c>
      <c r="G688" s="180">
        <f>(G625/G612)*W77</f>
        <v>0</v>
      </c>
      <c r="H688" s="180">
        <f>(H628/H612)*W60</f>
        <v>49814.187506856826</v>
      </c>
      <c r="I688" s="180">
        <f>(I629/I612)*W78</f>
        <v>39701.248141271448</v>
      </c>
      <c r="J688" s="180">
        <f>(J630/J612)*W79</f>
        <v>404.37943530926322</v>
      </c>
      <c r="K688" s="180">
        <f>(K644/K612)*W75</f>
        <v>961805.63242690824</v>
      </c>
      <c r="L688" s="180">
        <f>(L647/L612)*W80</f>
        <v>0</v>
      </c>
      <c r="M688" s="180">
        <f t="shared" si="20"/>
        <v>1563127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1817207</v>
      </c>
      <c r="D689" s="180">
        <f>(D615/D612)*X76</f>
        <v>81973.793413004736</v>
      </c>
      <c r="E689" s="180">
        <f>(E623/E612)*SUM(C689:D689)</f>
        <v>230402.38005104108</v>
      </c>
      <c r="F689" s="180">
        <f>(F624/F612)*X64</f>
        <v>8216.3246939672772</v>
      </c>
      <c r="G689" s="180">
        <f>(G625/G612)*X77</f>
        <v>0</v>
      </c>
      <c r="H689" s="180">
        <f>(H628/H612)*X60</f>
        <v>50061.281690918615</v>
      </c>
      <c r="I689" s="180">
        <f>(I629/I612)*X78</f>
        <v>30696.841346343903</v>
      </c>
      <c r="J689" s="180">
        <f>(J630/J612)*X79</f>
        <v>0</v>
      </c>
      <c r="K689" s="180">
        <f>(K644/K612)*X75</f>
        <v>1813755.9760894086</v>
      </c>
      <c r="L689" s="180">
        <f>(L647/L612)*X80</f>
        <v>0</v>
      </c>
      <c r="M689" s="180">
        <f t="shared" si="20"/>
        <v>2215107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14440504</v>
      </c>
      <c r="D690" s="180">
        <f>(D615/D612)*Y76</f>
        <v>1817481.0639776783</v>
      </c>
      <c r="E690" s="180">
        <f>(E623/E612)*SUM(C690:D690)</f>
        <v>1972365.3833098435</v>
      </c>
      <c r="F690" s="180">
        <f>(F624/F612)*Y64</f>
        <v>139377.18701181505</v>
      </c>
      <c r="G690" s="180">
        <f>(G625/G612)*Y77</f>
        <v>0</v>
      </c>
      <c r="H690" s="180">
        <f>(H628/H612)*Y60</f>
        <v>351960.95577761339</v>
      </c>
      <c r="I690" s="180">
        <f>(I629/I612)*Y78</f>
        <v>302193.34925400774</v>
      </c>
      <c r="J690" s="180">
        <f>(J630/J612)*Y79</f>
        <v>6759.9178064093658</v>
      </c>
      <c r="K690" s="180">
        <f>(K644/K612)*Y75</f>
        <v>2851857.4589123046</v>
      </c>
      <c r="L690" s="180">
        <f>(L647/L612)*Y80</f>
        <v>71803.76235641379</v>
      </c>
      <c r="M690" s="180">
        <f t="shared" si="20"/>
        <v>7513799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-395343</v>
      </c>
      <c r="D691" s="180">
        <f>(D615/D612)*Z76</f>
        <v>0</v>
      </c>
      <c r="E691" s="180">
        <f>(E623/E612)*SUM(C691:D691)</f>
        <v>-47961.715099711582</v>
      </c>
      <c r="F691" s="180">
        <f>(F624/F612)*Z64</f>
        <v>9.4364379774562615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1685.424485375901</v>
      </c>
      <c r="L691" s="180">
        <f>(L647/L612)*Z80</f>
        <v>0</v>
      </c>
      <c r="M691" s="180">
        <f t="shared" si="20"/>
        <v>-46267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575194</v>
      </c>
      <c r="D692" s="180">
        <f>(D615/D612)*AA76</f>
        <v>49693.358180501818</v>
      </c>
      <c r="E692" s="180">
        <f>(E623/E612)*SUM(C692:D692)</f>
        <v>75809.283185650565</v>
      </c>
      <c r="F692" s="180">
        <f>(F624/F612)*AA64</f>
        <v>7660.346100632054</v>
      </c>
      <c r="G692" s="180">
        <f>(G625/G612)*AA77</f>
        <v>0</v>
      </c>
      <c r="H692" s="180">
        <f>(H628/H612)*AA60</f>
        <v>11020.400609155824</v>
      </c>
      <c r="I692" s="180">
        <f>(I629/I612)*AA78</f>
        <v>18600.012015784676</v>
      </c>
      <c r="J692" s="180">
        <f>(J630/J612)*AA79</f>
        <v>0</v>
      </c>
      <c r="K692" s="180">
        <f>(K644/K612)*AA75</f>
        <v>60681.046047627351</v>
      </c>
      <c r="L692" s="180">
        <f>(L647/L612)*AA80</f>
        <v>0</v>
      </c>
      <c r="M692" s="180">
        <f t="shared" si="20"/>
        <v>223464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15603512</v>
      </c>
      <c r="D693" s="180">
        <f>(D615/D612)*AB76</f>
        <v>148732.97308739251</v>
      </c>
      <c r="E693" s="180">
        <f>(E623/E612)*SUM(C693:D693)</f>
        <v>1911010.6555069431</v>
      </c>
      <c r="F693" s="180">
        <f>(F624/F612)*AB64</f>
        <v>466157.13256696163</v>
      </c>
      <c r="G693" s="180">
        <f>(G625/G612)*AB77</f>
        <v>0</v>
      </c>
      <c r="H693" s="180">
        <f>(H628/H612)*AB60</f>
        <v>169457.19142957544</v>
      </c>
      <c r="I693" s="180">
        <f>(I629/I612)*AB78</f>
        <v>55709.08244336486</v>
      </c>
      <c r="J693" s="180">
        <f>(J630/J612)*AB79</f>
        <v>230.91196502276412</v>
      </c>
      <c r="K693" s="180">
        <f>(K644/K612)*AB75</f>
        <v>2257046.3874770384</v>
      </c>
      <c r="L693" s="180">
        <f>(L647/L612)*AB80</f>
        <v>0</v>
      </c>
      <c r="M693" s="180">
        <f t="shared" si="20"/>
        <v>5008344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2159049</v>
      </c>
      <c r="D694" s="180">
        <f>(D615/D612)*AC76</f>
        <v>63519.56610266705</v>
      </c>
      <c r="E694" s="180">
        <f>(E623/E612)*SUM(C694:D694)</f>
        <v>269634.72315682989</v>
      </c>
      <c r="F694" s="180">
        <f>(F624/F612)*AC64</f>
        <v>10613.860452595311</v>
      </c>
      <c r="G694" s="180">
        <f>(G625/G612)*AC77</f>
        <v>0</v>
      </c>
      <c r="H694" s="180">
        <f>(H628/H612)*AC60</f>
        <v>86285.289074376997</v>
      </c>
      <c r="I694" s="180">
        <f>(I629/I612)*AC78</f>
        <v>23784.367443167201</v>
      </c>
      <c r="J694" s="180">
        <f>(J630/J612)*AC79</f>
        <v>0</v>
      </c>
      <c r="K694" s="180">
        <f>(K644/K612)*AC75</f>
        <v>326827.15138572204</v>
      </c>
      <c r="L694" s="180">
        <f>(L647/L612)*AC80</f>
        <v>0</v>
      </c>
      <c r="M694" s="180">
        <f t="shared" si="20"/>
        <v>780665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3528432</v>
      </c>
      <c r="D696" s="180">
        <f>(D615/D612)*AE76</f>
        <v>994503.51627591008</v>
      </c>
      <c r="E696" s="180">
        <f>(E623/E612)*SUM(C696:D696)</f>
        <v>548707.69090635749</v>
      </c>
      <c r="F696" s="180">
        <f>(F624/F612)*AE64</f>
        <v>767.25499555163606</v>
      </c>
      <c r="G696" s="180">
        <f>(G625/G612)*AE77</f>
        <v>0</v>
      </c>
      <c r="H696" s="180">
        <f>(H628/H612)*AE60</f>
        <v>158535.62849404433</v>
      </c>
      <c r="I696" s="180">
        <f>(I629/I612)*AE78</f>
        <v>89953.114345286289</v>
      </c>
      <c r="J696" s="180">
        <f>(J630/J612)*AE79</f>
        <v>803.57493426330791</v>
      </c>
      <c r="K696" s="180">
        <f>(K644/K612)*AE75</f>
        <v>216800.03836079189</v>
      </c>
      <c r="L696" s="180">
        <f>(L647/L612)*AE80</f>
        <v>0</v>
      </c>
      <c r="M696" s="180">
        <f t="shared" si="20"/>
        <v>2010071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7989553</v>
      </c>
      <c r="D698" s="180">
        <f>(D615/D612)*AG76</f>
        <v>696864.01937406859</v>
      </c>
      <c r="E698" s="180">
        <f>(E623/E612)*SUM(C698:D698)</f>
        <v>1053807.6007935007</v>
      </c>
      <c r="F698" s="180">
        <f>(F624/F612)*AG64</f>
        <v>30349.626072561769</v>
      </c>
      <c r="G698" s="180">
        <f>(G625/G612)*AG77</f>
        <v>0</v>
      </c>
      <c r="H698" s="180">
        <f>(H628/H612)*AG60</f>
        <v>334960.87591416226</v>
      </c>
      <c r="I698" s="180">
        <f>(I629/I612)*AG78</f>
        <v>260991.36664691506</v>
      </c>
      <c r="J698" s="180">
        <f>(J630/J612)*AG79</f>
        <v>6911.4507459928473</v>
      </c>
      <c r="K698" s="180">
        <f>(K644/K612)*AG75</f>
        <v>2972819.4267828818</v>
      </c>
      <c r="L698" s="180">
        <f>(L647/L612)*AG80</f>
        <v>417033.27029494999</v>
      </c>
      <c r="M698" s="180">
        <f t="shared" si="20"/>
        <v>5773738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87822505</v>
      </c>
      <c r="D701" s="180">
        <f>(D615/D612)*AJ76</f>
        <v>4644795.9584545875</v>
      </c>
      <c r="E701" s="180">
        <f>(E623/E612)*SUM(C701:D701)</f>
        <v>11217829.440786069</v>
      </c>
      <c r="F701" s="180">
        <f>(F624/F612)*AJ64</f>
        <v>631534.42825608526</v>
      </c>
      <c r="G701" s="180">
        <f>(G625/G612)*AJ77</f>
        <v>0</v>
      </c>
      <c r="H701" s="180">
        <f>(H628/H612)*AJ60</f>
        <v>2003587.9008834288</v>
      </c>
      <c r="I701" s="180">
        <f>(I629/I612)*AJ78</f>
        <v>0</v>
      </c>
      <c r="J701" s="180">
        <f>(J630/J612)*AJ79</f>
        <v>0</v>
      </c>
      <c r="K701" s="180">
        <f>(K644/K612)*AJ75</f>
        <v>2787674.5197145003</v>
      </c>
      <c r="L701" s="180">
        <f>(L647/L612)*AJ80</f>
        <v>511570.7497988097</v>
      </c>
      <c r="M701" s="180">
        <f t="shared" si="20"/>
        <v>21796993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1709542</v>
      </c>
      <c r="D702" s="180">
        <f>(D615/D612)*AK76</f>
        <v>186509.18134335024</v>
      </c>
      <c r="E702" s="180">
        <f>(E623/E612)*SUM(C702:D702)</f>
        <v>230022.7057872818</v>
      </c>
      <c r="F702" s="180">
        <f>(F624/F612)*AK64</f>
        <v>1206.4576689158382</v>
      </c>
      <c r="G702" s="180">
        <f>(G625/G612)*AK77</f>
        <v>0</v>
      </c>
      <c r="H702" s="180">
        <f>(H628/H612)*AK60</f>
        <v>70866.611988921315</v>
      </c>
      <c r="I702" s="180">
        <f>(I629/I612)*AK78</f>
        <v>69852.367863680352</v>
      </c>
      <c r="J702" s="180">
        <f>(J630/J612)*AK79</f>
        <v>0</v>
      </c>
      <c r="K702" s="180">
        <f>(K644/K612)*AK75</f>
        <v>138855.09171122449</v>
      </c>
      <c r="L702" s="180">
        <f>(L647/L612)*AK80</f>
        <v>0</v>
      </c>
      <c r="M702" s="180">
        <f t="shared" si="20"/>
        <v>697312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499483</v>
      </c>
      <c r="D703" s="180">
        <f>(D615/D612)*AL76</f>
        <v>75147.464815450367</v>
      </c>
      <c r="E703" s="180">
        <f>(E623/E612)*SUM(C703:D703)</f>
        <v>69712.281844103651</v>
      </c>
      <c r="F703" s="180">
        <f>(F624/F612)*AL64</f>
        <v>89.056383412243463</v>
      </c>
      <c r="G703" s="180">
        <f>(G625/G612)*AL77</f>
        <v>0</v>
      </c>
      <c r="H703" s="180">
        <f>(H628/H612)*AL60</f>
        <v>22287.895402373437</v>
      </c>
      <c r="I703" s="180">
        <f>(I629/I612)*AL78</f>
        <v>28150.140434647223</v>
      </c>
      <c r="J703" s="180">
        <f>(J630/J612)*AL79</f>
        <v>0</v>
      </c>
      <c r="K703" s="180">
        <f>(K644/K612)*AL75</f>
        <v>43369.316603196807</v>
      </c>
      <c r="L703" s="180">
        <f>(L647/L612)*AL80</f>
        <v>0</v>
      </c>
      <c r="M703" s="180">
        <f t="shared" si="20"/>
        <v>238756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12673199</v>
      </c>
      <c r="D713" s="180">
        <f>(D615/D612)*AV76</f>
        <v>1530138.9102145205</v>
      </c>
      <c r="E713" s="180">
        <f>(E623/E612)*SUM(C713:D713)</f>
        <v>1723102.3347185652</v>
      </c>
      <c r="F713" s="180">
        <f>(F624/F612)*AV64</f>
        <v>186582.7865240789</v>
      </c>
      <c r="G713" s="180">
        <f>(G625/G612)*AV77</f>
        <v>0</v>
      </c>
      <c r="H713" s="180">
        <f>(H628/H612)*AV60</f>
        <v>164762.40193240144</v>
      </c>
      <c r="I713" s="180">
        <f>(I629/I612)*AV78</f>
        <v>300647.1379861919</v>
      </c>
      <c r="J713" s="180">
        <f>(J630/J612)*AV79</f>
        <v>3595.4810571728922</v>
      </c>
      <c r="K713" s="180">
        <f>(K644/K612)*AV75</f>
        <v>1780136.951430344</v>
      </c>
      <c r="L713" s="180">
        <f>(L647/L612)*AV80</f>
        <v>604244.8098643542</v>
      </c>
      <c r="M713" s="180">
        <f t="shared" si="20"/>
        <v>6293211</v>
      </c>
      <c r="N713" s="199" t="s">
        <v>741</v>
      </c>
    </row>
    <row r="715" spans="1:83" ht="12.6" customHeight="1" x14ac:dyDescent="0.25">
      <c r="C715" s="180">
        <f>SUM(C614:C647)+SUM(C668:C713)</f>
        <v>376816762</v>
      </c>
      <c r="D715" s="180">
        <f>SUM(D616:D647)+SUM(D668:D713)</f>
        <v>24610303.000000004</v>
      </c>
      <c r="E715" s="180">
        <f>SUM(E624:E647)+SUM(E668:E713)</f>
        <v>40768296.768002458</v>
      </c>
      <c r="F715" s="180">
        <f>SUM(F625:F648)+SUM(F668:F713)</f>
        <v>2954365.3099783692</v>
      </c>
      <c r="G715" s="180">
        <f>SUM(G626:G647)+SUM(G668:G713)</f>
        <v>1539441.0545356227</v>
      </c>
      <c r="H715" s="180">
        <f>SUM(H629:H647)+SUM(H668:H713)</f>
        <v>8409356.3661748935</v>
      </c>
      <c r="I715" s="180">
        <f>SUM(I630:I647)+SUM(I668:I713)</f>
        <v>4874476.4985914351</v>
      </c>
      <c r="J715" s="180">
        <f>SUM(J631:J647)+SUM(J668:J713)</f>
        <v>74250.654401872293</v>
      </c>
      <c r="K715" s="180">
        <f>SUM(K668:K713)</f>
        <v>34207243.055360064</v>
      </c>
      <c r="L715" s="180">
        <f>SUM(L668:L713)</f>
        <v>7104721.4064457808</v>
      </c>
      <c r="M715" s="180">
        <f>SUM(M668:M713)</f>
        <v>111581224</v>
      </c>
      <c r="N715" s="198" t="s">
        <v>742</v>
      </c>
    </row>
    <row r="716" spans="1:83" ht="12.6" customHeight="1" x14ac:dyDescent="0.25">
      <c r="C716" s="180">
        <f>CE71</f>
        <v>376816762</v>
      </c>
      <c r="D716" s="180">
        <f>D615</f>
        <v>24610303</v>
      </c>
      <c r="E716" s="180">
        <f>E623</f>
        <v>40768296.768002465</v>
      </c>
      <c r="F716" s="180">
        <f>F624</f>
        <v>2954365.3099783687</v>
      </c>
      <c r="G716" s="180">
        <f>G625</f>
        <v>1539441.0545356227</v>
      </c>
      <c r="H716" s="180">
        <f>H628</f>
        <v>8409356.3661748916</v>
      </c>
      <c r="I716" s="180">
        <f>I629</f>
        <v>4874476.4985914333</v>
      </c>
      <c r="J716" s="180">
        <f>J630</f>
        <v>74250.654401872293</v>
      </c>
      <c r="K716" s="180">
        <f>K644</f>
        <v>34207243.055360056</v>
      </c>
      <c r="L716" s="180">
        <f>L647</f>
        <v>7104721.4064457808</v>
      </c>
      <c r="M716" s="180">
        <f>C648</f>
        <v>111581224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130*2018*A</v>
      </c>
      <c r="B722" s="275">
        <f>ROUND(C165,0)</f>
        <v>11220397</v>
      </c>
      <c r="C722" s="275">
        <f>ROUND(C166,0)</f>
        <v>289289</v>
      </c>
      <c r="D722" s="275">
        <f>ROUND(C167,0)</f>
        <v>656461</v>
      </c>
      <c r="E722" s="275">
        <f>ROUND(C168,0)</f>
        <v>16380805</v>
      </c>
      <c r="F722" s="275">
        <f>ROUND(C169,0)</f>
        <v>169290</v>
      </c>
      <c r="G722" s="275">
        <f>ROUND(C170,0)</f>
        <v>5163289</v>
      </c>
      <c r="H722" s="275">
        <f>ROUND(C171+C172,0)</f>
        <v>1608282</v>
      </c>
      <c r="I722" s="275">
        <f>ROUND(C175,0)</f>
        <v>5966629</v>
      </c>
      <c r="J722" s="275">
        <f>ROUND(C176,0)</f>
        <v>3896354</v>
      </c>
      <c r="K722" s="275">
        <f>ROUND(C179,0)</f>
        <v>1414179</v>
      </c>
      <c r="L722" s="275">
        <f>ROUND(C180,0)</f>
        <v>1038907</v>
      </c>
      <c r="M722" s="275">
        <f>ROUND(C183,0)</f>
        <v>211338</v>
      </c>
      <c r="N722" s="275">
        <f>ROUND(C184,0)</f>
        <v>10426304</v>
      </c>
      <c r="O722" s="275">
        <f>ROUND(C185,0)</f>
        <v>0</v>
      </c>
      <c r="P722" s="275">
        <f>ROUND(C188,0)</f>
        <v>0</v>
      </c>
      <c r="Q722" s="275">
        <f>ROUND(C189,0)</f>
        <v>3668555</v>
      </c>
      <c r="R722" s="275">
        <f>ROUND(B195,0)</f>
        <v>10922072</v>
      </c>
      <c r="S722" s="275">
        <f>ROUND(C195,0)</f>
        <v>0</v>
      </c>
      <c r="T722" s="275">
        <f>ROUND(D195,0)</f>
        <v>0</v>
      </c>
      <c r="U722" s="275">
        <f>ROUND(B196,0)</f>
        <v>5984429</v>
      </c>
      <c r="V722" s="275">
        <f>ROUND(C196,0)</f>
        <v>0</v>
      </c>
      <c r="W722" s="275">
        <f>ROUND(D196,0)</f>
        <v>55529</v>
      </c>
      <c r="X722" s="275">
        <f>ROUND(B197,0)</f>
        <v>142191094</v>
      </c>
      <c r="Y722" s="275">
        <f>ROUND(C197,0)</f>
        <v>3917515</v>
      </c>
      <c r="Z722" s="275">
        <f>ROUND(D197,0)</f>
        <v>42413</v>
      </c>
      <c r="AA722" s="275">
        <f>ROUND(B198,0)</f>
        <v>46677141</v>
      </c>
      <c r="AB722" s="275">
        <f>ROUND(C198,0)</f>
        <v>25944</v>
      </c>
      <c r="AC722" s="275">
        <f>ROUND(D198,0)</f>
        <v>60161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176961116</v>
      </c>
      <c r="AH722" s="275">
        <f>ROUND(C200,0)</f>
        <v>2510444</v>
      </c>
      <c r="AI722" s="275">
        <f>ROUND(D200,0)</f>
        <v>26577870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18153816</v>
      </c>
      <c r="AN722" s="275">
        <f>ROUND(C202,0)</f>
        <v>0</v>
      </c>
      <c r="AO722" s="275">
        <f>ROUND(D202,0)</f>
        <v>1263178</v>
      </c>
      <c r="AP722" s="275">
        <f>ROUND(B203,0)</f>
        <v>2472160</v>
      </c>
      <c r="AQ722" s="275">
        <f>ROUND(C203,0)</f>
        <v>8154086</v>
      </c>
      <c r="AR722" s="275">
        <f>ROUND(D203,0)</f>
        <v>6605474</v>
      </c>
      <c r="AS722" s="275"/>
      <c r="AT722" s="275"/>
      <c r="AU722" s="275"/>
      <c r="AV722" s="275">
        <f>ROUND(B209,0)</f>
        <v>5318009</v>
      </c>
      <c r="AW722" s="275">
        <f>ROUND(C209,0)</f>
        <v>171716</v>
      </c>
      <c r="AX722" s="275">
        <f>ROUND(D209,0)</f>
        <v>55529</v>
      </c>
      <c r="AY722" s="275">
        <f>ROUND(B210,0)</f>
        <v>87783656</v>
      </c>
      <c r="AZ722" s="275">
        <f>ROUND(C210,0)</f>
        <v>5868253</v>
      </c>
      <c r="BA722" s="275">
        <f>ROUND(D210,0)</f>
        <v>42412</v>
      </c>
      <c r="BB722" s="275">
        <f>ROUND(B211,0)</f>
        <v>37650370</v>
      </c>
      <c r="BC722" s="275">
        <f>ROUND(C211,0)</f>
        <v>642512</v>
      </c>
      <c r="BD722" s="275">
        <f>ROUND(D211,0)</f>
        <v>-776376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152734600</v>
      </c>
      <c r="BI722" s="275">
        <f>ROUND(C213,0)</f>
        <v>8116529</v>
      </c>
      <c r="BJ722" s="275">
        <f>ROUND(D213,0)</f>
        <v>26976383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11354276</v>
      </c>
      <c r="BO722" s="275">
        <f>ROUND(C215,0)</f>
        <v>1047051</v>
      </c>
      <c r="BP722" s="275">
        <f>ROUND(D215,0)</f>
        <v>1245344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409034707</v>
      </c>
      <c r="BU722" s="275">
        <f>ROUND(C224,0)</f>
        <v>138042660</v>
      </c>
      <c r="BV722" s="275">
        <f>ROUND(C225,0)</f>
        <v>14239</v>
      </c>
      <c r="BW722" s="275">
        <f>ROUND(C226,0)</f>
        <v>14679256</v>
      </c>
      <c r="BX722" s="275">
        <f>ROUND(C227,0)</f>
        <v>226769573</v>
      </c>
      <c r="BY722" s="275">
        <f>ROUND(C228,0)</f>
        <v>34829467</v>
      </c>
      <c r="BZ722" s="275">
        <f>ROUND(C231,0)</f>
        <v>3380</v>
      </c>
      <c r="CA722" s="275">
        <f>ROUND(C233,0)</f>
        <v>5246472</v>
      </c>
      <c r="CB722" s="275">
        <f>ROUND(C234,0)</f>
        <v>8786143</v>
      </c>
      <c r="CC722" s="275">
        <f>ROUND(C238+C239,0)</f>
        <v>3320132</v>
      </c>
      <c r="CD722" s="275">
        <f>D221</f>
        <v>6033962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130*2018*A</v>
      </c>
      <c r="B726" s="275">
        <f>ROUND(C111,0)</f>
        <v>9935</v>
      </c>
      <c r="C726" s="275">
        <f>ROUND(C112,0)</f>
        <v>0</v>
      </c>
      <c r="D726" s="275">
        <f>ROUND(C113,0)</f>
        <v>0</v>
      </c>
      <c r="E726" s="275">
        <f>ROUND(C114,0)</f>
        <v>1078</v>
      </c>
      <c r="F726" s="275">
        <f>ROUND(D111,0)</f>
        <v>48653</v>
      </c>
      <c r="G726" s="275">
        <f>ROUND(D112,0)</f>
        <v>0</v>
      </c>
      <c r="H726" s="275">
        <f>ROUND(D113,0)</f>
        <v>0</v>
      </c>
      <c r="I726" s="275">
        <f>ROUND(D114,0)</f>
        <v>1771</v>
      </c>
      <c r="J726" s="275">
        <f>ROUND(C116,0)</f>
        <v>15</v>
      </c>
      <c r="K726" s="275">
        <f>ROUND(C117,0)</f>
        <v>17</v>
      </c>
      <c r="L726" s="275">
        <f>ROUND(C118,0)</f>
        <v>120</v>
      </c>
      <c r="M726" s="275">
        <f>ROUND(C119,0)</f>
        <v>0</v>
      </c>
      <c r="N726" s="275">
        <f>ROUND(C120,0)</f>
        <v>18</v>
      </c>
      <c r="O726" s="275">
        <f>ROUND(C121,0)</f>
        <v>0</v>
      </c>
      <c r="P726" s="275">
        <f>ROUND(C122,0)</f>
        <v>27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281</v>
      </c>
      <c r="W726" s="275">
        <f>ROUND(C129,0)</f>
        <v>6</v>
      </c>
      <c r="X726" s="275">
        <f>ROUND(B138,0)</f>
        <v>5475</v>
      </c>
      <c r="Y726" s="275">
        <f>ROUND(B139,0)</f>
        <v>31639</v>
      </c>
      <c r="Z726" s="275">
        <f>ROUND(B140,0)</f>
        <v>221166</v>
      </c>
      <c r="AA726" s="275">
        <f>ROUND(B141,0)</f>
        <v>253854575</v>
      </c>
      <c r="AB726" s="275">
        <f>ROUND(B142,0)</f>
        <v>307805759</v>
      </c>
      <c r="AC726" s="275">
        <f>ROUND(C138,0)</f>
        <v>1581</v>
      </c>
      <c r="AD726" s="275">
        <f>ROUND(C139,0)</f>
        <v>8049</v>
      </c>
      <c r="AE726" s="275">
        <f>ROUND(C140,0)</f>
        <v>69723</v>
      </c>
      <c r="AF726" s="275">
        <f>ROUND(C141,0)</f>
        <v>74803787</v>
      </c>
      <c r="AG726" s="275">
        <f>ROUND(C142,0)</f>
        <v>102260862</v>
      </c>
      <c r="AH726" s="275">
        <f>ROUND(D138,0)</f>
        <v>2879</v>
      </c>
      <c r="AI726" s="275">
        <f>ROUND(D139,0)</f>
        <v>8965</v>
      </c>
      <c r="AJ726" s="275">
        <f>ROUND(D140,0)</f>
        <v>181116</v>
      </c>
      <c r="AK726" s="275">
        <f>ROUND(D141,0)</f>
        <v>194314124</v>
      </c>
      <c r="AL726" s="275">
        <f>ROUND(D142,0)</f>
        <v>265638017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130*2018*A</v>
      </c>
      <c r="B730" s="275">
        <f>ROUND(C250,0)</f>
        <v>17056828</v>
      </c>
      <c r="C730" s="275">
        <f>ROUND(C251,0)</f>
        <v>0</v>
      </c>
      <c r="D730" s="275">
        <f>ROUND(C252,0)</f>
        <v>136132803</v>
      </c>
      <c r="E730" s="275">
        <f>ROUND(C253,0)</f>
        <v>98272944</v>
      </c>
      <c r="F730" s="275">
        <f>ROUND(C254,0)</f>
        <v>0</v>
      </c>
      <c r="G730" s="275">
        <f>ROUND(C255,0)</f>
        <v>4857302</v>
      </c>
      <c r="H730" s="275">
        <f>ROUND(C256,0)</f>
        <v>0</v>
      </c>
      <c r="I730" s="275">
        <f>ROUND(C257,0)</f>
        <v>5111387</v>
      </c>
      <c r="J730" s="275">
        <f>ROUND(C258,0)</f>
        <v>3152917</v>
      </c>
      <c r="K730" s="275">
        <f>ROUND(C259,0)</f>
        <v>0</v>
      </c>
      <c r="L730" s="275">
        <f>ROUND(C262,0)</f>
        <v>4533643</v>
      </c>
      <c r="M730" s="275">
        <f>ROUND(C263,0)</f>
        <v>40802789</v>
      </c>
      <c r="N730" s="275">
        <f>ROUND(C264,0)</f>
        <v>0</v>
      </c>
      <c r="O730" s="275">
        <f>ROUND(C267,0)</f>
        <v>10922072</v>
      </c>
      <c r="P730" s="275">
        <f>ROUND(C268,0)</f>
        <v>5928900</v>
      </c>
      <c r="Q730" s="275">
        <f>ROUND(C269,0)</f>
        <v>146066196</v>
      </c>
      <c r="R730" s="275">
        <f>ROUND(C270,0)</f>
        <v>46642924</v>
      </c>
      <c r="S730" s="275">
        <f>ROUND(C271,0)</f>
        <v>0</v>
      </c>
      <c r="T730" s="275">
        <f>ROUND(C272,0)</f>
        <v>152893689</v>
      </c>
      <c r="U730" s="275">
        <f>ROUND(C273,0)</f>
        <v>16890638</v>
      </c>
      <c r="V730" s="275">
        <f>ROUND(C274,0)</f>
        <v>4020772</v>
      </c>
      <c r="W730" s="275">
        <f>ROUND(C275,0)</f>
        <v>0</v>
      </c>
      <c r="X730" s="275">
        <f>ROUND(C276,0)</f>
        <v>283143681</v>
      </c>
      <c r="Y730" s="275">
        <f>ROUND(C279,0)</f>
        <v>0</v>
      </c>
      <c r="Z730" s="275">
        <f>ROUND(C280,0)</f>
        <v>0</v>
      </c>
      <c r="AA730" s="275">
        <f>ROUND(C281,0)</f>
        <v>6401125</v>
      </c>
      <c r="AB730" s="275">
        <f>ROUND(C282,0)</f>
        <v>7739032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11323851</v>
      </c>
      <c r="AI730" s="275">
        <f>ROUND(C306,0)</f>
        <v>21383532</v>
      </c>
      <c r="AJ730" s="275">
        <f>ROUND(C307,0)</f>
        <v>4741366</v>
      </c>
      <c r="AK730" s="275">
        <f>ROUND(C308,0)</f>
        <v>10491904</v>
      </c>
      <c r="AL730" s="275">
        <f>ROUND(C309,0)</f>
        <v>1253393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4152086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6937197</v>
      </c>
      <c r="AU730" s="275">
        <f>ROUND(C322,0)</f>
        <v>0</v>
      </c>
      <c r="AV730" s="275">
        <f>ROUND(C323,0)</f>
        <v>0</v>
      </c>
      <c r="AW730" s="275">
        <f>ROUND(C324,0)</f>
        <v>438838</v>
      </c>
      <c r="AX730" s="275">
        <f>ROUND(C325,0)</f>
        <v>59532697</v>
      </c>
      <c r="AY730" s="275">
        <f>ROUND(C326,0)</f>
        <v>0</v>
      </c>
      <c r="AZ730" s="275">
        <f>ROUND(C327,0)</f>
        <v>69077033</v>
      </c>
      <c r="BA730" s="275">
        <f>ROUND(C328,0)</f>
        <v>0</v>
      </c>
      <c r="BB730" s="275">
        <f>ROUND(C332,0)</f>
        <v>42556581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1916.18</v>
      </c>
      <c r="BJ730" s="275">
        <f>ROUND(C359,0)</f>
        <v>522972486</v>
      </c>
      <c r="BK730" s="275">
        <f>ROUND(C360,0)</f>
        <v>675704638</v>
      </c>
      <c r="BL730" s="275">
        <f>ROUND(C364,0)</f>
        <v>826690034</v>
      </c>
      <c r="BM730" s="275">
        <f>ROUND(C365,0)</f>
        <v>14032615</v>
      </c>
      <c r="BN730" s="275">
        <f>ROUND(C366,0)</f>
        <v>0</v>
      </c>
      <c r="BO730" s="275">
        <f>ROUND(C370,0)</f>
        <v>15157690</v>
      </c>
      <c r="BP730" s="275">
        <f>ROUND(C371,0)</f>
        <v>0</v>
      </c>
      <c r="BQ730" s="275">
        <f>ROUND(C378,0)</f>
        <v>163916586</v>
      </c>
      <c r="BR730" s="275">
        <f>ROUND(C379,0)</f>
        <v>35487810</v>
      </c>
      <c r="BS730" s="275">
        <f>ROUND(C380,0)</f>
        <v>14571758</v>
      </c>
      <c r="BT730" s="275">
        <f>ROUND(C381,0)</f>
        <v>66341445</v>
      </c>
      <c r="BU730" s="275">
        <f>ROUND(C382,0)</f>
        <v>3382844</v>
      </c>
      <c r="BV730" s="275">
        <f>ROUND(C383,0)</f>
        <v>62823676</v>
      </c>
      <c r="BW730" s="275">
        <f>ROUND(C384,0)</f>
        <v>16197588</v>
      </c>
      <c r="BX730" s="275">
        <f>ROUND(C385,0)</f>
        <v>9892983</v>
      </c>
      <c r="BY730" s="275">
        <f>ROUND(C386,0)</f>
        <v>2453086</v>
      </c>
      <c r="BZ730" s="275">
        <f>ROUND(C387,0)</f>
        <v>10637642</v>
      </c>
      <c r="CA730" s="275">
        <f>ROUND(C388,0)</f>
        <v>3668555</v>
      </c>
      <c r="CB730" s="275">
        <f>C363</f>
        <v>6033962</v>
      </c>
      <c r="CC730" s="275">
        <f>ROUND(C389,0)</f>
        <v>2630479</v>
      </c>
      <c r="CD730" s="275">
        <f>ROUND(C392,0)</f>
        <v>3892507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130*2018*6010*A</v>
      </c>
      <c r="B734" s="275">
        <f>ROUND(C59,0)</f>
        <v>3701</v>
      </c>
      <c r="C734" s="275">
        <f>ROUND(C60,2)</f>
        <v>52.08</v>
      </c>
      <c r="D734" s="275">
        <f>ROUND(C61,0)</f>
        <v>4728246</v>
      </c>
      <c r="E734" s="275">
        <f>ROUND(C62,0)</f>
        <v>1124537</v>
      </c>
      <c r="F734" s="275">
        <f>ROUND(C63,0)</f>
        <v>96822</v>
      </c>
      <c r="G734" s="275">
        <f>ROUND(C64,0)</f>
        <v>462751</v>
      </c>
      <c r="H734" s="275">
        <f>ROUND(C65,0)</f>
        <v>556</v>
      </c>
      <c r="I734" s="275">
        <f>ROUND(C66,0)</f>
        <v>286922</v>
      </c>
      <c r="J734" s="275">
        <f>ROUND(C67,0)</f>
        <v>62008</v>
      </c>
      <c r="K734" s="275">
        <f>ROUND(C68,0)</f>
        <v>117574</v>
      </c>
      <c r="L734" s="275">
        <f>ROUND(C69,0)</f>
        <v>322</v>
      </c>
      <c r="M734" s="275">
        <f>ROUND(C70,0)</f>
        <v>45</v>
      </c>
      <c r="N734" s="275">
        <f>ROUND(C75,0)</f>
        <v>24371500</v>
      </c>
      <c r="O734" s="275">
        <f>ROUND(C73,0)</f>
        <v>24340459</v>
      </c>
      <c r="P734" s="275">
        <f>IF(C76&gt;0,ROUND(C76,0),0)</f>
        <v>8019</v>
      </c>
      <c r="Q734" s="275">
        <f>IF(C77&gt;0,ROUND(C77,0),0)</f>
        <v>14219</v>
      </c>
      <c r="R734" s="275">
        <f>IF(C78&gt;0,ROUND(C78,0),0)</f>
        <v>3820</v>
      </c>
      <c r="S734" s="275">
        <f>IF(C79&gt;0,ROUND(C79,0),0)</f>
        <v>140981</v>
      </c>
      <c r="T734" s="275">
        <f>IF(C80&gt;0,ROUND(C80,2),0)</f>
        <v>41.62</v>
      </c>
      <c r="U734" s="275"/>
      <c r="V734" s="275"/>
      <c r="W734" s="275"/>
      <c r="X734" s="275"/>
      <c r="Y734" s="275">
        <f>IF(M668&lt;&gt;0,ROUND(M668,0),0)</f>
        <v>3136918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130*2018*6030*A</v>
      </c>
      <c r="B735" s="275">
        <f>ROUND(D59,0)</f>
        <v>4673</v>
      </c>
      <c r="C735" s="277">
        <f>ROUND(D60,2)</f>
        <v>45.32</v>
      </c>
      <c r="D735" s="275">
        <f>ROUND(D61,0)</f>
        <v>3600143</v>
      </c>
      <c r="E735" s="275">
        <f>ROUND(D62,0)</f>
        <v>866098</v>
      </c>
      <c r="F735" s="275">
        <f>ROUND(D63,0)</f>
        <v>5508</v>
      </c>
      <c r="G735" s="275">
        <f>ROUND(D64,0)</f>
        <v>151536</v>
      </c>
      <c r="H735" s="275">
        <f>ROUND(D65,0)</f>
        <v>0</v>
      </c>
      <c r="I735" s="275">
        <f>ROUND(D66,0)</f>
        <v>125994</v>
      </c>
      <c r="J735" s="275">
        <f>ROUND(D67,0)</f>
        <v>3583</v>
      </c>
      <c r="K735" s="275">
        <f>ROUND(D68,0)</f>
        <v>130775</v>
      </c>
      <c r="L735" s="275">
        <f>ROUND(D69,0)</f>
        <v>0</v>
      </c>
      <c r="M735" s="275">
        <f>ROUND(D70,0)</f>
        <v>0</v>
      </c>
      <c r="N735" s="275">
        <f>ROUND(D75,0)</f>
        <v>22756440</v>
      </c>
      <c r="O735" s="275">
        <f>ROUND(D73,0)</f>
        <v>22208918</v>
      </c>
      <c r="P735" s="275">
        <f>IF(D76&gt;0,ROUND(D76,0),0)</f>
        <v>8222</v>
      </c>
      <c r="Q735" s="275">
        <f>IF(D77&gt;0,ROUND(D77,0),0)</f>
        <v>17996</v>
      </c>
      <c r="R735" s="275">
        <f>IF(D78&gt;0,ROUND(D78,0),0)</f>
        <v>3917</v>
      </c>
      <c r="S735" s="275">
        <f>IF(D79&gt;0,ROUND(D79,0),0)</f>
        <v>0</v>
      </c>
      <c r="T735" s="277">
        <f>IF(D80&gt;0,ROUND(D80,2),0)</f>
        <v>34.659999999999997</v>
      </c>
      <c r="U735" s="275"/>
      <c r="V735" s="276"/>
      <c r="W735" s="275"/>
      <c r="X735" s="275"/>
      <c r="Y735" s="275">
        <f t="shared" ref="Y735:Y779" si="21">IF(M669&lt;&gt;0,ROUND(M669,0),0)</f>
        <v>2757692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130*2018*6070*A</v>
      </c>
      <c r="B736" s="275">
        <f>ROUND(E59,0)</f>
        <v>24237</v>
      </c>
      <c r="C736" s="277">
        <f>ROUND(E60,2)</f>
        <v>219.01</v>
      </c>
      <c r="D736" s="275">
        <f>ROUND(E61,0)</f>
        <v>17645446</v>
      </c>
      <c r="E736" s="275">
        <f>ROUND(E62,0)</f>
        <v>4084172</v>
      </c>
      <c r="F736" s="275">
        <f>ROUND(E63,0)</f>
        <v>371813</v>
      </c>
      <c r="G736" s="275">
        <f>ROUND(E64,0)</f>
        <v>953183</v>
      </c>
      <c r="H736" s="275">
        <f>ROUND(E65,0)</f>
        <v>1529</v>
      </c>
      <c r="I736" s="275">
        <f>ROUND(E66,0)</f>
        <v>677811</v>
      </c>
      <c r="J736" s="275">
        <f>ROUND(E67,0)</f>
        <v>213066</v>
      </c>
      <c r="K736" s="275">
        <f>ROUND(E68,0)</f>
        <v>164642</v>
      </c>
      <c r="L736" s="275">
        <f>ROUND(E69,0)</f>
        <v>10548</v>
      </c>
      <c r="M736" s="275">
        <f>ROUND(E70,0)</f>
        <v>0</v>
      </c>
      <c r="N736" s="275">
        <f>ROUND(E75,0)</f>
        <v>88428706</v>
      </c>
      <c r="O736" s="275">
        <f>ROUND(E73,0)</f>
        <v>84507117</v>
      </c>
      <c r="P736" s="275">
        <f>IF(E76&gt;0,ROUND(E76,0),0)</f>
        <v>47741</v>
      </c>
      <c r="Q736" s="275">
        <f>IF(E77&gt;0,ROUND(E77,0),0)</f>
        <v>107862</v>
      </c>
      <c r="R736" s="275">
        <f>IF(E78&gt;0,ROUND(E78,0),0)</f>
        <v>22743</v>
      </c>
      <c r="S736" s="275">
        <f>IF(E79&gt;0,ROUND(E79,0),0)</f>
        <v>420669</v>
      </c>
      <c r="T736" s="277">
        <f>IF(E80&gt;0,ROUND(E80,2),0)</f>
        <v>190.93</v>
      </c>
      <c r="U736" s="275"/>
      <c r="V736" s="276"/>
      <c r="W736" s="275"/>
      <c r="X736" s="275"/>
      <c r="Y736" s="275">
        <f t="shared" si="21"/>
        <v>13948802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130*2018*6100*A</v>
      </c>
      <c r="B737" s="275">
        <f>ROUND(F59,0)</f>
        <v>4370</v>
      </c>
      <c r="C737" s="277">
        <f>ROUND(F60,2)</f>
        <v>55.58</v>
      </c>
      <c r="D737" s="275">
        <f>ROUND(F61,0)</f>
        <v>5735939</v>
      </c>
      <c r="E737" s="275">
        <f>ROUND(F62,0)</f>
        <v>1308288</v>
      </c>
      <c r="F737" s="275">
        <f>ROUND(F63,0)</f>
        <v>196849</v>
      </c>
      <c r="G737" s="275">
        <f>ROUND(F64,0)</f>
        <v>365125</v>
      </c>
      <c r="H737" s="275">
        <f>ROUND(F65,0)</f>
        <v>1489</v>
      </c>
      <c r="I737" s="275">
        <f>ROUND(F66,0)</f>
        <v>88994</v>
      </c>
      <c r="J737" s="275">
        <f>ROUND(F67,0)</f>
        <v>192662</v>
      </c>
      <c r="K737" s="275">
        <f>ROUND(F68,0)</f>
        <v>66709</v>
      </c>
      <c r="L737" s="275">
        <f>ROUND(F69,0)</f>
        <v>1492</v>
      </c>
      <c r="M737" s="275">
        <f>ROUND(F70,0)</f>
        <v>8534</v>
      </c>
      <c r="N737" s="275">
        <f>ROUND(F75,0)</f>
        <v>19548194</v>
      </c>
      <c r="O737" s="275">
        <f>ROUND(F73,0)</f>
        <v>18227184</v>
      </c>
      <c r="P737" s="275">
        <f>IF(F76&gt;0,ROUND(F76,0),0)</f>
        <v>13745</v>
      </c>
      <c r="Q737" s="275">
        <f>IF(F77&gt;0,ROUND(F77,0),0)</f>
        <v>16697</v>
      </c>
      <c r="R737" s="275">
        <f>IF(F78&gt;0,ROUND(F78,0),0)</f>
        <v>6548</v>
      </c>
      <c r="S737" s="275">
        <f>IF(F79&gt;0,ROUND(F79,0),0)</f>
        <v>123438</v>
      </c>
      <c r="T737" s="277">
        <f>IF(F80&gt;0,ROUND(F80,2),0)</f>
        <v>40.299999999999997</v>
      </c>
      <c r="U737" s="275"/>
      <c r="V737" s="276"/>
      <c r="W737" s="275"/>
      <c r="X737" s="275"/>
      <c r="Y737" s="275">
        <f t="shared" si="21"/>
        <v>3640077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130*2018*6120*A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130*2018*6140*A</v>
      </c>
      <c r="B739" s="275">
        <f>ROUND(H59,0)</f>
        <v>9649</v>
      </c>
      <c r="C739" s="277">
        <f>ROUND(H60,2)</f>
        <v>61.15</v>
      </c>
      <c r="D739" s="275">
        <f>ROUND(H61,0)</f>
        <v>4695316</v>
      </c>
      <c r="E739" s="275">
        <f>ROUND(H62,0)</f>
        <v>1104832</v>
      </c>
      <c r="F739" s="275">
        <f>ROUND(H63,0)</f>
        <v>42941</v>
      </c>
      <c r="G739" s="275">
        <f>ROUND(H64,0)</f>
        <v>117555</v>
      </c>
      <c r="H739" s="275">
        <f>ROUND(H65,0)</f>
        <v>0</v>
      </c>
      <c r="I739" s="275">
        <f>ROUND(H66,0)</f>
        <v>50133</v>
      </c>
      <c r="J739" s="275">
        <f>ROUND(H67,0)</f>
        <v>29694</v>
      </c>
      <c r="K739" s="275">
        <f>ROUND(H68,0)</f>
        <v>0</v>
      </c>
      <c r="L739" s="275">
        <f>ROUND(H69,0)</f>
        <v>198</v>
      </c>
      <c r="M739" s="275">
        <f>ROUND(H70,0)</f>
        <v>0</v>
      </c>
      <c r="N739" s="275">
        <f>ROUND(H75,0)</f>
        <v>28694762</v>
      </c>
      <c r="O739" s="275">
        <f>ROUND(H73,0)</f>
        <v>28694762</v>
      </c>
      <c r="P739" s="275">
        <f>IF(H76&gt;0,ROUND(H76,0),0)</f>
        <v>14924</v>
      </c>
      <c r="Q739" s="275">
        <f>IF(H77&gt;0,ROUND(H77,0),0)</f>
        <v>37071</v>
      </c>
      <c r="R739" s="275">
        <f>IF(H78&gt;0,ROUND(H78,0),0)</f>
        <v>7110</v>
      </c>
      <c r="S739" s="275">
        <f>IF(H79&gt;0,ROUND(H79,0),0)</f>
        <v>73006</v>
      </c>
      <c r="T739" s="277">
        <f>IF(H80&gt;0,ROUND(H80,2),0)</f>
        <v>47.37</v>
      </c>
      <c r="U739" s="275"/>
      <c r="V739" s="276"/>
      <c r="W739" s="275"/>
      <c r="X739" s="275"/>
      <c r="Y739" s="275">
        <f t="shared" si="21"/>
        <v>4035913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130*2018*6150*A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130*2018*6170*A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130*2018*6200*A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130*2018*6210*A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130*2018*6330*A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130*2018*6400*A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130*2018*7010*A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130*2018*7020*A</v>
      </c>
      <c r="B747" s="275">
        <f>ROUND(P59,0)</f>
        <v>2345649</v>
      </c>
      <c r="C747" s="277">
        <f>ROUND(P60,2)</f>
        <v>121.03</v>
      </c>
      <c r="D747" s="275">
        <f>ROUND(P61,0)</f>
        <v>10757703</v>
      </c>
      <c r="E747" s="275">
        <f>ROUND(P62,0)</f>
        <v>2494599</v>
      </c>
      <c r="F747" s="275">
        <f>ROUND(P63,0)</f>
        <v>14102</v>
      </c>
      <c r="G747" s="275">
        <f>ROUND(P64,0)</f>
        <v>24400918</v>
      </c>
      <c r="H747" s="275">
        <f>ROUND(P65,0)</f>
        <v>3822</v>
      </c>
      <c r="I747" s="275">
        <f>ROUND(P66,0)</f>
        <v>1410916</v>
      </c>
      <c r="J747" s="275">
        <f>ROUND(P67,0)</f>
        <v>2685706</v>
      </c>
      <c r="K747" s="275">
        <f>ROUND(P68,0)</f>
        <v>788914</v>
      </c>
      <c r="L747" s="275">
        <f>ROUND(P69,0)</f>
        <v>16051</v>
      </c>
      <c r="M747" s="275">
        <f>ROUND(P70,0)</f>
        <v>11443</v>
      </c>
      <c r="N747" s="275">
        <f>ROUND(P75,0)</f>
        <v>311735150</v>
      </c>
      <c r="O747" s="275">
        <f>ROUND(P73,0)</f>
        <v>125226643</v>
      </c>
      <c r="P747" s="275">
        <f>IF(P76&gt;0,ROUND(P76,0),0)</f>
        <v>53579</v>
      </c>
      <c r="Q747" s="275">
        <f>IF(P77&gt;0,ROUND(P77,0),0)</f>
        <v>0</v>
      </c>
      <c r="R747" s="275">
        <f>IF(P78&gt;0,ROUND(P78,0),0)</f>
        <v>18453</v>
      </c>
      <c r="S747" s="275">
        <f>IF(P79&gt;0,ROUND(P79,0),0)</f>
        <v>406590</v>
      </c>
      <c r="T747" s="277">
        <f>IF(P80&gt;0,ROUND(P80,2),0)</f>
        <v>69.260000000000005</v>
      </c>
      <c r="U747" s="275"/>
      <c r="V747" s="276"/>
      <c r="W747" s="275"/>
      <c r="X747" s="275"/>
      <c r="Y747" s="275">
        <f t="shared" si="21"/>
        <v>20953007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130*2018*7030*A</v>
      </c>
      <c r="B748" s="275">
        <f>ROUND(Q59,0)</f>
        <v>888255</v>
      </c>
      <c r="C748" s="277">
        <f>ROUND(Q60,2)</f>
        <v>19.329999999999998</v>
      </c>
      <c r="D748" s="275">
        <f>ROUND(Q61,0)</f>
        <v>2015308</v>
      </c>
      <c r="E748" s="275">
        <f>ROUND(Q62,0)</f>
        <v>478757</v>
      </c>
      <c r="F748" s="275">
        <f>ROUND(Q63,0)</f>
        <v>4702</v>
      </c>
      <c r="G748" s="275">
        <f>ROUND(Q64,0)</f>
        <v>103218</v>
      </c>
      <c r="H748" s="275">
        <f>ROUND(Q65,0)</f>
        <v>0</v>
      </c>
      <c r="I748" s="275">
        <f>ROUND(Q66,0)</f>
        <v>45292</v>
      </c>
      <c r="J748" s="275">
        <f>ROUND(Q67,0)</f>
        <v>25273</v>
      </c>
      <c r="K748" s="275">
        <f>ROUND(Q68,0)</f>
        <v>45208</v>
      </c>
      <c r="L748" s="275">
        <f>ROUND(Q69,0)</f>
        <v>0</v>
      </c>
      <c r="M748" s="275">
        <f>ROUND(Q70,0)</f>
        <v>0</v>
      </c>
      <c r="N748" s="275">
        <f>ROUND(Q75,0)</f>
        <v>15710766</v>
      </c>
      <c r="O748" s="275">
        <f>ROUND(Q73,0)</f>
        <v>5619542</v>
      </c>
      <c r="P748" s="275">
        <f>IF(Q76&gt;0,ROUND(Q76,0),0)</f>
        <v>3494</v>
      </c>
      <c r="Q748" s="275">
        <f>IF(Q77&gt;0,ROUND(Q77,0),0)</f>
        <v>0</v>
      </c>
      <c r="R748" s="275">
        <f>IF(Q78&gt;0,ROUND(Q78,0),0)</f>
        <v>1665</v>
      </c>
      <c r="S748" s="275">
        <f>IF(Q79&gt;0,ROUND(Q79,0),0)</f>
        <v>36908</v>
      </c>
      <c r="T748" s="277">
        <f>IF(Q80&gt;0,ROUND(Q80,2),0)</f>
        <v>16.600000000000001</v>
      </c>
      <c r="U748" s="275"/>
      <c r="V748" s="276"/>
      <c r="W748" s="275"/>
      <c r="X748" s="275"/>
      <c r="Y748" s="275">
        <f t="shared" si="21"/>
        <v>1388048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130*2018*7040*A</v>
      </c>
      <c r="B749" s="275">
        <f>ROUND(R59,0)</f>
        <v>1275752</v>
      </c>
      <c r="C749" s="277">
        <f>ROUND(R60,2)</f>
        <v>8.85</v>
      </c>
      <c r="D749" s="275">
        <f>ROUND(R61,0)</f>
        <v>517853</v>
      </c>
      <c r="E749" s="275">
        <f>ROUND(R62,0)</f>
        <v>124657</v>
      </c>
      <c r="F749" s="275">
        <f>ROUND(R63,0)</f>
        <v>329400</v>
      </c>
      <c r="G749" s="275">
        <f>ROUND(R64,0)</f>
        <v>568569</v>
      </c>
      <c r="H749" s="275">
        <f>ROUND(R65,0)</f>
        <v>0</v>
      </c>
      <c r="I749" s="275">
        <f>ROUND(R66,0)</f>
        <v>6258</v>
      </c>
      <c r="J749" s="275">
        <f>ROUND(R67,0)</f>
        <v>50364</v>
      </c>
      <c r="K749" s="275">
        <f>ROUND(R68,0)</f>
        <v>91594</v>
      </c>
      <c r="L749" s="275">
        <f>ROUND(R69,0)</f>
        <v>0</v>
      </c>
      <c r="M749" s="275">
        <f>ROUND(R70,0)</f>
        <v>0</v>
      </c>
      <c r="N749" s="275">
        <f>ROUND(R75,0)</f>
        <v>35000611</v>
      </c>
      <c r="O749" s="275">
        <f>ROUND(R73,0)</f>
        <v>13896224</v>
      </c>
      <c r="P749" s="275">
        <f>IF(R76&gt;0,ROUND(R76,0),0)</f>
        <v>971</v>
      </c>
      <c r="Q749" s="275">
        <f>IF(R77&gt;0,ROUND(R77,0),0)</f>
        <v>0</v>
      </c>
      <c r="R749" s="275">
        <f>IF(R78&gt;0,ROUND(R78,0),0)</f>
        <v>463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1357270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130*2018*7050*A</v>
      </c>
      <c r="B750" s="275"/>
      <c r="C750" s="277">
        <f>ROUND(S60,2)</f>
        <v>15.81</v>
      </c>
      <c r="D750" s="275">
        <f>ROUND(S61,0)</f>
        <v>816407</v>
      </c>
      <c r="E750" s="275">
        <f>ROUND(S62,0)</f>
        <v>196384</v>
      </c>
      <c r="F750" s="275">
        <f>ROUND(S63,0)</f>
        <v>53141</v>
      </c>
      <c r="G750" s="275">
        <f>ROUND(S64,0)</f>
        <v>374537</v>
      </c>
      <c r="H750" s="275">
        <f>ROUND(S65,0)</f>
        <v>756</v>
      </c>
      <c r="I750" s="275">
        <f>ROUND(S66,0)</f>
        <v>401759</v>
      </c>
      <c r="J750" s="275">
        <f>ROUND(S67,0)</f>
        <v>77605</v>
      </c>
      <c r="K750" s="275">
        <f>ROUND(S68,0)</f>
        <v>417767</v>
      </c>
      <c r="L750" s="275">
        <f>ROUND(S69,0)</f>
        <v>285</v>
      </c>
      <c r="M750" s="275">
        <f>ROUND(S70,0)</f>
        <v>3040</v>
      </c>
      <c r="N750" s="275">
        <f>ROUND(S75,0)</f>
        <v>1829388</v>
      </c>
      <c r="O750" s="275">
        <f>ROUND(S73,0)</f>
        <v>1815449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491121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446589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130*2018*7060*A</v>
      </c>
      <c r="B751" s="275"/>
      <c r="C751" s="277">
        <f>ROUND(T60,2)</f>
        <v>2.0499999999999998</v>
      </c>
      <c r="D751" s="275">
        <f>ROUND(T61,0)</f>
        <v>259270</v>
      </c>
      <c r="E751" s="275">
        <f>ROUND(T62,0)</f>
        <v>62416</v>
      </c>
      <c r="F751" s="275">
        <f>ROUND(T63,0)</f>
        <v>0</v>
      </c>
      <c r="G751" s="275">
        <f>ROUND(T64,0)</f>
        <v>810269</v>
      </c>
      <c r="H751" s="275">
        <f>ROUND(T65,0)</f>
        <v>1602</v>
      </c>
      <c r="I751" s="275">
        <f>ROUND(T66,0)</f>
        <v>70512</v>
      </c>
      <c r="J751" s="275">
        <f>ROUND(T67,0)</f>
        <v>72541</v>
      </c>
      <c r="K751" s="275">
        <f>ROUND(T68,0)</f>
        <v>0</v>
      </c>
      <c r="L751" s="275">
        <f>ROUND(T69,0)</f>
        <v>59</v>
      </c>
      <c r="M751" s="275">
        <f>ROUND(T70,0)</f>
        <v>0</v>
      </c>
      <c r="N751" s="275">
        <f>ROUND(T75,0)</f>
        <v>1264460</v>
      </c>
      <c r="O751" s="275">
        <f>ROUND(T73,0)</f>
        <v>1204832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2</v>
      </c>
      <c r="U751" s="275"/>
      <c r="V751" s="276"/>
      <c r="W751" s="275"/>
      <c r="X751" s="275"/>
      <c r="Y751" s="275">
        <f t="shared" si="21"/>
        <v>262702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130*2018*7070*A</v>
      </c>
      <c r="B752" s="275">
        <f>ROUND(U59,0)</f>
        <v>851993</v>
      </c>
      <c r="C752" s="277">
        <f>ROUND(U60,2)</f>
        <v>88.3</v>
      </c>
      <c r="D752" s="275">
        <f>ROUND(U61,0)</f>
        <v>5196313</v>
      </c>
      <c r="E752" s="275">
        <f>ROUND(U62,0)</f>
        <v>1243905</v>
      </c>
      <c r="F752" s="275">
        <f>ROUND(U63,0)</f>
        <v>568611</v>
      </c>
      <c r="G752" s="275">
        <f>ROUND(U64,0)</f>
        <v>2179891</v>
      </c>
      <c r="H752" s="275">
        <f>ROUND(U65,0)</f>
        <v>8953</v>
      </c>
      <c r="I752" s="275">
        <f>ROUND(U66,0)</f>
        <v>4621818</v>
      </c>
      <c r="J752" s="275">
        <f>ROUND(U67,0)</f>
        <v>139202</v>
      </c>
      <c r="K752" s="275">
        <f>ROUND(U68,0)</f>
        <v>48648</v>
      </c>
      <c r="L752" s="275">
        <f>ROUND(U69,0)</f>
        <v>2322</v>
      </c>
      <c r="M752" s="275">
        <f>ROUND(U70,0)</f>
        <v>85737</v>
      </c>
      <c r="N752" s="275">
        <f>ROUND(U75,0)</f>
        <v>72611499</v>
      </c>
      <c r="O752" s="275">
        <f>ROUND(U73,0)</f>
        <v>30939818</v>
      </c>
      <c r="P752" s="275">
        <f>IF(U76&gt;0,ROUND(U76,0),0)</f>
        <v>11007</v>
      </c>
      <c r="Q752" s="275">
        <f>IF(U77&gt;0,ROUND(U77,0),0)</f>
        <v>0</v>
      </c>
      <c r="R752" s="275">
        <f>IF(U78&gt;0,ROUND(U78,0),0)</f>
        <v>3568</v>
      </c>
      <c r="S752" s="275">
        <f>IF(U79&gt;0,ROUND(U79,0),0)</f>
        <v>21658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5173590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130*2018*7110*A</v>
      </c>
      <c r="B753" s="275">
        <f>ROUND(V59,0)</f>
        <v>22658</v>
      </c>
      <c r="C753" s="277">
        <f>ROUND(V60,2)</f>
        <v>7.09</v>
      </c>
      <c r="D753" s="275">
        <f>ROUND(V61,0)</f>
        <v>383080</v>
      </c>
      <c r="E753" s="275">
        <f>ROUND(V62,0)</f>
        <v>92187</v>
      </c>
      <c r="F753" s="275">
        <f>ROUND(V63,0)</f>
        <v>156616</v>
      </c>
      <c r="G753" s="275">
        <f>ROUND(V64,0)</f>
        <v>15478</v>
      </c>
      <c r="H753" s="275">
        <f>ROUND(V65,0)</f>
        <v>0</v>
      </c>
      <c r="I753" s="275">
        <f>ROUND(V66,0)</f>
        <v>1044</v>
      </c>
      <c r="J753" s="275">
        <f>ROUND(V67,0)</f>
        <v>63076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8584887</v>
      </c>
      <c r="O753" s="275">
        <f>ROUND(V73,0)</f>
        <v>3207507</v>
      </c>
      <c r="P753" s="275">
        <f>IF(V76&gt;0,ROUND(V76,0),0)</f>
        <v>523</v>
      </c>
      <c r="Q753" s="275">
        <f>IF(V77&gt;0,ROUND(V77,0),0)</f>
        <v>0</v>
      </c>
      <c r="R753" s="275">
        <f>IF(V78&gt;0,ROUND(V78,0),0)</f>
        <v>249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412296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130*2018*7120*A</v>
      </c>
      <c r="B754" s="275">
        <f>ROUND(W59,0)</f>
        <v>7718</v>
      </c>
      <c r="C754" s="277">
        <f>ROUND(W60,2)</f>
        <v>10.08</v>
      </c>
      <c r="D754" s="275">
        <f>ROUND(W61,0)</f>
        <v>977767</v>
      </c>
      <c r="E754" s="275">
        <f>ROUND(W62,0)</f>
        <v>235247</v>
      </c>
      <c r="F754" s="275">
        <f>ROUND(W63,0)</f>
        <v>0</v>
      </c>
      <c r="G754" s="275">
        <f>ROUND(W64,0)</f>
        <v>193141</v>
      </c>
      <c r="H754" s="275">
        <f>ROUND(W65,0)</f>
        <v>0</v>
      </c>
      <c r="I754" s="275">
        <f>ROUND(W66,0)</f>
        <v>307370</v>
      </c>
      <c r="J754" s="275">
        <f>ROUND(W67,0)</f>
        <v>5737</v>
      </c>
      <c r="K754" s="275">
        <f>ROUND(W68,0)</f>
        <v>0</v>
      </c>
      <c r="L754" s="275">
        <f>ROUND(W69,0)</f>
        <v>2799</v>
      </c>
      <c r="M754" s="275">
        <f>ROUND(W70,0)</f>
        <v>0</v>
      </c>
      <c r="N754" s="275">
        <f>ROUND(W75,0)</f>
        <v>33703225</v>
      </c>
      <c r="O754" s="275">
        <f>ROUND(W73,0)</f>
        <v>7340006</v>
      </c>
      <c r="P754" s="275">
        <f>IF(W76&gt;0,ROUND(W76,0),0)</f>
        <v>4528</v>
      </c>
      <c r="Q754" s="275">
        <f>IF(W77&gt;0,ROUND(W77,0),0)</f>
        <v>0</v>
      </c>
      <c r="R754" s="275">
        <f>IF(W78&gt;0,ROUND(W78,0),0)</f>
        <v>873</v>
      </c>
      <c r="S754" s="275">
        <f>IF(W79&gt;0,ROUND(W79,0),0)</f>
        <v>12481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1563127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130*2018*7130*A</v>
      </c>
      <c r="B755" s="275">
        <f>ROUND(X59,0)</f>
        <v>20016</v>
      </c>
      <c r="C755" s="277">
        <f>ROUND(X60,2)</f>
        <v>10.130000000000001</v>
      </c>
      <c r="D755" s="275">
        <f>ROUND(X61,0)</f>
        <v>923529</v>
      </c>
      <c r="E755" s="275">
        <f>ROUND(X62,0)</f>
        <v>222148</v>
      </c>
      <c r="F755" s="275">
        <f>ROUND(X63,0)</f>
        <v>0</v>
      </c>
      <c r="G755" s="275">
        <f>ROUND(X64,0)</f>
        <v>181106</v>
      </c>
      <c r="H755" s="275">
        <f>ROUND(X65,0)</f>
        <v>0</v>
      </c>
      <c r="I755" s="275">
        <f>ROUND(X66,0)</f>
        <v>339876</v>
      </c>
      <c r="J755" s="275">
        <f>ROUND(X67,0)</f>
        <v>150548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63556943</v>
      </c>
      <c r="O755" s="275">
        <f>ROUND(X73,0)</f>
        <v>21485844</v>
      </c>
      <c r="P755" s="275">
        <f>IF(X76&gt;0,ROUND(X76,0),0)</f>
        <v>1417</v>
      </c>
      <c r="Q755" s="275">
        <f>IF(X77&gt;0,ROUND(X77,0),0)</f>
        <v>0</v>
      </c>
      <c r="R755" s="275">
        <f>IF(X78&gt;0,ROUND(X78,0),0)</f>
        <v>675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2215107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130*2018*7140*A</v>
      </c>
      <c r="B756" s="275">
        <f>ROUND(Y59,0)</f>
        <v>78281</v>
      </c>
      <c r="C756" s="277">
        <f>ROUND(Y60,2)</f>
        <v>71.22</v>
      </c>
      <c r="D756" s="275">
        <f>ROUND(Y61,0)</f>
        <v>5444086</v>
      </c>
      <c r="E756" s="275">
        <f>ROUND(Y62,0)</f>
        <v>1317334</v>
      </c>
      <c r="F756" s="275">
        <f>ROUND(Y63,0)</f>
        <v>703490</v>
      </c>
      <c r="G756" s="275">
        <f>ROUND(Y64,0)</f>
        <v>3072182</v>
      </c>
      <c r="H756" s="275">
        <f>ROUND(Y65,0)</f>
        <v>20817</v>
      </c>
      <c r="I756" s="275">
        <f>ROUND(Y66,0)</f>
        <v>2345471</v>
      </c>
      <c r="J756" s="275">
        <f>ROUND(Y67,0)</f>
        <v>1388027</v>
      </c>
      <c r="K756" s="275">
        <f>ROUND(Y68,0)</f>
        <v>259023</v>
      </c>
      <c r="L756" s="275">
        <f>ROUND(Y69,0)</f>
        <v>35016</v>
      </c>
      <c r="M756" s="275">
        <f>ROUND(Y70,0)</f>
        <v>144942</v>
      </c>
      <c r="N756" s="275">
        <f>ROUND(Y75,0)</f>
        <v>99933698</v>
      </c>
      <c r="O756" s="275">
        <f>ROUND(Y73,0)</f>
        <v>27433150</v>
      </c>
      <c r="P756" s="275">
        <f>IF(Y76&gt;0,ROUND(Y76,0),0)</f>
        <v>31417</v>
      </c>
      <c r="Q756" s="275">
        <f>IF(Y77&gt;0,ROUND(Y77,0),0)</f>
        <v>0</v>
      </c>
      <c r="R756" s="275">
        <f>IF(Y78&gt;0,ROUND(Y78,0),0)</f>
        <v>6645</v>
      </c>
      <c r="S756" s="275">
        <f>IF(Y79&gt;0,ROUND(Y79,0),0)</f>
        <v>208642</v>
      </c>
      <c r="T756" s="277">
        <f>IF(Y80&gt;0,ROUND(Y80,2),0)</f>
        <v>5.78</v>
      </c>
      <c r="U756" s="275"/>
      <c r="V756" s="276"/>
      <c r="W756" s="275"/>
      <c r="X756" s="275"/>
      <c r="Y756" s="275">
        <f t="shared" si="21"/>
        <v>7513799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130*2018*7150*A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208</v>
      </c>
      <c r="H757" s="275">
        <f>ROUND(Z65,0)</f>
        <v>1928</v>
      </c>
      <c r="I757" s="275">
        <f>ROUND(Z66,0)</f>
        <v>39517</v>
      </c>
      <c r="J757" s="275">
        <f>ROUND(Z67,0)</f>
        <v>291669</v>
      </c>
      <c r="K757" s="275">
        <f>ROUND(Z68,0)</f>
        <v>-49</v>
      </c>
      <c r="L757" s="275">
        <f>ROUND(Z69,0)</f>
        <v>0</v>
      </c>
      <c r="M757" s="275">
        <f>ROUND(Z70,0)</f>
        <v>728616</v>
      </c>
      <c r="N757" s="275">
        <f>ROUND(Z75,0)</f>
        <v>59060</v>
      </c>
      <c r="O757" s="275">
        <f>ROUND(Z73,0)</f>
        <v>59060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-46267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130*2018*7160*A</v>
      </c>
      <c r="B758" s="275">
        <f>ROUND(AA59,0)</f>
        <v>824</v>
      </c>
      <c r="C758" s="277">
        <f>ROUND(AA60,2)</f>
        <v>2.23</v>
      </c>
      <c r="D758" s="275">
        <f>ROUND(AA61,0)</f>
        <v>285517</v>
      </c>
      <c r="E758" s="275">
        <f>ROUND(AA62,0)</f>
        <v>50408</v>
      </c>
      <c r="F758" s="275">
        <f>ROUND(AA63,0)</f>
        <v>0</v>
      </c>
      <c r="G758" s="275">
        <f>ROUND(AA64,0)</f>
        <v>168851</v>
      </c>
      <c r="H758" s="275">
        <f>ROUND(AA65,0)</f>
        <v>0</v>
      </c>
      <c r="I758" s="275">
        <f>ROUND(AA66,0)</f>
        <v>70418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2126362</v>
      </c>
      <c r="O758" s="275">
        <f>ROUND(AA73,0)</f>
        <v>294845</v>
      </c>
      <c r="P758" s="275">
        <f>IF(AA76&gt;0,ROUND(AA76,0),0)</f>
        <v>859</v>
      </c>
      <c r="Q758" s="275">
        <f>IF(AA77&gt;0,ROUND(AA77,0),0)</f>
        <v>0</v>
      </c>
      <c r="R758" s="275">
        <f>IF(AA78&gt;0,ROUND(AA78,0),0)</f>
        <v>409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223464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130*2018*7170*A</v>
      </c>
      <c r="B759" s="275"/>
      <c r="C759" s="277">
        <f>ROUND(AB60,2)</f>
        <v>34.29</v>
      </c>
      <c r="D759" s="275">
        <f>ROUND(AB61,0)</f>
        <v>3392914</v>
      </c>
      <c r="E759" s="275">
        <f>ROUND(AB62,0)</f>
        <v>799795</v>
      </c>
      <c r="F759" s="275">
        <f>ROUND(AB63,0)</f>
        <v>0</v>
      </c>
      <c r="G759" s="275">
        <f>ROUND(AB64,0)</f>
        <v>10275136</v>
      </c>
      <c r="H759" s="275">
        <f>ROUND(AB65,0)</f>
        <v>0</v>
      </c>
      <c r="I759" s="275">
        <f>ROUND(AB66,0)</f>
        <v>512724</v>
      </c>
      <c r="J759" s="275">
        <f>ROUND(AB67,0)</f>
        <v>118607</v>
      </c>
      <c r="K759" s="275">
        <f>ROUND(AB68,0)</f>
        <v>553207</v>
      </c>
      <c r="L759" s="275">
        <f>ROUND(AB69,0)</f>
        <v>6355</v>
      </c>
      <c r="M759" s="275">
        <f>ROUND(AB70,0)</f>
        <v>55226</v>
      </c>
      <c r="N759" s="275">
        <f>ROUND(AB75,0)</f>
        <v>79090556</v>
      </c>
      <c r="O759" s="275">
        <f>ROUND(AB73,0)</f>
        <v>46234823</v>
      </c>
      <c r="P759" s="275">
        <f>IF(AB76&gt;0,ROUND(AB76,0),0)</f>
        <v>2571</v>
      </c>
      <c r="Q759" s="275">
        <f>IF(AB77&gt;0,ROUND(AB77,0),0)</f>
        <v>0</v>
      </c>
      <c r="R759" s="275">
        <f>IF(AB78&gt;0,ROUND(AB78,0),0)</f>
        <v>1225</v>
      </c>
      <c r="S759" s="275">
        <f>IF(AB79&gt;0,ROUND(AB79,0),0)</f>
        <v>7127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5008344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130*2018*7180*A</v>
      </c>
      <c r="B760" s="275">
        <f>ROUND(AC59,0)</f>
        <v>30302</v>
      </c>
      <c r="C760" s="277">
        <f>ROUND(AC60,2)</f>
        <v>17.46</v>
      </c>
      <c r="D760" s="275">
        <f>ROUND(AC61,0)</f>
        <v>1442483</v>
      </c>
      <c r="E760" s="275">
        <f>ROUND(AC62,0)</f>
        <v>337878</v>
      </c>
      <c r="F760" s="275">
        <f>ROUND(AC63,0)</f>
        <v>0</v>
      </c>
      <c r="G760" s="275">
        <f>ROUND(AC64,0)</f>
        <v>233953</v>
      </c>
      <c r="H760" s="275">
        <f>ROUND(AC65,0)</f>
        <v>1423</v>
      </c>
      <c r="I760" s="275">
        <f>ROUND(AC66,0)</f>
        <v>6186</v>
      </c>
      <c r="J760" s="275">
        <f>ROUND(AC67,0)</f>
        <v>51464</v>
      </c>
      <c r="K760" s="275">
        <f>ROUND(AC68,0)</f>
        <v>84089</v>
      </c>
      <c r="L760" s="275">
        <f>ROUND(AC69,0)</f>
        <v>1573</v>
      </c>
      <c r="M760" s="275">
        <f>ROUND(AC70,0)</f>
        <v>0</v>
      </c>
      <c r="N760" s="275">
        <f>ROUND(AC75,0)</f>
        <v>11452552</v>
      </c>
      <c r="O760" s="275">
        <f>ROUND(AC73,0)</f>
        <v>9850394</v>
      </c>
      <c r="P760" s="275">
        <f>IF(AC76&gt;0,ROUND(AC76,0),0)</f>
        <v>1098</v>
      </c>
      <c r="Q760" s="275">
        <f>IF(AC77&gt;0,ROUND(AC77,0),0)</f>
        <v>0</v>
      </c>
      <c r="R760" s="275">
        <f>IF(AC78&gt;0,ROUND(AC78,0),0)</f>
        <v>523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780665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130*2018*7190*A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130*2018*7200*A</v>
      </c>
      <c r="B762" s="275">
        <f>ROUND(AE59,0)</f>
        <v>72926</v>
      </c>
      <c r="C762" s="277">
        <f>ROUND(AE60,2)</f>
        <v>32.08</v>
      </c>
      <c r="D762" s="275">
        <f>ROUND(AE61,0)</f>
        <v>2793375</v>
      </c>
      <c r="E762" s="275">
        <f>ROUND(AE62,0)</f>
        <v>642432</v>
      </c>
      <c r="F762" s="275">
        <f>ROUND(AE63,0)</f>
        <v>0</v>
      </c>
      <c r="G762" s="275">
        <f>ROUND(AE64,0)</f>
        <v>16912</v>
      </c>
      <c r="H762" s="275">
        <f>ROUND(AE65,0)</f>
        <v>0</v>
      </c>
      <c r="I762" s="275">
        <f>ROUND(AE66,0)</f>
        <v>81114</v>
      </c>
      <c r="J762" s="275">
        <f>ROUND(AE67,0)</f>
        <v>21950</v>
      </c>
      <c r="K762" s="275">
        <f>ROUND(AE68,0)</f>
        <v>0</v>
      </c>
      <c r="L762" s="275">
        <f>ROUND(AE69,0)</f>
        <v>173</v>
      </c>
      <c r="M762" s="275">
        <f>ROUND(AE70,0)</f>
        <v>27524</v>
      </c>
      <c r="N762" s="275">
        <f>ROUND(AE75,0)</f>
        <v>7597024</v>
      </c>
      <c r="O762" s="275">
        <f>ROUND(AE73,0)</f>
        <v>3682574</v>
      </c>
      <c r="P762" s="275">
        <f>IF(AE76&gt;0,ROUND(AE76,0),0)</f>
        <v>17191</v>
      </c>
      <c r="Q762" s="275">
        <f>IF(AE77&gt;0,ROUND(AE77,0),0)</f>
        <v>0</v>
      </c>
      <c r="R762" s="275">
        <f>IF(AE78&gt;0,ROUND(AE78,0),0)</f>
        <v>1978</v>
      </c>
      <c r="S762" s="275">
        <f>IF(AE79&gt;0,ROUND(AE79,0),0)</f>
        <v>24802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2010071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130*2018*7220*A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130*2018*7230*A</v>
      </c>
      <c r="B764" s="275">
        <f>ROUND(AG59,0)</f>
        <v>33651</v>
      </c>
      <c r="C764" s="277">
        <f>ROUND(AG60,2)</f>
        <v>67.78</v>
      </c>
      <c r="D764" s="275">
        <f>ROUND(AG61,0)</f>
        <v>4711581</v>
      </c>
      <c r="E764" s="275">
        <f>ROUND(AG62,0)</f>
        <v>1254314</v>
      </c>
      <c r="F764" s="275">
        <f>ROUND(AG63,0)</f>
        <v>888116</v>
      </c>
      <c r="G764" s="275">
        <f>ROUND(AG64,0)</f>
        <v>668973</v>
      </c>
      <c r="H764" s="275">
        <f>ROUND(AG65,0)</f>
        <v>139</v>
      </c>
      <c r="I764" s="275">
        <f>ROUND(AG66,0)</f>
        <v>161019</v>
      </c>
      <c r="J764" s="275">
        <f>ROUND(AG67,0)</f>
        <v>140094</v>
      </c>
      <c r="K764" s="275">
        <f>ROUND(AG68,0)</f>
        <v>147824</v>
      </c>
      <c r="L764" s="275">
        <f>ROUND(AG69,0)</f>
        <v>17493</v>
      </c>
      <c r="M764" s="275">
        <f>ROUND(AG70,0)</f>
        <v>0</v>
      </c>
      <c r="N764" s="275">
        <f>ROUND(AG75,0)</f>
        <v>104172401</v>
      </c>
      <c r="O764" s="275">
        <f>ROUND(AG73,0)</f>
        <v>31572930</v>
      </c>
      <c r="P764" s="275">
        <f>IF(AG76&gt;0,ROUND(AG76,0),0)</f>
        <v>12046</v>
      </c>
      <c r="Q764" s="275">
        <f>IF(AG77&gt;0,ROUND(AG77,0),0)</f>
        <v>0</v>
      </c>
      <c r="R764" s="275">
        <f>IF(AG78&gt;0,ROUND(AG78,0),0)</f>
        <v>5739</v>
      </c>
      <c r="S764" s="275">
        <f>IF(AG79&gt;0,ROUND(AG79,0),0)</f>
        <v>213319</v>
      </c>
      <c r="T764" s="277">
        <f>IF(AG80&gt;0,ROUND(AG80,2),0)</f>
        <v>33.57</v>
      </c>
      <c r="U764" s="275"/>
      <c r="V764" s="276"/>
      <c r="W764" s="275"/>
      <c r="X764" s="275"/>
      <c r="Y764" s="275">
        <f t="shared" si="21"/>
        <v>5773738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130*2018*7240*A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130*2018*7250*A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130*2018*7260*A</v>
      </c>
      <c r="B767" s="275">
        <f>ROUND(AJ59,0)</f>
        <v>149544</v>
      </c>
      <c r="C767" s="277">
        <f>ROUND(AJ60,2)</f>
        <v>405.43</v>
      </c>
      <c r="D767" s="275">
        <f>ROUND(AJ61,0)</f>
        <v>48356957</v>
      </c>
      <c r="E767" s="275">
        <f>ROUND(AJ62,0)</f>
        <v>7816778</v>
      </c>
      <c r="F767" s="275">
        <f>ROUND(AJ63,0)</f>
        <v>9593260</v>
      </c>
      <c r="G767" s="275">
        <f>ROUND(AJ64,0)</f>
        <v>13920418</v>
      </c>
      <c r="H767" s="275">
        <f>ROUND(AJ65,0)</f>
        <v>195211</v>
      </c>
      <c r="I767" s="275">
        <f>ROUND(AJ66,0)</f>
        <v>5937965</v>
      </c>
      <c r="J767" s="275">
        <f>ROUND(AJ67,0)</f>
        <v>1192419</v>
      </c>
      <c r="K767" s="275">
        <f>ROUND(AJ68,0)</f>
        <v>3384156</v>
      </c>
      <c r="L767" s="275">
        <f>ROUND(AJ69,0)</f>
        <v>716106</v>
      </c>
      <c r="M767" s="275">
        <f>ROUND(AJ70,0)</f>
        <v>3290765</v>
      </c>
      <c r="N767" s="275">
        <f>ROUND(AJ75,0)</f>
        <v>97684624</v>
      </c>
      <c r="O767" s="275">
        <f>ROUND(AJ73,0)</f>
        <v>0</v>
      </c>
      <c r="P767" s="275">
        <f>IF(AJ76&gt;0,ROUND(AJ76,0),0)</f>
        <v>80290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41.18</v>
      </c>
      <c r="U767" s="275"/>
      <c r="V767" s="276"/>
      <c r="W767" s="275"/>
      <c r="X767" s="275"/>
      <c r="Y767" s="275">
        <f t="shared" si="21"/>
        <v>21796993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130*2018*7310*A</v>
      </c>
      <c r="B768" s="275">
        <f>ROUND(AK59,0)</f>
        <v>42405</v>
      </c>
      <c r="C768" s="277">
        <f>ROUND(AK60,2)</f>
        <v>14.34</v>
      </c>
      <c r="D768" s="275">
        <f>ROUND(AK61,0)</f>
        <v>1344479</v>
      </c>
      <c r="E768" s="275">
        <f>ROUND(AK62,0)</f>
        <v>323616</v>
      </c>
      <c r="F768" s="275">
        <f>ROUND(AK63,0)</f>
        <v>0</v>
      </c>
      <c r="G768" s="275">
        <f>ROUND(AK64,0)</f>
        <v>26593</v>
      </c>
      <c r="H768" s="275">
        <f>ROUND(AK65,0)</f>
        <v>0</v>
      </c>
      <c r="I768" s="275">
        <f>ROUND(AK66,0)</f>
        <v>14308</v>
      </c>
      <c r="J768" s="275">
        <f>ROUND(AK67,0)</f>
        <v>444</v>
      </c>
      <c r="K768" s="275">
        <f>ROUND(AK68,0)</f>
        <v>0</v>
      </c>
      <c r="L768" s="275">
        <f>ROUND(AK69,0)</f>
        <v>102</v>
      </c>
      <c r="M768" s="275">
        <f>ROUND(AK70,0)</f>
        <v>0</v>
      </c>
      <c r="N768" s="275">
        <f>ROUND(AK75,0)</f>
        <v>4865707</v>
      </c>
      <c r="O768" s="275">
        <f>ROUND(AK73,0)</f>
        <v>2373011</v>
      </c>
      <c r="P768" s="275">
        <f>IF(AK76&gt;0,ROUND(AK76,0),0)</f>
        <v>3224</v>
      </c>
      <c r="Q768" s="275">
        <f>IF(AK77&gt;0,ROUND(AK77,0),0)</f>
        <v>0</v>
      </c>
      <c r="R768" s="275">
        <f>IF(AK78&gt;0,ROUND(AK78,0),0)</f>
        <v>1536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697312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130*2018*7320*A</v>
      </c>
      <c r="B769" s="275">
        <f>ROUND(AL59,0)</f>
        <v>7269</v>
      </c>
      <c r="C769" s="277">
        <f>ROUND(AL60,2)</f>
        <v>4.51</v>
      </c>
      <c r="D769" s="275">
        <f>ROUND(AL61,0)</f>
        <v>403433</v>
      </c>
      <c r="E769" s="275">
        <f>ROUND(AL62,0)</f>
        <v>97073</v>
      </c>
      <c r="F769" s="275">
        <f>ROUND(AL63,0)</f>
        <v>0</v>
      </c>
      <c r="G769" s="275">
        <f>ROUND(AL64,0)</f>
        <v>1963</v>
      </c>
      <c r="H769" s="275">
        <f>ROUND(AL65,0)</f>
        <v>0</v>
      </c>
      <c r="I769" s="275">
        <f>ROUND(AL66,0)</f>
        <v>1009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3995</v>
      </c>
      <c r="N769" s="275">
        <f>ROUND(AL75,0)</f>
        <v>1519731</v>
      </c>
      <c r="O769" s="275">
        <f>ROUND(AL73,0)</f>
        <v>892320</v>
      </c>
      <c r="P769" s="275">
        <f>IF(AL76&gt;0,ROUND(AL76,0),0)</f>
        <v>1299</v>
      </c>
      <c r="Q769" s="275">
        <f>IF(AL77&gt;0,ROUND(AL77,0),0)</f>
        <v>0</v>
      </c>
      <c r="R769" s="275">
        <f>IF(AL78&gt;0,ROUND(AL78,0),0)</f>
        <v>619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238756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130*2018*7330*A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130*2018*7340*A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130*2018*7350*A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130*2018*7380*A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130*2018*7390*A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130*2018*7400*A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130*2018*7410*A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130*2018*7420*A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130*2018*7430*A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130*2018*7490*A</v>
      </c>
      <c r="B779" s="275"/>
      <c r="C779" s="277">
        <f>ROUND(AV60,2)</f>
        <v>33.340000000000003</v>
      </c>
      <c r="D779" s="275">
        <f>ROUND(AV61,0)</f>
        <v>3266029</v>
      </c>
      <c r="E779" s="275">
        <f>ROUND(AV62,0)</f>
        <v>757606</v>
      </c>
      <c r="F779" s="275">
        <f>ROUND(AV63,0)</f>
        <v>136300</v>
      </c>
      <c r="G779" s="275">
        <f>ROUND(AV64,0)</f>
        <v>4112698</v>
      </c>
      <c r="H779" s="275">
        <f>ROUND(AV65,0)</f>
        <v>746</v>
      </c>
      <c r="I779" s="275">
        <f>ROUND(AV66,0)</f>
        <v>3027019</v>
      </c>
      <c r="J779" s="275">
        <f>ROUND(AV67,0)</f>
        <v>818586</v>
      </c>
      <c r="K779" s="275">
        <f>ROUND(AV68,0)</f>
        <v>631775</v>
      </c>
      <c r="L779" s="275">
        <f>ROUND(AV69,0)</f>
        <v>11330</v>
      </c>
      <c r="M779" s="275">
        <f>ROUND(AV70,0)</f>
        <v>88890</v>
      </c>
      <c r="N779" s="275">
        <f>ROUND(AV75,0)</f>
        <v>62378878</v>
      </c>
      <c r="O779" s="275">
        <f>ROUND(AV73,0)</f>
        <v>11865074</v>
      </c>
      <c r="P779" s="275">
        <f>IF(AV76&gt;0,ROUND(AV76,0),0)</f>
        <v>26450</v>
      </c>
      <c r="Q779" s="275">
        <f>IF(AV77&gt;0,ROUND(AV77,0),0)</f>
        <v>0</v>
      </c>
      <c r="R779" s="275">
        <f>IF(AV78&gt;0,ROUND(AV78,0),0)</f>
        <v>6611</v>
      </c>
      <c r="S779" s="275">
        <f>IF(AV79&gt;0,ROUND(AV79,0),0)</f>
        <v>110973</v>
      </c>
      <c r="T779" s="277">
        <f>IF(AV80&gt;0,ROUND(AV80,2),0)</f>
        <v>48.64</v>
      </c>
      <c r="U779" s="275"/>
      <c r="V779" s="276"/>
      <c r="W779" s="275"/>
      <c r="X779" s="275"/>
      <c r="Y779" s="275">
        <f t="shared" si="21"/>
        <v>6293211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130*2018*8200*A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130*2018*8310*A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130*2018*8320*A</v>
      </c>
      <c r="B782" s="275">
        <f>ROUND(AY59,0)</f>
        <v>193845</v>
      </c>
      <c r="C782" s="277">
        <f>ROUND(AY60,2)</f>
        <v>21.57</v>
      </c>
      <c r="D782" s="275">
        <f>ROUND(AY61,0)</f>
        <v>995286</v>
      </c>
      <c r="E782" s="275">
        <f>ROUND(AY62,0)</f>
        <v>235021</v>
      </c>
      <c r="F782" s="275">
        <f>ROUND(AY63,0)</f>
        <v>51</v>
      </c>
      <c r="G782" s="275">
        <f>ROUND(AY64,0)</f>
        <v>362190</v>
      </c>
      <c r="H782" s="275">
        <f>ROUND(AY65,0)</f>
        <v>315</v>
      </c>
      <c r="I782" s="275">
        <f>ROUND(AY66,0)</f>
        <v>39104</v>
      </c>
      <c r="J782" s="275">
        <f>ROUND(AY67,0)</f>
        <v>32464</v>
      </c>
      <c r="K782" s="275">
        <f>ROUND(AY68,0)</f>
        <v>314</v>
      </c>
      <c r="L782" s="275">
        <f>ROUND(AY69,0)</f>
        <v>48283</v>
      </c>
      <c r="M782" s="275">
        <f>ROUND(AY70,0)</f>
        <v>606166</v>
      </c>
      <c r="N782" s="275"/>
      <c r="O782" s="275"/>
      <c r="P782" s="275">
        <f>IF(AY76&gt;0,ROUND(AY76,0),0)</f>
        <v>4345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130*2018*8330*A</v>
      </c>
      <c r="B783" s="275">
        <f>ROUND(AZ59,0)</f>
        <v>450698</v>
      </c>
      <c r="C783" s="277">
        <f>ROUND(AZ60,2)</f>
        <v>50.15</v>
      </c>
      <c r="D783" s="275">
        <f>ROUND(AZ61,0)</f>
        <v>2314084</v>
      </c>
      <c r="E783" s="275">
        <f>ROUND(AZ62,0)</f>
        <v>546433</v>
      </c>
      <c r="F783" s="275">
        <f>ROUND(AZ63,0)</f>
        <v>119</v>
      </c>
      <c r="G783" s="275">
        <f>ROUND(AZ64,0)</f>
        <v>842108</v>
      </c>
      <c r="H783" s="275">
        <f>ROUND(AZ65,0)</f>
        <v>732</v>
      </c>
      <c r="I783" s="275">
        <f>ROUND(AZ66,0)</f>
        <v>90918</v>
      </c>
      <c r="J783" s="275">
        <f>ROUND(AZ67,0)</f>
        <v>75480</v>
      </c>
      <c r="K783" s="275">
        <f>ROUND(AZ68,0)</f>
        <v>729</v>
      </c>
      <c r="L783" s="275">
        <f>ROUND(AZ69,0)</f>
        <v>112260</v>
      </c>
      <c r="M783" s="275">
        <f>ROUND(AZ70,0)</f>
        <v>1409363</v>
      </c>
      <c r="N783" s="275"/>
      <c r="O783" s="275"/>
      <c r="P783" s="275">
        <f>IF(AZ76&gt;0,ROUND(AZ76,0),0)</f>
        <v>10103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130*2018*8350*A</v>
      </c>
      <c r="B784" s="275">
        <f>ROUND(BA59,0)</f>
        <v>0</v>
      </c>
      <c r="C784" s="277">
        <f>ROUND(BA60,2)</f>
        <v>1.3</v>
      </c>
      <c r="D784" s="275">
        <f>ROUND(BA61,0)</f>
        <v>51213</v>
      </c>
      <c r="E784" s="275">
        <f>ROUND(BA62,0)</f>
        <v>12308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-1208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1825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130*2018*8360*A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130*2018*8370*A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130*2018*8420*A</v>
      </c>
      <c r="B787" s="275"/>
      <c r="C787" s="277">
        <f>ROUND(BD60,2)</f>
        <v>23.63</v>
      </c>
      <c r="D787" s="275">
        <f>ROUND(BD61,0)</f>
        <v>1283186</v>
      </c>
      <c r="E787" s="275">
        <f>ROUND(BD62,0)</f>
        <v>300774</v>
      </c>
      <c r="F787" s="275">
        <f>ROUND(BD63,0)</f>
        <v>0</v>
      </c>
      <c r="G787" s="275">
        <f>ROUND(BD64,0)</f>
        <v>-333995</v>
      </c>
      <c r="H787" s="275">
        <f>ROUND(BD65,0)</f>
        <v>1296</v>
      </c>
      <c r="I787" s="275">
        <f>ROUND(BD66,0)</f>
        <v>447898</v>
      </c>
      <c r="J787" s="275">
        <f>ROUND(BD67,0)</f>
        <v>12544</v>
      </c>
      <c r="K787" s="275">
        <f>ROUND(BD68,0)</f>
        <v>590291</v>
      </c>
      <c r="L787" s="275">
        <f>ROUND(BD69,0)</f>
        <v>69551</v>
      </c>
      <c r="M787" s="275">
        <f>ROUND(BD70,0)</f>
        <v>5415</v>
      </c>
      <c r="N787" s="275"/>
      <c r="O787" s="275"/>
      <c r="P787" s="275">
        <f>IF(BD76&gt;0,ROUND(BD76,0),0)</f>
        <v>4643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130*2018*8430*A</v>
      </c>
      <c r="B788" s="275">
        <f>ROUND(BE59,0)</f>
        <v>433631</v>
      </c>
      <c r="C788" s="277">
        <f>ROUND(BE60,2)</f>
        <v>47.68</v>
      </c>
      <c r="D788" s="275">
        <f>ROUND(BE61,0)</f>
        <v>2971195</v>
      </c>
      <c r="E788" s="275">
        <f>ROUND(BE62,0)</f>
        <v>707514</v>
      </c>
      <c r="F788" s="275">
        <f>ROUND(BE63,0)</f>
        <v>0</v>
      </c>
      <c r="G788" s="275">
        <f>ROUND(BE64,0)</f>
        <v>397540</v>
      </c>
      <c r="H788" s="275">
        <f>ROUND(BE65,0)</f>
        <v>1745119</v>
      </c>
      <c r="I788" s="275">
        <f>ROUND(BE66,0)</f>
        <v>1407667</v>
      </c>
      <c r="J788" s="275">
        <f>ROUND(BE67,0)</f>
        <v>2263189</v>
      </c>
      <c r="K788" s="275">
        <f>ROUND(BE68,0)</f>
        <v>206374</v>
      </c>
      <c r="L788" s="275">
        <f>ROUND(BE69,0)</f>
        <v>508335</v>
      </c>
      <c r="M788" s="275">
        <f>ROUND(BE70,0)</f>
        <v>2355913</v>
      </c>
      <c r="N788" s="275"/>
      <c r="O788" s="275"/>
      <c r="P788" s="275">
        <f>IF(BE76&gt;0,ROUND(BE76,0),0)</f>
        <v>8217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130*2018*8460*A</v>
      </c>
      <c r="B789" s="275"/>
      <c r="C789" s="277">
        <f>ROUND(BF60,2)</f>
        <v>59.93</v>
      </c>
      <c r="D789" s="275">
        <f>ROUND(BF61,0)</f>
        <v>2525430</v>
      </c>
      <c r="E789" s="275">
        <f>ROUND(BF62,0)</f>
        <v>596520</v>
      </c>
      <c r="F789" s="275">
        <f>ROUND(BF63,0)</f>
        <v>14665</v>
      </c>
      <c r="G789" s="275">
        <f>ROUND(BF64,0)</f>
        <v>278282</v>
      </c>
      <c r="H789" s="275">
        <f>ROUND(BF65,0)</f>
        <v>311633</v>
      </c>
      <c r="I789" s="275">
        <f>ROUND(BF66,0)</f>
        <v>105014</v>
      </c>
      <c r="J789" s="275">
        <f>ROUND(BF67,0)</f>
        <v>1023</v>
      </c>
      <c r="K789" s="275">
        <f>ROUND(BF68,0)</f>
        <v>0</v>
      </c>
      <c r="L789" s="275">
        <f>ROUND(BF69,0)</f>
        <v>460</v>
      </c>
      <c r="M789" s="275">
        <f>ROUND(BF70,0)</f>
        <v>0</v>
      </c>
      <c r="N789" s="275"/>
      <c r="O789" s="275"/>
      <c r="P789" s="275">
        <f>IF(BF76&gt;0,ROUND(BF76,0),0)</f>
        <v>4126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130*2018*8470*A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130*2018*8480*A</v>
      </c>
      <c r="B791" s="275"/>
      <c r="C791" s="277">
        <f>ROUND(BH60,2)</f>
        <v>8.32</v>
      </c>
      <c r="D791" s="275">
        <f>ROUND(BH61,0)</f>
        <v>1095656</v>
      </c>
      <c r="E791" s="275">
        <f>ROUND(BH62,0)</f>
        <v>224538</v>
      </c>
      <c r="F791" s="275">
        <f>ROUND(BH63,0)</f>
        <v>0</v>
      </c>
      <c r="G791" s="275">
        <f>ROUND(BH64,0)</f>
        <v>17673</v>
      </c>
      <c r="H791" s="275">
        <f>ROUND(BH65,0)</f>
        <v>257251</v>
      </c>
      <c r="I791" s="275">
        <f>ROUND(BH66,0)</f>
        <v>3374061</v>
      </c>
      <c r="J791" s="275">
        <f>ROUND(BH67,0)</f>
        <v>2886367</v>
      </c>
      <c r="K791" s="275">
        <f>ROUND(BH68,0)</f>
        <v>467018</v>
      </c>
      <c r="L791" s="275">
        <f>ROUND(BH69,0)</f>
        <v>3832</v>
      </c>
      <c r="M791" s="275">
        <f>ROUND(BH70,0)</f>
        <v>-41448</v>
      </c>
      <c r="N791" s="275"/>
      <c r="O791" s="275"/>
      <c r="P791" s="275">
        <f>IF(BH76&gt;0,ROUND(BH76,0),0)</f>
        <v>15291</v>
      </c>
      <c r="Q791" s="275">
        <f>IF(BH77&gt;0,ROUND(BH77,0),0)</f>
        <v>0</v>
      </c>
      <c r="R791" s="275">
        <f>IF(BH78&gt;0,ROUND(BH78,0),0)</f>
        <v>1771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130*2018*8490*A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130*2018*8510*A</v>
      </c>
      <c r="B793" s="275"/>
      <c r="C793" s="277">
        <f>ROUND(BJ60,2)</f>
        <v>12.99</v>
      </c>
      <c r="D793" s="275">
        <f>ROUND(BJ61,0)</f>
        <v>979123</v>
      </c>
      <c r="E793" s="275">
        <f>ROUND(BJ62,0)</f>
        <v>212853</v>
      </c>
      <c r="F793" s="275">
        <f>ROUND(BJ63,0)</f>
        <v>0</v>
      </c>
      <c r="G793" s="275">
        <f>ROUND(BJ64,0)</f>
        <v>4818</v>
      </c>
      <c r="H793" s="275">
        <f>ROUND(BJ65,0)</f>
        <v>0</v>
      </c>
      <c r="I793" s="275">
        <f>ROUND(BJ66,0)</f>
        <v>77644</v>
      </c>
      <c r="J793" s="275">
        <f>ROUND(BJ67,0)</f>
        <v>4062</v>
      </c>
      <c r="K793" s="275">
        <f>ROUND(BJ68,0)</f>
        <v>0</v>
      </c>
      <c r="L793" s="275">
        <f>ROUND(BJ69,0)</f>
        <v>11109</v>
      </c>
      <c r="M793" s="275">
        <f>ROUND(BJ70,0)</f>
        <v>51200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130*2018*8530*A</v>
      </c>
      <c r="B794" s="275"/>
      <c r="C794" s="277">
        <f>ROUND(BK60,2)</f>
        <v>29.92</v>
      </c>
      <c r="D794" s="275">
        <f>ROUND(BK61,0)</f>
        <v>1560611</v>
      </c>
      <c r="E794" s="275">
        <f>ROUND(BK62,0)</f>
        <v>358778</v>
      </c>
      <c r="F794" s="275">
        <f>ROUND(BK63,0)</f>
        <v>124058</v>
      </c>
      <c r="G794" s="275">
        <f>ROUND(BK64,0)</f>
        <v>23103</v>
      </c>
      <c r="H794" s="275">
        <f>ROUND(BK65,0)</f>
        <v>6629</v>
      </c>
      <c r="I794" s="275">
        <f>ROUND(BK66,0)</f>
        <v>601119</v>
      </c>
      <c r="J794" s="275">
        <f>ROUND(BK67,0)</f>
        <v>1775</v>
      </c>
      <c r="K794" s="275">
        <f>ROUND(BK68,0)</f>
        <v>384</v>
      </c>
      <c r="L794" s="275">
        <f>ROUND(BK69,0)</f>
        <v>1900</v>
      </c>
      <c r="M794" s="275">
        <f>ROUND(BK70,0)</f>
        <v>37252</v>
      </c>
      <c r="N794" s="275"/>
      <c r="O794" s="275"/>
      <c r="P794" s="275">
        <f>IF(BK76&gt;0,ROUND(BK76,0),0)</f>
        <v>5123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130*2018*8560*A</v>
      </c>
      <c r="B795" s="275"/>
      <c r="C795" s="277">
        <f>ROUND(BL60,2)</f>
        <v>77.03</v>
      </c>
      <c r="D795" s="275">
        <f>ROUND(BL61,0)</f>
        <v>3703241</v>
      </c>
      <c r="E795" s="275">
        <f>ROUND(BL62,0)</f>
        <v>888754</v>
      </c>
      <c r="F795" s="275">
        <f>ROUND(BL63,0)</f>
        <v>0</v>
      </c>
      <c r="G795" s="275">
        <f>ROUND(BL64,0)</f>
        <v>93331</v>
      </c>
      <c r="H795" s="275">
        <f>ROUND(BL65,0)</f>
        <v>705</v>
      </c>
      <c r="I795" s="275">
        <f>ROUND(BL66,0)</f>
        <v>96444</v>
      </c>
      <c r="J795" s="275">
        <f>ROUND(BL67,0)</f>
        <v>1510</v>
      </c>
      <c r="K795" s="275">
        <f>ROUND(BL68,0)</f>
        <v>0</v>
      </c>
      <c r="L795" s="275">
        <f>ROUND(BL69,0)</f>
        <v>1095</v>
      </c>
      <c r="M795" s="275">
        <f>ROUND(BL70,0)</f>
        <v>0</v>
      </c>
      <c r="N795" s="275"/>
      <c r="O795" s="275"/>
      <c r="P795" s="275">
        <f>IF(BL76&gt;0,ROUND(BL76,0),0)</f>
        <v>9038</v>
      </c>
      <c r="Q795" s="275">
        <f>IF(BL77&gt;0,ROUND(BL77,0),0)</f>
        <v>0</v>
      </c>
      <c r="R795" s="275">
        <f>IF(BL78&gt;0,ROUND(BL78,0),0)</f>
        <v>1859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130*2018*8590*A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130*2018*8610*A</v>
      </c>
      <c r="B797" s="275"/>
      <c r="C797" s="277">
        <f>ROUND(BN60,2)</f>
        <v>12.11</v>
      </c>
      <c r="D797" s="275">
        <f>ROUND(BN61,0)</f>
        <v>2215034</v>
      </c>
      <c r="E797" s="275">
        <f>ROUND(BN62,0)</f>
        <v>442145</v>
      </c>
      <c r="F797" s="275">
        <f>ROUND(BN63,0)</f>
        <v>1009255</v>
      </c>
      <c r="G797" s="275">
        <f>ROUND(BN64,0)</f>
        <v>61253</v>
      </c>
      <c r="H797" s="275">
        <f>ROUND(BN65,0)</f>
        <v>4938</v>
      </c>
      <c r="I797" s="275">
        <f>ROUND(BN66,0)</f>
        <v>29599456</v>
      </c>
      <c r="J797" s="275">
        <f>ROUND(BN67,0)</f>
        <v>23409</v>
      </c>
      <c r="K797" s="275">
        <f>ROUND(BN68,0)</f>
        <v>0</v>
      </c>
      <c r="L797" s="275">
        <f>ROUND(BN69,0)</f>
        <v>543227</v>
      </c>
      <c r="M797" s="275">
        <f>ROUND(BN70,0)</f>
        <v>197933</v>
      </c>
      <c r="N797" s="275"/>
      <c r="O797" s="275"/>
      <c r="P797" s="275">
        <f>IF(BN76&gt;0,ROUND(BN76,0),0)</f>
        <v>1475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130*2018*8620*A</v>
      </c>
      <c r="B798" s="275"/>
      <c r="C798" s="277">
        <f>ROUND(BO60,2)</f>
        <v>2.11</v>
      </c>
      <c r="D798" s="275">
        <f>ROUND(BO61,0)</f>
        <v>328593</v>
      </c>
      <c r="E798" s="275">
        <f>ROUND(BO62,0)</f>
        <v>64344</v>
      </c>
      <c r="F798" s="275">
        <f>ROUND(BO63,0)</f>
        <v>0</v>
      </c>
      <c r="G798" s="275">
        <f>ROUND(BO64,0)</f>
        <v>29077</v>
      </c>
      <c r="H798" s="275">
        <f>ROUND(BO65,0)</f>
        <v>0</v>
      </c>
      <c r="I798" s="275">
        <f>ROUND(BO66,0)</f>
        <v>50438</v>
      </c>
      <c r="J798" s="275">
        <f>ROUND(BO67,0)</f>
        <v>0</v>
      </c>
      <c r="K798" s="275">
        <f>ROUND(BO68,0)</f>
        <v>0</v>
      </c>
      <c r="L798" s="275">
        <f>ROUND(BO69,0)</f>
        <v>431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130*2018*8630*A</v>
      </c>
      <c r="B799" s="275"/>
      <c r="C799" s="277">
        <f>ROUND(BP60,2)</f>
        <v>0.04</v>
      </c>
      <c r="D799" s="275">
        <f>ROUND(BP61,0)</f>
        <v>1475419</v>
      </c>
      <c r="E799" s="275">
        <f>ROUND(BP62,0)</f>
        <v>309299</v>
      </c>
      <c r="F799" s="275">
        <f>ROUND(BP63,0)</f>
        <v>0</v>
      </c>
      <c r="G799" s="275">
        <f>ROUND(BP64,0)</f>
        <v>66045</v>
      </c>
      <c r="H799" s="275">
        <f>ROUND(BP65,0)</f>
        <v>0</v>
      </c>
      <c r="I799" s="275">
        <f>ROUND(BP66,0)</f>
        <v>73327</v>
      </c>
      <c r="J799" s="275">
        <f>ROUND(BP67,0)</f>
        <v>115515</v>
      </c>
      <c r="K799" s="275">
        <f>ROUND(BP68,0)</f>
        <v>0</v>
      </c>
      <c r="L799" s="275">
        <f>ROUND(BP69,0)</f>
        <v>132</v>
      </c>
      <c r="M799" s="275">
        <f>ROUND(BP70,0)</f>
        <v>22708</v>
      </c>
      <c r="N799" s="275"/>
      <c r="O799" s="275"/>
      <c r="P799" s="275">
        <f>IF(BP76&gt;0,ROUND(BP76,0),0)</f>
        <v>2679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130*2018*8640*A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130*2018*8650*A</v>
      </c>
      <c r="B801" s="275"/>
      <c r="C801" s="277">
        <f>ROUND(BR60,2)</f>
        <v>17.78</v>
      </c>
      <c r="D801" s="275">
        <f>ROUND(BR61,0)</f>
        <v>1646596</v>
      </c>
      <c r="E801" s="275">
        <f>ROUND(BR62,0)</f>
        <v>1174301</v>
      </c>
      <c r="F801" s="275">
        <f>ROUND(BR63,0)</f>
        <v>33235</v>
      </c>
      <c r="G801" s="275">
        <f>ROUND(BR64,0)</f>
        <v>11097</v>
      </c>
      <c r="H801" s="275">
        <f>ROUND(BR65,0)</f>
        <v>0</v>
      </c>
      <c r="I801" s="275">
        <f>ROUND(BR66,0)</f>
        <v>339652</v>
      </c>
      <c r="J801" s="275">
        <f>ROUND(BR67,0)</f>
        <v>0</v>
      </c>
      <c r="K801" s="275">
        <f>ROUND(BR68,0)</f>
        <v>87772</v>
      </c>
      <c r="L801" s="275">
        <f>ROUND(BR69,0)</f>
        <v>326027</v>
      </c>
      <c r="M801" s="275">
        <f>ROUND(BR70,0)</f>
        <v>2957</v>
      </c>
      <c r="N801" s="275"/>
      <c r="O801" s="275"/>
      <c r="P801" s="275">
        <f>IF(BR76&gt;0,ROUND(BR76,0),0)</f>
        <v>3756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130*2018*8660*A</v>
      </c>
      <c r="B802" s="275"/>
      <c r="C802" s="277">
        <f>ROUND(BS60,2)</f>
        <v>1</v>
      </c>
      <c r="D802" s="275">
        <f>ROUND(BS61,0)</f>
        <v>66472</v>
      </c>
      <c r="E802" s="275">
        <f>ROUND(BS62,0)</f>
        <v>16000</v>
      </c>
      <c r="F802" s="275">
        <f>ROUND(BS63,0)</f>
        <v>0</v>
      </c>
      <c r="G802" s="275">
        <f>ROUND(BS64,0)</f>
        <v>1397</v>
      </c>
      <c r="H802" s="275">
        <f>ROUND(BS65,0)</f>
        <v>0</v>
      </c>
      <c r="I802" s="275">
        <f>ROUND(BS66,0)</f>
        <v>0</v>
      </c>
      <c r="J802" s="275">
        <f>ROUND(BS67,0)</f>
        <v>225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130*2018*8670*A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130*2018*8680*A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130*2018*8690*A</v>
      </c>
      <c r="B805" s="275"/>
      <c r="C805" s="277">
        <f>ROUND(BV60,2)</f>
        <v>36.130000000000003</v>
      </c>
      <c r="D805" s="275">
        <f>ROUND(BV61,0)</f>
        <v>2104778</v>
      </c>
      <c r="E805" s="275">
        <f>ROUND(BV62,0)</f>
        <v>494069</v>
      </c>
      <c r="F805" s="275">
        <f>ROUND(BV63,0)</f>
        <v>0</v>
      </c>
      <c r="G805" s="275">
        <f>ROUND(BV64,0)</f>
        <v>15455</v>
      </c>
      <c r="H805" s="275">
        <f>ROUND(BV65,0)</f>
        <v>489</v>
      </c>
      <c r="I805" s="275">
        <f>ROUND(BV66,0)</f>
        <v>839102</v>
      </c>
      <c r="J805" s="275">
        <f>ROUND(BV67,0)</f>
        <v>8954</v>
      </c>
      <c r="K805" s="275">
        <f>ROUND(BV68,0)</f>
        <v>0</v>
      </c>
      <c r="L805" s="275">
        <f>ROUND(BV69,0)</f>
        <v>5397</v>
      </c>
      <c r="M805" s="275">
        <f>ROUND(BV70,0)</f>
        <v>32385</v>
      </c>
      <c r="N805" s="275"/>
      <c r="O805" s="275"/>
      <c r="P805" s="275">
        <f>IF(BV76&gt;0,ROUND(BV76,0),0)</f>
        <v>5499</v>
      </c>
      <c r="Q805" s="275">
        <f>IF(BV77&gt;0,ROUND(BV77,0),0)</f>
        <v>0</v>
      </c>
      <c r="R805" s="275">
        <f>IF(BV78&gt;0,ROUND(BV78,0),0)</f>
        <v>2620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130*2018*8700*A</v>
      </c>
      <c r="B806" s="275"/>
      <c r="C806" s="277">
        <f>ROUND(BW60,2)</f>
        <v>5.67</v>
      </c>
      <c r="D806" s="275">
        <f>ROUND(BW61,0)</f>
        <v>634125</v>
      </c>
      <c r="E806" s="275">
        <f>ROUND(BW62,0)</f>
        <v>142202</v>
      </c>
      <c r="F806" s="275">
        <f>ROUND(BW63,0)</f>
        <v>61284</v>
      </c>
      <c r="G806" s="275">
        <f>ROUND(BW64,0)</f>
        <v>2604</v>
      </c>
      <c r="H806" s="275">
        <f>ROUND(BW65,0)</f>
        <v>0</v>
      </c>
      <c r="I806" s="275">
        <f>ROUND(BW66,0)</f>
        <v>183314</v>
      </c>
      <c r="J806" s="275">
        <f>ROUND(BW67,0)</f>
        <v>0</v>
      </c>
      <c r="K806" s="275">
        <f>ROUND(BW68,0)</f>
        <v>0</v>
      </c>
      <c r="L806" s="275">
        <f>ROUND(BW69,0)</f>
        <v>119186</v>
      </c>
      <c r="M806" s="275">
        <f>ROUND(BW70,0)</f>
        <v>-101</v>
      </c>
      <c r="N806" s="275"/>
      <c r="O806" s="275"/>
      <c r="P806" s="275">
        <f>IF(BW76&gt;0,ROUND(BW76,0),0)</f>
        <v>2275</v>
      </c>
      <c r="Q806" s="275">
        <f>IF(BW77&gt;0,ROUND(BW77,0),0)</f>
        <v>0</v>
      </c>
      <c r="R806" s="275">
        <f>IF(BW78&gt;0,ROUND(BW78,0),0)</f>
        <v>1084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130*2018*8710*A</v>
      </c>
      <c r="B807" s="275"/>
      <c r="C807" s="277">
        <f>ROUND(BX60,2)</f>
        <v>46.26</v>
      </c>
      <c r="D807" s="275">
        <f>ROUND(BX61,0)</f>
        <v>4276118</v>
      </c>
      <c r="E807" s="275">
        <f>ROUND(BX62,0)</f>
        <v>1013728</v>
      </c>
      <c r="F807" s="275">
        <f>ROUND(BX63,0)</f>
        <v>160427</v>
      </c>
      <c r="G807" s="275">
        <f>ROUND(BX64,0)</f>
        <v>15071</v>
      </c>
      <c r="H807" s="275">
        <f>ROUND(BX65,0)</f>
        <v>0</v>
      </c>
      <c r="I807" s="275">
        <f>ROUND(BX66,0)</f>
        <v>944956</v>
      </c>
      <c r="J807" s="275">
        <f>ROUND(BX67,0)</f>
        <v>0</v>
      </c>
      <c r="K807" s="275">
        <f>ROUND(BX68,0)</f>
        <v>3100</v>
      </c>
      <c r="L807" s="275">
        <f>ROUND(BX69,0)</f>
        <v>4945</v>
      </c>
      <c r="M807" s="275">
        <f>ROUND(BX70,0)</f>
        <v>0</v>
      </c>
      <c r="N807" s="275"/>
      <c r="O807" s="275"/>
      <c r="P807" s="275">
        <f>IF(BX76&gt;0,ROUND(BX76,0),0)</f>
        <v>3871</v>
      </c>
      <c r="Q807" s="275">
        <f>IF(BX77&gt;0,ROUND(BX77,0),0)</f>
        <v>0</v>
      </c>
      <c r="R807" s="275">
        <f>IF(BX78&gt;0,ROUND(BX78,0),0)</f>
        <v>1206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130*2018*8720*A</v>
      </c>
      <c r="B808" s="275"/>
      <c r="C808" s="277">
        <f>ROUND(BY60,2)</f>
        <v>11.67</v>
      </c>
      <c r="D808" s="275">
        <f>ROUND(BY61,0)</f>
        <v>1022779</v>
      </c>
      <c r="E808" s="275">
        <f>ROUND(BY62,0)</f>
        <v>245911</v>
      </c>
      <c r="F808" s="275">
        <f>ROUND(BY63,0)</f>
        <v>0</v>
      </c>
      <c r="G808" s="275">
        <f>ROUND(BY64,0)</f>
        <v>10468</v>
      </c>
      <c r="H808" s="275">
        <f>ROUND(BY65,0)</f>
        <v>2745</v>
      </c>
      <c r="I808" s="275">
        <f>ROUND(BY66,0)</f>
        <v>264983</v>
      </c>
      <c r="J808" s="275">
        <f>ROUND(BY67,0)</f>
        <v>248170</v>
      </c>
      <c r="K808" s="275">
        <f>ROUND(BY68,0)</f>
        <v>0</v>
      </c>
      <c r="L808" s="275">
        <f>ROUND(BY69,0)</f>
        <v>16539</v>
      </c>
      <c r="M808" s="275">
        <f>ROUND(BY70,0)</f>
        <v>79619</v>
      </c>
      <c r="N808" s="275"/>
      <c r="O808" s="275"/>
      <c r="P808" s="275">
        <f>IF(BY76&gt;0,ROUND(BY76,0),0)</f>
        <v>984</v>
      </c>
      <c r="Q808" s="275">
        <f>IF(BY77&gt;0,ROUND(BY77,0),0)</f>
        <v>0</v>
      </c>
      <c r="R808" s="275">
        <f>IF(BY78&gt;0,ROUND(BY78,0),0)</f>
        <v>469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130*2018*8730*A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130*2018*8740*A</v>
      </c>
      <c r="B810" s="275"/>
      <c r="C810" s="277">
        <f>ROUND(CA60,2)</f>
        <v>25.93</v>
      </c>
      <c r="D810" s="275">
        <f>ROUND(CA61,0)</f>
        <v>1389101</v>
      </c>
      <c r="E810" s="275">
        <f>ROUND(CA62,0)</f>
        <v>313381</v>
      </c>
      <c r="F810" s="275">
        <f>ROUND(CA63,0)</f>
        <v>0</v>
      </c>
      <c r="G810" s="275">
        <f>ROUND(CA64,0)</f>
        <v>43737</v>
      </c>
      <c r="H810" s="275">
        <f>ROUND(CA65,0)</f>
        <v>0</v>
      </c>
      <c r="I810" s="275">
        <f>ROUND(CA66,0)</f>
        <v>2153176</v>
      </c>
      <c r="J810" s="275">
        <f>ROUND(CA67,0)</f>
        <v>0</v>
      </c>
      <c r="K810" s="275">
        <f>ROUND(CA68,0)</f>
        <v>0</v>
      </c>
      <c r="L810" s="275">
        <f>ROUND(CA69,0)</f>
        <v>13874</v>
      </c>
      <c r="M810" s="275">
        <f>ROUND(CA70,0)</f>
        <v>7895</v>
      </c>
      <c r="N810" s="275"/>
      <c r="O810" s="275"/>
      <c r="P810" s="275">
        <f>IF(CA76&gt;0,ROUND(CA76,0),0)</f>
        <v>5894</v>
      </c>
      <c r="Q810" s="275">
        <f>IF(CA77&gt;0,ROUND(CA77,0),0)</f>
        <v>0</v>
      </c>
      <c r="R810" s="275">
        <f>IF(CA78&gt;0,ROUND(CA78,0),0)</f>
        <v>2808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130*2018*8770*A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130*2018*8790*A</v>
      </c>
      <c r="B812" s="275"/>
      <c r="C812" s="277">
        <f>ROUND(CC60,2)</f>
        <v>26.47</v>
      </c>
      <c r="D812" s="275">
        <f>ROUND(CC61,0)</f>
        <v>1585372</v>
      </c>
      <c r="E812" s="275">
        <f>ROUND(CC62,0)</f>
        <v>153476</v>
      </c>
      <c r="F812" s="275">
        <f>ROUND(CC63,0)</f>
        <v>6993</v>
      </c>
      <c r="G812" s="275">
        <f>ROUND(CC64,0)</f>
        <v>1025027</v>
      </c>
      <c r="H812" s="275">
        <f>ROUND(CC65,0)</f>
        <v>812021</v>
      </c>
      <c r="I812" s="275">
        <f>ROUND(CC66,0)</f>
        <v>1505162</v>
      </c>
      <c r="J812" s="275">
        <f>ROUND(CC67,0)</f>
        <v>2728576</v>
      </c>
      <c r="K812" s="275">
        <f>ROUND(CC68,0)</f>
        <v>1575145</v>
      </c>
      <c r="L812" s="275">
        <f>ROUND(CC69,0)</f>
        <v>21672</v>
      </c>
      <c r="M812" s="275">
        <f>ROUND(CC70,0)</f>
        <v>5939851</v>
      </c>
      <c r="N812" s="275"/>
      <c r="O812" s="275"/>
      <c r="P812" s="275">
        <f>IF(CC76&gt;0,ROUND(CC76,0),0)</f>
        <v>1697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130*2018*9000*A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16759283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1916.18</v>
      </c>
      <c r="D815" s="276">
        <f t="shared" si="22"/>
        <v>163916586</v>
      </c>
      <c r="E815" s="276">
        <f t="shared" si="22"/>
        <v>35487810</v>
      </c>
      <c r="F815" s="276">
        <f t="shared" si="22"/>
        <v>14571758</v>
      </c>
      <c r="G815" s="276">
        <f t="shared" si="22"/>
        <v>66341445</v>
      </c>
      <c r="H815" s="276">
        <f t="shared" si="22"/>
        <v>3382844</v>
      </c>
      <c r="I815" s="276">
        <f t="shared" si="22"/>
        <v>62823676</v>
      </c>
      <c r="J815" s="276">
        <f t="shared" si="22"/>
        <v>16197588</v>
      </c>
      <c r="K815" s="276">
        <f t="shared" si="22"/>
        <v>9862983</v>
      </c>
      <c r="L815" s="276">
        <f>SUM(L734:L813)+SUM(U734:U813)</f>
        <v>19389762</v>
      </c>
      <c r="M815" s="276">
        <f>SUM(M734:M813)+SUM(V734:V813)</f>
        <v>15157690</v>
      </c>
      <c r="N815" s="276">
        <f t="shared" ref="N815:Y815" si="23">SUM(N734:N813)</f>
        <v>1198677124</v>
      </c>
      <c r="O815" s="276">
        <f t="shared" si="23"/>
        <v>522972486</v>
      </c>
      <c r="P815" s="276">
        <f t="shared" si="23"/>
        <v>433631</v>
      </c>
      <c r="Q815" s="276">
        <f t="shared" si="23"/>
        <v>193845</v>
      </c>
      <c r="R815" s="276">
        <f t="shared" si="23"/>
        <v>107186</v>
      </c>
      <c r="S815" s="276">
        <f t="shared" si="23"/>
        <v>2291715</v>
      </c>
      <c r="T815" s="280">
        <f t="shared" si="23"/>
        <v>571.91</v>
      </c>
      <c r="U815" s="276">
        <f t="shared" si="23"/>
        <v>16759283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111581224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1916.1799999999998</v>
      </c>
      <c r="D816" s="276">
        <f>CE61</f>
        <v>163916586</v>
      </c>
      <c r="E816" s="276">
        <f>CE62</f>
        <v>35487810</v>
      </c>
      <c r="F816" s="276">
        <f>CE63</f>
        <v>14571758</v>
      </c>
      <c r="G816" s="276">
        <f>CE64</f>
        <v>66341445</v>
      </c>
      <c r="H816" s="279">
        <f>CE65</f>
        <v>3382844</v>
      </c>
      <c r="I816" s="279">
        <f>CE66</f>
        <v>62823676</v>
      </c>
      <c r="J816" s="279">
        <f>CE67</f>
        <v>16197588</v>
      </c>
      <c r="K816" s="279">
        <f>CE68</f>
        <v>9862983</v>
      </c>
      <c r="L816" s="279">
        <f>CE69</f>
        <v>19389762</v>
      </c>
      <c r="M816" s="279">
        <f>CE70</f>
        <v>15157690</v>
      </c>
      <c r="N816" s="276">
        <f>CE75</f>
        <v>1198677124</v>
      </c>
      <c r="O816" s="276">
        <f>CE73</f>
        <v>522972486</v>
      </c>
      <c r="P816" s="276">
        <f>CE76</f>
        <v>433631</v>
      </c>
      <c r="Q816" s="276">
        <f>CE77</f>
        <v>193845</v>
      </c>
      <c r="R816" s="276">
        <f>CE78</f>
        <v>107186</v>
      </c>
      <c r="S816" s="276">
        <f>CE79</f>
        <v>2291715</v>
      </c>
      <c r="T816" s="280">
        <f>CE80</f>
        <v>571.91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111581224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163916586</v>
      </c>
      <c r="E817" s="180">
        <f>C379</f>
        <v>35487810</v>
      </c>
      <c r="F817" s="180">
        <f>C380</f>
        <v>14571758</v>
      </c>
      <c r="G817" s="240">
        <f>C381</f>
        <v>66341445</v>
      </c>
      <c r="H817" s="240">
        <f>C382</f>
        <v>3382844</v>
      </c>
      <c r="I817" s="240">
        <f>C383</f>
        <v>62823676</v>
      </c>
      <c r="J817" s="240">
        <f>C384</f>
        <v>16197588</v>
      </c>
      <c r="K817" s="240">
        <f>C385</f>
        <v>9892983</v>
      </c>
      <c r="L817" s="240">
        <f>C386+C387+C388+C389</f>
        <v>19389762</v>
      </c>
      <c r="M817" s="240">
        <f>C370</f>
        <v>15157690</v>
      </c>
      <c r="N817" s="180">
        <f>D361</f>
        <v>1198677124</v>
      </c>
      <c r="O817" s="180">
        <f>C359</f>
        <v>522972486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UW Medicine /Northwest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1550 North 115th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1550 North 115th Street, Mailstop: UWT-359415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98133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4" zoomScale="75" workbookViewId="0">
      <selection activeCell="H36" sqref="H3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H-130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UW Medicine /Northwest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Cindy Hecker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Maureen A. Broom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Jim Snyder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(206) 598-5575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(206) 598-7832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9767</v>
      </c>
      <c r="G23" s="21">
        <f>data!D111</f>
        <v>49970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1049</v>
      </c>
      <c r="G26" s="13">
        <f>data!D114</f>
        <v>1729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15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129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18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206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27</v>
      </c>
      <c r="E36" s="49" t="s">
        <v>292</v>
      </c>
      <c r="F36" s="24"/>
      <c r="G36" s="21">
        <f>data!C128</f>
        <v>281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80" zoomScaleNormal="80" workbookViewId="0">
      <selection activeCell="K29" sqref="K2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UW Medicine /Northwest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5604</v>
      </c>
      <c r="C7" s="48">
        <f>data!B139</f>
        <v>33321</v>
      </c>
      <c r="D7" s="48">
        <f>data!B140</f>
        <v>204320</v>
      </c>
      <c r="E7" s="48">
        <f>data!B141</f>
        <v>333660706</v>
      </c>
      <c r="F7" s="48">
        <f>data!B142</f>
        <v>264208947</v>
      </c>
      <c r="G7" s="48">
        <f>data!B141+data!B142</f>
        <v>597869653</v>
      </c>
    </row>
    <row r="8" spans="1:13" ht="20.100000000000001" customHeight="1" x14ac:dyDescent="0.25">
      <c r="A8" s="23" t="s">
        <v>297</v>
      </c>
      <c r="B8" s="48">
        <f>data!C138</f>
        <v>1373</v>
      </c>
      <c r="C8" s="48">
        <f>data!C139</f>
        <v>7902</v>
      </c>
      <c r="D8" s="48">
        <f>data!C140</f>
        <v>58635</v>
      </c>
      <c r="E8" s="48">
        <f>data!C141</f>
        <v>79809973</v>
      </c>
      <c r="F8" s="48">
        <f>data!C142</f>
        <v>91763818</v>
      </c>
      <c r="G8" s="48">
        <f>data!C141+data!C142</f>
        <v>171573791</v>
      </c>
    </row>
    <row r="9" spans="1:13" ht="20.100000000000001" customHeight="1" x14ac:dyDescent="0.25">
      <c r="A9" s="23" t="s">
        <v>1058</v>
      </c>
      <c r="B9" s="48">
        <f>data!D138</f>
        <v>2790</v>
      </c>
      <c r="C9" s="48">
        <f>data!D139</f>
        <v>8747</v>
      </c>
      <c r="D9" s="48">
        <f>data!D140</f>
        <v>163353</v>
      </c>
      <c r="E9" s="48">
        <f>data!D141</f>
        <v>125610978</v>
      </c>
      <c r="F9" s="48">
        <f>data!D142</f>
        <v>352384058</v>
      </c>
      <c r="G9" s="48">
        <f>data!D141+data!D142</f>
        <v>477995036</v>
      </c>
    </row>
    <row r="10" spans="1:13" ht="20.100000000000001" customHeight="1" x14ac:dyDescent="0.25">
      <c r="A10" s="111" t="s">
        <v>203</v>
      </c>
      <c r="B10" s="48">
        <f>data!E138</f>
        <v>9767</v>
      </c>
      <c r="C10" s="48">
        <f>data!E139</f>
        <v>49970</v>
      </c>
      <c r="D10" s="48">
        <f>data!E140</f>
        <v>426308</v>
      </c>
      <c r="E10" s="48">
        <f>data!E141</f>
        <v>539081657</v>
      </c>
      <c r="F10" s="48">
        <f>data!E142</f>
        <v>708356823</v>
      </c>
      <c r="G10" s="48">
        <f>data!E141+data!E142</f>
        <v>1247438480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1" zoomScale="80" zoomScaleNormal="80" workbookViewId="0">
      <selection activeCell="E32" sqref="E3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UW Medicine /Northwest Hospital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11273361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105814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751918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17748800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193568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5485038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2258670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37817169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6263766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3548315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9812081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1494901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778474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2273375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176946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11203915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11380861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3519701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3519701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I20" sqref="I20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UW Medicine /Northwest Hospital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10922072.109999999</v>
      </c>
      <c r="D7" s="21">
        <f>data!C195</f>
        <v>25123</v>
      </c>
      <c r="E7" s="21">
        <f>data!D195</f>
        <v>0</v>
      </c>
      <c r="F7" s="21">
        <f>data!E195</f>
        <v>10947195.109999999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5928900.1799999997</v>
      </c>
      <c r="D8" s="21">
        <f>data!C196</f>
        <v>0</v>
      </c>
      <c r="E8" s="21">
        <f>data!D196</f>
        <v>51146.25</v>
      </c>
      <c r="F8" s="21">
        <f>data!E196</f>
        <v>5877753.9299999997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146066196</v>
      </c>
      <c r="D9" s="21">
        <f>data!C197</f>
        <v>2130060.0499999998</v>
      </c>
      <c r="E9" s="21">
        <f>data!D197</f>
        <v>1891709.12</v>
      </c>
      <c r="F9" s="21">
        <f>data!E197</f>
        <v>146304546.93000001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46642924</v>
      </c>
      <c r="D10" s="21">
        <f>data!C198</f>
        <v>0</v>
      </c>
      <c r="E10" s="21">
        <f>data!D198</f>
        <v>834428.11</v>
      </c>
      <c r="F10" s="21">
        <f>data!E198</f>
        <v>45808495.890000001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152893688.61000001</v>
      </c>
      <c r="D12" s="21">
        <f>data!C200</f>
        <v>5667579.5899999999</v>
      </c>
      <c r="E12" s="21">
        <f>data!D200</f>
        <v>2062258.05</v>
      </c>
      <c r="F12" s="21">
        <f>data!E200</f>
        <v>156499010.15000001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16890638</v>
      </c>
      <c r="D14" s="21">
        <f>data!C202</f>
        <v>3744.06</v>
      </c>
      <c r="E14" s="21">
        <f>data!D202</f>
        <v>17620.740000000002</v>
      </c>
      <c r="F14" s="21">
        <f>data!E202</f>
        <v>16876761.32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4020772.84</v>
      </c>
      <c r="D15" s="21">
        <f>data!C203</f>
        <v>8157722.1100000003</v>
      </c>
      <c r="E15" s="21">
        <f>data!D203</f>
        <v>0</v>
      </c>
      <c r="F15" s="21">
        <f>data!E203</f>
        <v>12178494.949999999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383365191.73999995</v>
      </c>
      <c r="D16" s="21">
        <f>data!C204</f>
        <v>15984228.809999999</v>
      </c>
      <c r="E16" s="21">
        <f>data!D204</f>
        <v>4857162.2700000005</v>
      </c>
      <c r="F16" s="21">
        <f>data!E204</f>
        <v>394492258.27999997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5434196.7699999996</v>
      </c>
      <c r="D24" s="21">
        <f>data!C209</f>
        <v>69268.27</v>
      </c>
      <c r="E24" s="21">
        <f>data!D209</f>
        <v>0</v>
      </c>
      <c r="F24" s="21">
        <f>data!E209</f>
        <v>5503465.0399999991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93609496.019999996</v>
      </c>
      <c r="D25" s="21">
        <f>data!C210</f>
        <v>5961426.4800000004</v>
      </c>
      <c r="E25" s="21">
        <f>data!D210</f>
        <v>1205196.25</v>
      </c>
      <c r="F25" s="21">
        <f>data!E210</f>
        <v>98365726.25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39069258</v>
      </c>
      <c r="D26" s="21">
        <f>data!C211</f>
        <v>1922894.02</v>
      </c>
      <c r="E26" s="21">
        <f>data!D211</f>
        <v>1740576.71</v>
      </c>
      <c r="F26" s="21">
        <f>data!E211</f>
        <v>39251575.310000002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133874746</v>
      </c>
      <c r="D28" s="21">
        <f>data!C213</f>
        <v>5975086.3799999999</v>
      </c>
      <c r="E28" s="21">
        <f>data!D213</f>
        <v>771474.98</v>
      </c>
      <c r="F28" s="21">
        <f>data!E213</f>
        <v>139078357.40000001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11155984</v>
      </c>
      <c r="D30" s="21">
        <f>data!C215</f>
        <v>871931.48</v>
      </c>
      <c r="E30" s="21">
        <f>data!D215</f>
        <v>7075.25</v>
      </c>
      <c r="F30" s="21">
        <f>data!E215</f>
        <v>12020840.23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283143680.78999996</v>
      </c>
      <c r="D32" s="21">
        <f>data!C217</f>
        <v>14800606.629999999</v>
      </c>
      <c r="E32" s="21">
        <f>data!D217</f>
        <v>3724323.19</v>
      </c>
      <c r="F32" s="21">
        <f>data!E217</f>
        <v>294219964.23000002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G27" sqref="G27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UW Medicine /Northwest Hospital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12723776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453700954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130125510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13345015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227377272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36095248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860643999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3537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6773543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10739846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17513389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2576290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893457454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46" zoomScale="75" workbookViewId="0">
      <selection activeCell="E147" sqref="E147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UW Medicine /Northwest Hospital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11605348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149334840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109417616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5358810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5021034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2418658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64321074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4664060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41976536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46640596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10947195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5877754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146304547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45808496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156499010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16876761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12178495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394492258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294219964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100272294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4411564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6285840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10697404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221931368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UW Medicine /Northwest Hospital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11147467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21495743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6345775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11137555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5270869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4041402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59438811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6542668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2183360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88008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56225260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90662556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7867788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163569640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4041402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159528238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2964319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2964319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221931368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UW Medicine /Northwest Hospital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539081657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708356822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1247438479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12723776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863220289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17513389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893457454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353981025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16985429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16985429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370966454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167942410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37817169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16124263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65857521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3459681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77635460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15282661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9812081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2273375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11380853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3519701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1880080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412985255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-42018801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2025220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-39993581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-39993581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Normal="100" workbookViewId="0">
      <selection activeCell="L26" sqref="L2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UW Medicine /Northwest Hospital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3826</v>
      </c>
      <c r="D9" s="14">
        <f>data!D59</f>
        <v>4889</v>
      </c>
      <c r="E9" s="14">
        <f>data!E59</f>
        <v>25111</v>
      </c>
      <c r="F9" s="14">
        <f>data!F59</f>
        <v>4194</v>
      </c>
      <c r="G9" s="14">
        <f>data!G59</f>
        <v>0</v>
      </c>
      <c r="H9" s="14">
        <f>data!H59</f>
        <v>9519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51.58</v>
      </c>
      <c r="D10" s="26">
        <f>data!D60</f>
        <v>45.84</v>
      </c>
      <c r="E10" s="26">
        <f>data!E60</f>
        <v>231.66</v>
      </c>
      <c r="F10" s="26">
        <f>data!F60</f>
        <v>56.11</v>
      </c>
      <c r="G10" s="26">
        <f>data!G60</f>
        <v>0</v>
      </c>
      <c r="H10" s="26">
        <f>data!H60</f>
        <v>59.72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5077963</v>
      </c>
      <c r="D11" s="14">
        <f>data!D61</f>
        <v>3987064</v>
      </c>
      <c r="E11" s="14">
        <f>data!E61</f>
        <v>19644200</v>
      </c>
      <c r="F11" s="14">
        <f>data!F61</f>
        <v>5803820</v>
      </c>
      <c r="G11" s="14">
        <f>data!G61</f>
        <v>0</v>
      </c>
      <c r="H11" s="14">
        <f>data!H61</f>
        <v>4703075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1123405</v>
      </c>
      <c r="D12" s="14">
        <f>data!D62</f>
        <v>916188</v>
      </c>
      <c r="E12" s="14">
        <f>data!E62</f>
        <v>4418549</v>
      </c>
      <c r="F12" s="14">
        <f>data!F62</f>
        <v>1359552</v>
      </c>
      <c r="G12" s="14">
        <f>data!G62</f>
        <v>0</v>
      </c>
      <c r="H12" s="14">
        <f>data!H62</f>
        <v>1114172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508679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600904</v>
      </c>
      <c r="D14" s="14">
        <f>data!D64</f>
        <v>191986</v>
      </c>
      <c r="E14" s="14">
        <f>data!E64</f>
        <v>1322862</v>
      </c>
      <c r="F14" s="14">
        <f>data!F64</f>
        <v>385218</v>
      </c>
      <c r="G14" s="14">
        <f>data!G64</f>
        <v>0</v>
      </c>
      <c r="H14" s="14">
        <f>data!H64</f>
        <v>126566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1221</v>
      </c>
      <c r="D15" s="14">
        <f>data!D65</f>
        <v>621</v>
      </c>
      <c r="E15" s="14">
        <f>data!E65</f>
        <v>3693</v>
      </c>
      <c r="F15" s="14">
        <f>data!F65</f>
        <v>575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324836</v>
      </c>
      <c r="D16" s="14">
        <f>data!D66</f>
        <v>130188</v>
      </c>
      <c r="E16" s="14">
        <f>data!E66</f>
        <v>857057</v>
      </c>
      <c r="F16" s="14">
        <f>data!F66</f>
        <v>116630</v>
      </c>
      <c r="G16" s="14">
        <f>data!G66</f>
        <v>0</v>
      </c>
      <c r="H16" s="14">
        <f>data!H66</f>
        <v>57234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51666</v>
      </c>
      <c r="D17" s="14">
        <f>data!D67</f>
        <v>5374</v>
      </c>
      <c r="E17" s="14">
        <f>data!E67</f>
        <v>183882</v>
      </c>
      <c r="F17" s="14">
        <f>data!F67</f>
        <v>192794</v>
      </c>
      <c r="G17" s="14">
        <f>data!G67</f>
        <v>0</v>
      </c>
      <c r="H17" s="14">
        <f>data!H67</f>
        <v>29029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124980</v>
      </c>
      <c r="D18" s="14">
        <f>data!D68</f>
        <v>130225</v>
      </c>
      <c r="E18" s="14">
        <f>data!E68</f>
        <v>158299</v>
      </c>
      <c r="F18" s="14">
        <f>data!F68</f>
        <v>64246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624</v>
      </c>
      <c r="D19" s="14">
        <f>data!D69</f>
        <v>176</v>
      </c>
      <c r="E19" s="14">
        <f>data!E69</f>
        <v>6687</v>
      </c>
      <c r="F19" s="14">
        <f>data!F69</f>
        <v>828</v>
      </c>
      <c r="G19" s="14">
        <f>data!G69</f>
        <v>0</v>
      </c>
      <c r="H19" s="14">
        <f>data!H69</f>
        <v>10525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1500</v>
      </c>
      <c r="F20" s="14">
        <f>-data!F70</f>
        <v>-3644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7305599</v>
      </c>
      <c r="D21" s="14">
        <f>data!D71</f>
        <v>5361822</v>
      </c>
      <c r="E21" s="14">
        <f>data!E71</f>
        <v>26596729</v>
      </c>
      <c r="F21" s="14">
        <f>data!F71</f>
        <v>8428698</v>
      </c>
      <c r="G21" s="14">
        <f>data!G71</f>
        <v>0</v>
      </c>
      <c r="H21" s="14">
        <f>data!H71</f>
        <v>6040601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3393398</v>
      </c>
      <c r="D23" s="48">
        <f>+data!M669</f>
        <v>3018053</v>
      </c>
      <c r="E23" s="48">
        <f>+data!M670</f>
        <v>15583929</v>
      </c>
      <c r="F23" s="48">
        <f>+data!M671</f>
        <v>3932103</v>
      </c>
      <c r="G23" s="48">
        <f>+data!M672</f>
        <v>0</v>
      </c>
      <c r="H23" s="48">
        <f>+data!M673</f>
        <v>4222221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26090183</v>
      </c>
      <c r="D24" s="14">
        <f>data!D73</f>
        <v>24315124</v>
      </c>
      <c r="E24" s="14">
        <f>data!E73</f>
        <v>92968669</v>
      </c>
      <c r="F24" s="14">
        <f>data!F73</f>
        <v>18590173</v>
      </c>
      <c r="G24" s="14">
        <f>data!G73</f>
        <v>0</v>
      </c>
      <c r="H24" s="14">
        <f>data!H73</f>
        <v>29510433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81872</v>
      </c>
      <c r="D25" s="14">
        <f>data!D74</f>
        <v>570774</v>
      </c>
      <c r="E25" s="14">
        <f>data!E74</f>
        <v>6719941</v>
      </c>
      <c r="F25" s="14">
        <f>data!F74</f>
        <v>1506971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26172055</v>
      </c>
      <c r="D26" s="14">
        <f>data!D75</f>
        <v>24885898</v>
      </c>
      <c r="E26" s="14">
        <f>data!E75</f>
        <v>99688610</v>
      </c>
      <c r="F26" s="14">
        <f>data!F75</f>
        <v>20097144</v>
      </c>
      <c r="G26" s="14">
        <f>data!G75</f>
        <v>0</v>
      </c>
      <c r="H26" s="14">
        <f>data!H75</f>
        <v>29510433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8019</v>
      </c>
      <c r="D28" s="14">
        <f>data!D76</f>
        <v>8222</v>
      </c>
      <c r="E28" s="14">
        <f>data!E76</f>
        <v>47741</v>
      </c>
      <c r="F28" s="14">
        <f>data!F76</f>
        <v>13745</v>
      </c>
      <c r="G28" s="14">
        <f>data!G76</f>
        <v>0</v>
      </c>
      <c r="H28" s="14">
        <f>data!H76</f>
        <v>14924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15340</v>
      </c>
      <c r="D29" s="14">
        <f>data!D77</f>
        <v>19602</v>
      </c>
      <c r="E29" s="14">
        <f>data!E77</f>
        <v>117360</v>
      </c>
      <c r="F29" s="14">
        <f>data!F77</f>
        <v>16816</v>
      </c>
      <c r="G29" s="14">
        <f>data!G77</f>
        <v>0</v>
      </c>
      <c r="H29" s="14">
        <f>data!H77</f>
        <v>38166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3795</v>
      </c>
      <c r="D30" s="14">
        <f>data!D78</f>
        <v>3891</v>
      </c>
      <c r="E30" s="14">
        <f>data!E78</f>
        <v>22591</v>
      </c>
      <c r="F30" s="14">
        <f>data!F78</f>
        <v>6504</v>
      </c>
      <c r="G30" s="14">
        <f>data!G78</f>
        <v>0</v>
      </c>
      <c r="H30" s="14">
        <f>data!H78</f>
        <v>7062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131761</v>
      </c>
      <c r="D31" s="14">
        <f>data!D79</f>
        <v>0</v>
      </c>
      <c r="E31" s="14">
        <f>data!E79</f>
        <v>379694</v>
      </c>
      <c r="F31" s="14">
        <f>data!F79</f>
        <v>121311</v>
      </c>
      <c r="G31" s="14">
        <f>data!G79</f>
        <v>0</v>
      </c>
      <c r="H31" s="14">
        <f>data!H79</f>
        <v>81831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42.1</v>
      </c>
      <c r="D32" s="84">
        <f>data!D80</f>
        <v>36.18</v>
      </c>
      <c r="E32" s="84">
        <f>data!E80</f>
        <v>207.84</v>
      </c>
      <c r="F32" s="84">
        <f>data!F80</f>
        <v>41.49</v>
      </c>
      <c r="G32" s="84">
        <f>data!G80</f>
        <v>0</v>
      </c>
      <c r="H32" s="84">
        <f>data!H80</f>
        <v>47.63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UW Medicine /Northwest Hospital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1637680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99.34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8771672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1929372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20206097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7796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1272956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2495177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539386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7257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35229713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19153342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110370111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186713646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297083757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53579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18329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341713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52.06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UW Medicine /Northwest Hospital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982035</v>
      </c>
      <c r="D73" s="48">
        <f>data!R59</f>
        <v>1178925</v>
      </c>
      <c r="E73" s="212"/>
      <c r="F73" s="212"/>
      <c r="G73" s="14">
        <f>data!U59</f>
        <v>852101</v>
      </c>
      <c r="H73" s="14">
        <f>data!V59</f>
        <v>22084</v>
      </c>
      <c r="I73" s="14">
        <f>data!W59</f>
        <v>8627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36.69</v>
      </c>
      <c r="D74" s="26">
        <f>data!R60</f>
        <v>8.32</v>
      </c>
      <c r="E74" s="26">
        <f>data!S60</f>
        <v>16.190000000000001</v>
      </c>
      <c r="F74" s="26">
        <f>data!T60</f>
        <v>2.14</v>
      </c>
      <c r="G74" s="26">
        <f>data!U60</f>
        <v>83</v>
      </c>
      <c r="H74" s="26">
        <f>data!V60</f>
        <v>6.81</v>
      </c>
      <c r="I74" s="26">
        <f>data!W60</f>
        <v>9.8699999999999992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3645831</v>
      </c>
      <c r="D75" s="14">
        <f>data!R61</f>
        <v>542260</v>
      </c>
      <c r="E75" s="14">
        <f>data!S61</f>
        <v>936743</v>
      </c>
      <c r="F75" s="14">
        <f>data!T61</f>
        <v>337573</v>
      </c>
      <c r="G75" s="14">
        <f>data!U61</f>
        <v>5234666</v>
      </c>
      <c r="H75" s="14">
        <f>data!V61</f>
        <v>393215</v>
      </c>
      <c r="I75" s="14">
        <f>data!W61</f>
        <v>1004572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881194</v>
      </c>
      <c r="D76" s="14">
        <f>data!R62</f>
        <v>129259</v>
      </c>
      <c r="E76" s="14">
        <f>data!S62</f>
        <v>206523</v>
      </c>
      <c r="F76" s="14">
        <f>data!T62</f>
        <v>66193</v>
      </c>
      <c r="G76" s="14">
        <f>data!U62</f>
        <v>1200249</v>
      </c>
      <c r="H76" s="14">
        <f>data!V62</f>
        <v>93730</v>
      </c>
      <c r="I76" s="14">
        <f>data!W62</f>
        <v>239460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-25000</v>
      </c>
      <c r="E77" s="14">
        <f>data!S63</f>
        <v>0</v>
      </c>
      <c r="F77" s="14">
        <f>data!T63</f>
        <v>0</v>
      </c>
      <c r="G77" s="14">
        <f>data!U63</f>
        <v>537894</v>
      </c>
      <c r="H77" s="14">
        <f>data!V63</f>
        <v>173496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435652</v>
      </c>
      <c r="D78" s="14">
        <f>data!R64</f>
        <v>578356</v>
      </c>
      <c r="E78" s="14">
        <f>data!S64</f>
        <v>340037</v>
      </c>
      <c r="F78" s="14">
        <f>data!T64</f>
        <v>157971</v>
      </c>
      <c r="G78" s="14">
        <f>data!U64</f>
        <v>2331274</v>
      </c>
      <c r="H78" s="14">
        <f>data!V64</f>
        <v>13501</v>
      </c>
      <c r="I78" s="14">
        <f>data!W64</f>
        <v>197312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1022</v>
      </c>
      <c r="F79" s="14">
        <f>data!T65</f>
        <v>1823</v>
      </c>
      <c r="G79" s="14">
        <f>data!U65</f>
        <v>8394</v>
      </c>
      <c r="H79" s="14">
        <f>data!V65</f>
        <v>19127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123745</v>
      </c>
      <c r="D80" s="14">
        <f>data!R66</f>
        <v>32313</v>
      </c>
      <c r="E80" s="14">
        <f>data!S66</f>
        <v>331714</v>
      </c>
      <c r="F80" s="14">
        <f>data!T66</f>
        <v>56245</v>
      </c>
      <c r="G80" s="14">
        <f>data!U66</f>
        <v>4766696</v>
      </c>
      <c r="H80" s="14">
        <f>data!V66</f>
        <v>1492</v>
      </c>
      <c r="I80" s="14">
        <f>data!W66</f>
        <v>311608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25273</v>
      </c>
      <c r="D81" s="14">
        <f>data!R67</f>
        <v>61751</v>
      </c>
      <c r="E81" s="14">
        <f>data!S67</f>
        <v>80271</v>
      </c>
      <c r="F81" s="14">
        <f>data!T67</f>
        <v>72267</v>
      </c>
      <c r="G81" s="14">
        <f>data!U67</f>
        <v>139256</v>
      </c>
      <c r="H81" s="14">
        <f>data!V67</f>
        <v>24056</v>
      </c>
      <c r="I81" s="14">
        <f>data!W67</f>
        <v>85994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86809</v>
      </c>
      <c r="D82" s="14">
        <f>data!R68</f>
        <v>88199</v>
      </c>
      <c r="E82" s="14">
        <f>data!S68</f>
        <v>552010</v>
      </c>
      <c r="F82" s="14">
        <f>data!T68</f>
        <v>0</v>
      </c>
      <c r="G82" s="14">
        <f>data!U68</f>
        <v>48958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460</v>
      </c>
      <c r="D83" s="14">
        <f>data!R69</f>
        <v>2187</v>
      </c>
      <c r="E83" s="14">
        <f>data!S69</f>
        <v>0</v>
      </c>
      <c r="F83" s="14">
        <f>data!T69</f>
        <v>0</v>
      </c>
      <c r="G83" s="14">
        <f>data!U69</f>
        <v>1183</v>
      </c>
      <c r="H83" s="14">
        <f>data!V69</f>
        <v>0</v>
      </c>
      <c r="I83" s="14">
        <f>data!W69</f>
        <v>950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-2910</v>
      </c>
      <c r="F84" s="14">
        <f>-data!T70</f>
        <v>0</v>
      </c>
      <c r="G84" s="14">
        <f>-data!U70</f>
        <v>-85469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5198964</v>
      </c>
      <c r="D85" s="14">
        <f>data!R71</f>
        <v>1409325</v>
      </c>
      <c r="E85" s="14">
        <f>data!S71</f>
        <v>2445410</v>
      </c>
      <c r="F85" s="14">
        <f>data!T71</f>
        <v>692072</v>
      </c>
      <c r="G85" s="14">
        <f>data!U71</f>
        <v>14183101</v>
      </c>
      <c r="H85" s="14">
        <f>data!V71</f>
        <v>718617</v>
      </c>
      <c r="I85" s="14">
        <f>data!W71</f>
        <v>1839896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2350330</v>
      </c>
      <c r="D87" s="48">
        <f>+data!M683</f>
        <v>1216533</v>
      </c>
      <c r="E87" s="48">
        <f>+data!M684</f>
        <v>500669</v>
      </c>
      <c r="F87" s="48">
        <f>+data!M685</f>
        <v>186828</v>
      </c>
      <c r="G87" s="48">
        <f>+data!M686</f>
        <v>5352938</v>
      </c>
      <c r="H87" s="48">
        <f>+data!M687</f>
        <v>405689</v>
      </c>
      <c r="I87" s="48">
        <f>+data!M688</f>
        <v>1647013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7185410</v>
      </c>
      <c r="D88" s="14">
        <f>data!R73</f>
        <v>12994903</v>
      </c>
      <c r="E88" s="14">
        <f>data!S73</f>
        <v>2171298</v>
      </c>
      <c r="F88" s="14">
        <f>data!T73</f>
        <v>1542960</v>
      </c>
      <c r="G88" s="14">
        <f>data!U73</f>
        <v>32855519</v>
      </c>
      <c r="H88" s="14">
        <f>data!V73</f>
        <v>3388496</v>
      </c>
      <c r="I88" s="14">
        <f>data!W73</f>
        <v>8177973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19645100</v>
      </c>
      <c r="D89" s="14">
        <f>data!R74</f>
        <v>20346354</v>
      </c>
      <c r="E89" s="14">
        <f>data!S74</f>
        <v>54509</v>
      </c>
      <c r="F89" s="14">
        <f>data!T74</f>
        <v>221791</v>
      </c>
      <c r="G89" s="14">
        <f>data!U74</f>
        <v>42867792</v>
      </c>
      <c r="H89" s="14">
        <f>data!V74</f>
        <v>5248099</v>
      </c>
      <c r="I89" s="14">
        <f>data!W74</f>
        <v>29479887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26830510</v>
      </c>
      <c r="D90" s="14">
        <f>data!R75</f>
        <v>33341257</v>
      </c>
      <c r="E90" s="14">
        <f>data!S75</f>
        <v>2225807</v>
      </c>
      <c r="F90" s="14">
        <f>data!T75</f>
        <v>1764751</v>
      </c>
      <c r="G90" s="14">
        <f>data!U75</f>
        <v>75723311</v>
      </c>
      <c r="H90" s="14">
        <f>data!V75</f>
        <v>8636595</v>
      </c>
      <c r="I90" s="14">
        <f>data!W75</f>
        <v>37657860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3494</v>
      </c>
      <c r="D92" s="14">
        <f>data!R76</f>
        <v>971</v>
      </c>
      <c r="E92" s="14">
        <f>data!S76</f>
        <v>0</v>
      </c>
      <c r="F92" s="14">
        <f>data!T76</f>
        <v>0</v>
      </c>
      <c r="G92" s="14">
        <f>data!U76</f>
        <v>11007</v>
      </c>
      <c r="H92" s="14">
        <f>data!V76</f>
        <v>523</v>
      </c>
      <c r="I92" s="14">
        <f>data!W76</f>
        <v>4528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1653</v>
      </c>
      <c r="D94" s="14">
        <f>data!R78</f>
        <v>459</v>
      </c>
      <c r="E94" s="14">
        <f>data!S78</f>
        <v>0</v>
      </c>
      <c r="F94" s="14">
        <f>data!T78</f>
        <v>0</v>
      </c>
      <c r="G94" s="14">
        <f>data!U78</f>
        <v>3544</v>
      </c>
      <c r="H94" s="14">
        <f>data!V78</f>
        <v>247</v>
      </c>
      <c r="I94" s="14">
        <f>data!W78</f>
        <v>867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78987</v>
      </c>
      <c r="D95" s="14">
        <f>data!R79</f>
        <v>0</v>
      </c>
      <c r="E95" s="14">
        <f>data!S79</f>
        <v>370731</v>
      </c>
      <c r="F95" s="14">
        <f>data!T79</f>
        <v>0</v>
      </c>
      <c r="G95" s="14">
        <f>data!U79</f>
        <v>7315</v>
      </c>
      <c r="H95" s="14">
        <f>data!V79</f>
        <v>0</v>
      </c>
      <c r="I95" s="14">
        <f>data!W79</f>
        <v>9387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31.21</v>
      </c>
      <c r="D96" s="84">
        <f>data!R80</f>
        <v>0</v>
      </c>
      <c r="E96" s="84">
        <f>data!S80</f>
        <v>0</v>
      </c>
      <c r="F96" s="84">
        <f>data!T80</f>
        <v>2.14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UW Medicine /Northwest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21395</v>
      </c>
      <c r="D105" s="14">
        <f>data!Y59</f>
        <v>68807</v>
      </c>
      <c r="E105" s="14">
        <f>data!Z59</f>
        <v>0</v>
      </c>
      <c r="F105" s="14">
        <f>data!AA59</f>
        <v>886</v>
      </c>
      <c r="G105" s="212"/>
      <c r="H105" s="14">
        <f>data!AC59</f>
        <v>28185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10.96</v>
      </c>
      <c r="D106" s="26">
        <f>data!Y60</f>
        <v>70.13</v>
      </c>
      <c r="E106" s="26">
        <f>data!Z60</f>
        <v>0</v>
      </c>
      <c r="F106" s="26">
        <f>data!AA60</f>
        <v>2.29</v>
      </c>
      <c r="G106" s="26">
        <f>data!AB60</f>
        <v>35.549999999999997</v>
      </c>
      <c r="H106" s="26">
        <f>data!AC60</f>
        <v>16.739999999999998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1016283</v>
      </c>
      <c r="D107" s="14">
        <f>data!Y61</f>
        <v>6121407</v>
      </c>
      <c r="E107" s="14">
        <f>data!Z61</f>
        <v>0</v>
      </c>
      <c r="F107" s="14">
        <f>data!AA61</f>
        <v>216994</v>
      </c>
      <c r="G107" s="14">
        <f>data!AB61</f>
        <v>3508241</v>
      </c>
      <c r="H107" s="14">
        <f>data!AC61</f>
        <v>1383059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242251</v>
      </c>
      <c r="D108" s="14">
        <f>data!Y62</f>
        <v>1399384</v>
      </c>
      <c r="E108" s="14">
        <f>data!Z62</f>
        <v>0</v>
      </c>
      <c r="F108" s="14">
        <f>data!AA62</f>
        <v>51725</v>
      </c>
      <c r="G108" s="14">
        <f>data!AB62</f>
        <v>836260</v>
      </c>
      <c r="H108" s="14">
        <f>data!AC62</f>
        <v>320530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229690</v>
      </c>
      <c r="D110" s="14">
        <f>data!Y64</f>
        <v>2999727</v>
      </c>
      <c r="E110" s="14">
        <f>data!Z64</f>
        <v>507</v>
      </c>
      <c r="F110" s="14">
        <f>data!AA64</f>
        <v>145932</v>
      </c>
      <c r="G110" s="14">
        <f>data!AB64</f>
        <v>10384536</v>
      </c>
      <c r="H110" s="14">
        <f>data!AC64</f>
        <v>288480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2380</v>
      </c>
      <c r="F111" s="14">
        <f>data!AA65</f>
        <v>0</v>
      </c>
      <c r="G111" s="14">
        <f>data!AB65</f>
        <v>0</v>
      </c>
      <c r="H111" s="14">
        <f>data!AC65</f>
        <v>4280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392201</v>
      </c>
      <c r="D112" s="14">
        <f>data!Y66</f>
        <v>2392914</v>
      </c>
      <c r="E112" s="14">
        <f>data!Z66</f>
        <v>38414</v>
      </c>
      <c r="F112" s="14">
        <f>data!AA66</f>
        <v>48176</v>
      </c>
      <c r="G112" s="14">
        <f>data!AB66</f>
        <v>683732</v>
      </c>
      <c r="H112" s="14">
        <f>data!AC66</f>
        <v>8459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151820</v>
      </c>
      <c r="D113" s="14">
        <f>data!Y67</f>
        <v>1124425</v>
      </c>
      <c r="E113" s="14">
        <f>data!Z67</f>
        <v>291669</v>
      </c>
      <c r="F113" s="14">
        <f>data!AA67</f>
        <v>0</v>
      </c>
      <c r="G113" s="14">
        <f>data!AB67</f>
        <v>118636</v>
      </c>
      <c r="H113" s="14">
        <f>data!AC67</f>
        <v>51464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255858</v>
      </c>
      <c r="E114" s="14">
        <f>data!Z68</f>
        <v>34125</v>
      </c>
      <c r="F114" s="14">
        <f>data!AA68</f>
        <v>0</v>
      </c>
      <c r="G114" s="14">
        <f>data!AB68</f>
        <v>621499</v>
      </c>
      <c r="H114" s="14">
        <f>data!AC68</f>
        <v>94170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67</v>
      </c>
      <c r="D115" s="14">
        <f>data!Y69</f>
        <v>17975</v>
      </c>
      <c r="E115" s="14">
        <f>data!Z69</f>
        <v>0</v>
      </c>
      <c r="F115" s="14">
        <f>data!AA69</f>
        <v>0</v>
      </c>
      <c r="G115" s="14">
        <f>data!AB69</f>
        <v>3327</v>
      </c>
      <c r="H115" s="14">
        <f>data!AC69</f>
        <v>1427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-68796</v>
      </c>
      <c r="E116" s="14">
        <f>-data!Z70</f>
        <v>-777581</v>
      </c>
      <c r="F116" s="14">
        <f>-data!AA70</f>
        <v>0</v>
      </c>
      <c r="G116" s="14">
        <f>-data!AB70</f>
        <v>-74275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2032312</v>
      </c>
      <c r="D117" s="14">
        <f>data!Y71</f>
        <v>14242894</v>
      </c>
      <c r="E117" s="14">
        <f>data!Z71</f>
        <v>-410486</v>
      </c>
      <c r="F117" s="14">
        <f>data!AA71</f>
        <v>462827</v>
      </c>
      <c r="G117" s="14">
        <f>data!AB71</f>
        <v>16081956</v>
      </c>
      <c r="H117" s="14">
        <f>data!AC71</f>
        <v>2151869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2384403</v>
      </c>
      <c r="D119" s="48">
        <f>+data!M690</f>
        <v>7678769</v>
      </c>
      <c r="E119" s="48">
        <f>+data!M691</f>
        <v>-56181</v>
      </c>
      <c r="F119" s="48">
        <f>+data!M692</f>
        <v>207334</v>
      </c>
      <c r="G119" s="48">
        <f>+data!M693</f>
        <v>5178437</v>
      </c>
      <c r="H119" s="48">
        <f>+data!M694</f>
        <v>802888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25597019</v>
      </c>
      <c r="D120" s="14">
        <f>data!Y73</f>
        <v>30986231</v>
      </c>
      <c r="E120" s="14">
        <f>data!Z73</f>
        <v>38438</v>
      </c>
      <c r="F120" s="14">
        <f>data!AA73</f>
        <v>326471</v>
      </c>
      <c r="G120" s="14">
        <f>data!AB73</f>
        <v>47173187</v>
      </c>
      <c r="H120" s="14">
        <f>data!AC73</f>
        <v>10264739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47560954</v>
      </c>
      <c r="D121" s="14">
        <f>data!Y74</f>
        <v>72116786</v>
      </c>
      <c r="E121" s="14">
        <f>data!Z74</f>
        <v>0</v>
      </c>
      <c r="F121" s="14">
        <f>data!AA74</f>
        <v>1520362</v>
      </c>
      <c r="G121" s="14">
        <f>data!AB74</f>
        <v>35218833</v>
      </c>
      <c r="H121" s="14">
        <f>data!AC74</f>
        <v>1767853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73157973</v>
      </c>
      <c r="D122" s="14">
        <f>data!Y75</f>
        <v>103103017</v>
      </c>
      <c r="E122" s="14">
        <f>data!Z75</f>
        <v>38438</v>
      </c>
      <c r="F122" s="14">
        <f>data!AA75</f>
        <v>1846833</v>
      </c>
      <c r="G122" s="14">
        <f>data!AB75</f>
        <v>82392020</v>
      </c>
      <c r="H122" s="14">
        <f>data!AC75</f>
        <v>12032592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1417</v>
      </c>
      <c r="D124" s="14">
        <f>data!Y76</f>
        <v>31417</v>
      </c>
      <c r="E124" s="14">
        <f>data!Z76</f>
        <v>0</v>
      </c>
      <c r="F124" s="14">
        <f>data!AA76</f>
        <v>859</v>
      </c>
      <c r="G124" s="14">
        <f>data!AB76</f>
        <v>2571</v>
      </c>
      <c r="H124" s="14">
        <f>data!AC76</f>
        <v>1098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671</v>
      </c>
      <c r="D126" s="14">
        <f>data!Y78</f>
        <v>6601</v>
      </c>
      <c r="E126" s="14">
        <f>data!Z78</f>
        <v>0</v>
      </c>
      <c r="F126" s="14">
        <f>data!AA78</f>
        <v>406</v>
      </c>
      <c r="G126" s="14">
        <f>data!AB78</f>
        <v>1217</v>
      </c>
      <c r="H126" s="14">
        <f>data!AC78</f>
        <v>520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180220</v>
      </c>
      <c r="E127" s="14">
        <f>data!Z79</f>
        <v>0</v>
      </c>
      <c r="F127" s="14">
        <f>data!AA79</f>
        <v>0</v>
      </c>
      <c r="G127" s="14">
        <f>data!AB79</f>
        <v>11550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0.01</v>
      </c>
      <c r="D128" s="26">
        <f>data!Y80</f>
        <v>5.96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UW Medicine /Northwest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68888</v>
      </c>
      <c r="D137" s="14">
        <f>data!AF59</f>
        <v>0</v>
      </c>
      <c r="E137" s="14">
        <f>data!AG59</f>
        <v>32587</v>
      </c>
      <c r="F137" s="14">
        <f>data!AH59</f>
        <v>0</v>
      </c>
      <c r="G137" s="14">
        <f>data!AI59</f>
        <v>0</v>
      </c>
      <c r="H137" s="14">
        <f>data!AJ59</f>
        <v>134329</v>
      </c>
      <c r="I137" s="14">
        <f>data!AK59</f>
        <v>42670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30.76</v>
      </c>
      <c r="D138" s="26">
        <f>data!AF60</f>
        <v>0</v>
      </c>
      <c r="E138" s="26">
        <f>data!AG60</f>
        <v>69.77</v>
      </c>
      <c r="F138" s="26">
        <f>data!AH60</f>
        <v>0</v>
      </c>
      <c r="G138" s="26">
        <f>data!AI60</f>
        <v>0</v>
      </c>
      <c r="H138" s="26">
        <f>data!AJ60</f>
        <v>420.05</v>
      </c>
      <c r="I138" s="26">
        <f>data!AK60</f>
        <v>12.62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3165054</v>
      </c>
      <c r="D139" s="14">
        <f>data!AF61</f>
        <v>0</v>
      </c>
      <c r="E139" s="14">
        <f>data!AG61</f>
        <v>5064137</v>
      </c>
      <c r="F139" s="14">
        <f>data!AH61</f>
        <v>0</v>
      </c>
      <c r="G139" s="14">
        <f>data!AI61</f>
        <v>0</v>
      </c>
      <c r="H139" s="14">
        <f>data!AJ61</f>
        <v>48637446</v>
      </c>
      <c r="I139" s="14">
        <f>data!AK61</f>
        <v>1287873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656222</v>
      </c>
      <c r="D140" s="14">
        <f>data!AF62</f>
        <v>0</v>
      </c>
      <c r="E140" s="14">
        <f>data!AG62</f>
        <v>1319683</v>
      </c>
      <c r="F140" s="14">
        <f>data!AH62</f>
        <v>0</v>
      </c>
      <c r="G140" s="14">
        <f>data!AI62</f>
        <v>0</v>
      </c>
      <c r="H140" s="14">
        <f>data!AJ62</f>
        <v>11528813</v>
      </c>
      <c r="I140" s="14">
        <f>data!AK62</f>
        <v>285385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75000</v>
      </c>
      <c r="F141" s="14">
        <f>data!AH63</f>
        <v>0</v>
      </c>
      <c r="G141" s="14">
        <f>data!AI63</f>
        <v>0</v>
      </c>
      <c r="H141" s="14">
        <f>data!AJ63</f>
        <v>13722900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24434</v>
      </c>
      <c r="D142" s="14">
        <f>data!AF64</f>
        <v>0</v>
      </c>
      <c r="E142" s="14">
        <f>data!AG64</f>
        <v>735546</v>
      </c>
      <c r="F142" s="14">
        <f>data!AH64</f>
        <v>0</v>
      </c>
      <c r="G142" s="14">
        <f>data!AI64</f>
        <v>0</v>
      </c>
      <c r="H142" s="14">
        <f>data!AJ64</f>
        <v>16033119</v>
      </c>
      <c r="I142" s="14">
        <f>data!AK64</f>
        <v>36024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3171</v>
      </c>
      <c r="F143" s="14">
        <f>data!AH65</f>
        <v>0</v>
      </c>
      <c r="G143" s="14">
        <f>data!AI65</f>
        <v>0</v>
      </c>
      <c r="H143" s="14">
        <f>data!AJ65</f>
        <v>204433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33003</v>
      </c>
      <c r="D144" s="14">
        <f>data!AF66</f>
        <v>0</v>
      </c>
      <c r="E144" s="14">
        <f>data!AG66</f>
        <v>170318</v>
      </c>
      <c r="F144" s="14">
        <f>data!AH66</f>
        <v>0</v>
      </c>
      <c r="G144" s="14">
        <f>data!AI66</f>
        <v>0</v>
      </c>
      <c r="H144" s="14">
        <f>data!AJ66</f>
        <v>9190693</v>
      </c>
      <c r="I144" s="14">
        <f>data!AK66</f>
        <v>8981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22565</v>
      </c>
      <c r="D145" s="14">
        <f>data!AF67</f>
        <v>0</v>
      </c>
      <c r="E145" s="14">
        <f>data!AG67</f>
        <v>152329</v>
      </c>
      <c r="F145" s="14">
        <f>data!AH67</f>
        <v>0</v>
      </c>
      <c r="G145" s="14">
        <f>data!AI67</f>
        <v>0</v>
      </c>
      <c r="H145" s="14">
        <f>data!AJ67</f>
        <v>1525597</v>
      </c>
      <c r="I145" s="14">
        <f>data!AK67</f>
        <v>444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139367</v>
      </c>
      <c r="F146" s="14">
        <f>data!AH68</f>
        <v>0</v>
      </c>
      <c r="G146" s="14">
        <f>data!AI68</f>
        <v>0</v>
      </c>
      <c r="H146" s="14">
        <f>data!AJ68</f>
        <v>3970808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105</v>
      </c>
      <c r="D147" s="14">
        <f>data!AF69</f>
        <v>0</v>
      </c>
      <c r="E147" s="14">
        <f>data!AG69</f>
        <v>9220</v>
      </c>
      <c r="F147" s="14">
        <f>data!AH69</f>
        <v>0</v>
      </c>
      <c r="G147" s="14">
        <f>data!AI69</f>
        <v>0</v>
      </c>
      <c r="H147" s="14">
        <f>data!AJ69</f>
        <v>648918</v>
      </c>
      <c r="I147" s="14">
        <f>data!AK69</f>
        <v>452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-25153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-4565827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3876230</v>
      </c>
      <c r="D149" s="14">
        <f>data!AF71</f>
        <v>0</v>
      </c>
      <c r="E149" s="14">
        <f>data!AG71</f>
        <v>7668771</v>
      </c>
      <c r="F149" s="14">
        <f>data!AH71</f>
        <v>0</v>
      </c>
      <c r="G149" s="14">
        <f>data!AI71</f>
        <v>0</v>
      </c>
      <c r="H149" s="14">
        <f>data!AJ71</f>
        <v>100896900</v>
      </c>
      <c r="I149" s="14">
        <f>data!AK71</f>
        <v>1619159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2159105</v>
      </c>
      <c r="D151" s="48">
        <f>+data!M697</f>
        <v>0</v>
      </c>
      <c r="E151" s="48">
        <f>+data!M698</f>
        <v>5858266</v>
      </c>
      <c r="F151" s="48">
        <f>+data!M699</f>
        <v>0</v>
      </c>
      <c r="G151" s="48">
        <f>+data!M700</f>
        <v>0</v>
      </c>
      <c r="H151" s="48">
        <f>+data!M701</f>
        <v>25348891</v>
      </c>
      <c r="I151" s="48">
        <f>+data!M702</f>
        <v>719259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3741111</v>
      </c>
      <c r="D152" s="14">
        <f>data!AF73</f>
        <v>0</v>
      </c>
      <c r="E152" s="14">
        <f>data!AG73</f>
        <v>33160571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2394467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3855492</v>
      </c>
      <c r="D153" s="14">
        <f>data!AF74</f>
        <v>0</v>
      </c>
      <c r="E153" s="14">
        <f>data!AG74</f>
        <v>74837529</v>
      </c>
      <c r="F153" s="14">
        <f>data!AH74</f>
        <v>0</v>
      </c>
      <c r="G153" s="14">
        <f>data!AI74</f>
        <v>0</v>
      </c>
      <c r="H153" s="14">
        <f>data!AJ74</f>
        <v>101773145</v>
      </c>
      <c r="I153" s="14">
        <f>data!AK74</f>
        <v>2920006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7596603</v>
      </c>
      <c r="D154" s="14">
        <f>data!AF75</f>
        <v>0</v>
      </c>
      <c r="E154" s="14">
        <f>data!AG75</f>
        <v>107998100</v>
      </c>
      <c r="F154" s="14">
        <f>data!AH75</f>
        <v>0</v>
      </c>
      <c r="G154" s="14">
        <f>data!AI75</f>
        <v>0</v>
      </c>
      <c r="H154" s="14">
        <f>data!AJ75</f>
        <v>101773145</v>
      </c>
      <c r="I154" s="14">
        <f>data!AK75</f>
        <v>5314473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17191</v>
      </c>
      <c r="D156" s="14">
        <f>data!AF76</f>
        <v>0</v>
      </c>
      <c r="E156" s="14">
        <f>data!AG76</f>
        <v>12046</v>
      </c>
      <c r="F156" s="14">
        <f>data!AH76</f>
        <v>0</v>
      </c>
      <c r="G156" s="14">
        <f>data!AI76</f>
        <v>0</v>
      </c>
      <c r="H156" s="14">
        <f>data!AJ76</f>
        <v>80290</v>
      </c>
      <c r="I156" s="14">
        <f>data!AK76</f>
        <v>3224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1965</v>
      </c>
      <c r="D158" s="14">
        <f>data!AF78</f>
        <v>0</v>
      </c>
      <c r="E158" s="14">
        <f>data!AG78</f>
        <v>5700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1526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20526</v>
      </c>
      <c r="D159" s="14">
        <f>data!AF79</f>
        <v>0</v>
      </c>
      <c r="E159" s="14">
        <f>data!AG79</f>
        <v>195844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38.04</v>
      </c>
      <c r="F160" s="26">
        <f>data!AH80</f>
        <v>0</v>
      </c>
      <c r="G160" s="26">
        <f>data!AI80</f>
        <v>0</v>
      </c>
      <c r="H160" s="26">
        <f>data!AJ80</f>
        <v>43.08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UW Medicine /Northwest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6418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4.24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387189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92294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3112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192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339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-4070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479056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246603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895407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682462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1577869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1299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615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UW Medicine /Northwest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207284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32.94</v>
      </c>
      <c r="G202" s="26">
        <f>data!AW60</f>
        <v>0</v>
      </c>
      <c r="H202" s="26">
        <f>data!AX60</f>
        <v>0</v>
      </c>
      <c r="I202" s="26">
        <f>data!AY60</f>
        <v>23.237973658269706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3195832</v>
      </c>
      <c r="G203" s="14">
        <f>data!AW61</f>
        <v>0</v>
      </c>
      <c r="H203" s="14">
        <f>data!AX61</f>
        <v>0</v>
      </c>
      <c r="I203" s="14">
        <f>data!AY61</f>
        <v>1112116.2061369077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657867</v>
      </c>
      <c r="G204" s="14">
        <f>data!AW62</f>
        <v>0</v>
      </c>
      <c r="H204" s="14">
        <f>data!AX62</f>
        <v>0</v>
      </c>
      <c r="I204" s="14">
        <f>data!AY62</f>
        <v>262048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9840</v>
      </c>
      <c r="G205" s="14">
        <f>data!AW63</f>
        <v>0</v>
      </c>
      <c r="H205" s="14">
        <f>data!AX63</f>
        <v>0</v>
      </c>
      <c r="I205" s="14">
        <f>data!AY63</f>
        <v>103.67504851870255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5293827</v>
      </c>
      <c r="G206" s="14">
        <f>data!AW64</f>
        <v>0</v>
      </c>
      <c r="H206" s="14">
        <f>data!AX64</f>
        <v>0</v>
      </c>
      <c r="I206" s="14">
        <f>data!AY64</f>
        <v>437390.60242828215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2799</v>
      </c>
      <c r="G207" s="14">
        <f>data!AW65</f>
        <v>0</v>
      </c>
      <c r="H207" s="14">
        <f>data!AX65</f>
        <v>0</v>
      </c>
      <c r="I207" s="14">
        <f>data!AY65</f>
        <v>303.97926847231236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2542183</v>
      </c>
      <c r="G208" s="14">
        <f>data!AW66</f>
        <v>0</v>
      </c>
      <c r="H208" s="14">
        <f>data!AX66</f>
        <v>0</v>
      </c>
      <c r="I208" s="14">
        <f>data!AY66</f>
        <v>31920.171815287395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1031376</v>
      </c>
      <c r="G209" s="14">
        <f>data!AW67</f>
        <v>0</v>
      </c>
      <c r="H209" s="14">
        <f>data!AX67</f>
        <v>0</v>
      </c>
      <c r="I209" s="14">
        <f>data!AY67</f>
        <v>33193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489048</v>
      </c>
      <c r="G210" s="14">
        <f>data!AW68</f>
        <v>0</v>
      </c>
      <c r="H210" s="14">
        <f>data!AX68</f>
        <v>0</v>
      </c>
      <c r="I210" s="14">
        <f>data!AY68</f>
        <v>980.71898647303419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1175</v>
      </c>
      <c r="G211" s="14">
        <f>data!AW69</f>
        <v>0</v>
      </c>
      <c r="H211" s="14">
        <f>data!AX69</f>
        <v>0</v>
      </c>
      <c r="I211" s="14">
        <f>data!AY69</f>
        <v>53148.728432849952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-691240.46855712903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13223947</v>
      </c>
      <c r="G213" s="14">
        <f>data!AW71</f>
        <v>0</v>
      </c>
      <c r="H213" s="14">
        <f>data!AX71</f>
        <v>0</v>
      </c>
      <c r="I213" s="14">
        <f>data!AY71</f>
        <v>1239964.6135596624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6733022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14342764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52646664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66989428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26450</v>
      </c>
      <c r="G220" s="14">
        <f>data!AW76</f>
        <v>0</v>
      </c>
      <c r="H220" s="14">
        <f>data!AX76</f>
        <v>0</v>
      </c>
      <c r="I220" s="85">
        <f>data!AY76</f>
        <v>4847.5634336511794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6566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109556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48.95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UW Medicine /Northwest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410519</v>
      </c>
      <c r="D233" s="14">
        <f>data!BA59</f>
        <v>0</v>
      </c>
      <c r="E233" s="212"/>
      <c r="F233" s="212"/>
      <c r="G233" s="212"/>
      <c r="H233" s="14">
        <f>data!BE59</f>
        <v>433631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46.022026341730296</v>
      </c>
      <c r="D234" s="26">
        <f>data!BA60</f>
        <v>1.08</v>
      </c>
      <c r="E234" s="26">
        <f>data!BB60</f>
        <v>0</v>
      </c>
      <c r="F234" s="26">
        <f>data!BC60</f>
        <v>0</v>
      </c>
      <c r="G234" s="26">
        <f>data!BD60</f>
        <v>21.58</v>
      </c>
      <c r="H234" s="26">
        <f>data!BE60</f>
        <v>48.48</v>
      </c>
      <c r="I234" s="26">
        <f>data!BF60</f>
        <v>59.23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2202508.7938630925</v>
      </c>
      <c r="D235" s="14">
        <f>data!BA61</f>
        <v>44052</v>
      </c>
      <c r="E235" s="14">
        <f>data!BB61</f>
        <v>0</v>
      </c>
      <c r="F235" s="14">
        <f>data!BC61</f>
        <v>0</v>
      </c>
      <c r="G235" s="14">
        <f>data!BD61</f>
        <v>1162989</v>
      </c>
      <c r="H235" s="14">
        <f>data!BE61</f>
        <v>3001450</v>
      </c>
      <c r="I235" s="14">
        <f>data!BF61</f>
        <v>2621337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518978</v>
      </c>
      <c r="D236" s="14">
        <f>data!BA62</f>
        <v>10501</v>
      </c>
      <c r="E236" s="14">
        <f>data!BB62</f>
        <v>0</v>
      </c>
      <c r="F236" s="14">
        <f>data!BC62</f>
        <v>0</v>
      </c>
      <c r="G236" s="14">
        <f>data!BD62</f>
        <v>277222</v>
      </c>
      <c r="H236" s="14">
        <f>data!BE62</f>
        <v>715456</v>
      </c>
      <c r="I236" s="14">
        <f>data!BF62</f>
        <v>588219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205.32495148129743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771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866237.39757171785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-669641</v>
      </c>
      <c r="H238" s="14">
        <f>data!BE64</f>
        <v>632745</v>
      </c>
      <c r="I238" s="14">
        <f>data!BF64</f>
        <v>278832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602.02073152768764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1775</v>
      </c>
      <c r="H239" s="14">
        <f>data!BE65</f>
        <v>1703649</v>
      </c>
      <c r="I239" s="14">
        <f>data!BF65</f>
        <v>364901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63216.828184712605</v>
      </c>
      <c r="D240" s="14">
        <f>data!BA66</f>
        <v>11360</v>
      </c>
      <c r="E240" s="14">
        <f>data!BB66</f>
        <v>0</v>
      </c>
      <c r="F240" s="14">
        <f>data!BC66</f>
        <v>0</v>
      </c>
      <c r="G240" s="14">
        <f>data!BD66</f>
        <v>476619</v>
      </c>
      <c r="H240" s="14">
        <f>data!BE66</f>
        <v>2286269</v>
      </c>
      <c r="I240" s="14">
        <f>data!BF66</f>
        <v>136694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65739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13094</v>
      </c>
      <c r="H241" s="14">
        <f>data!BE67</f>
        <v>2290402</v>
      </c>
      <c r="I241" s="14">
        <f>data!BF67</f>
        <v>5100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1942.2810135269658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510943</v>
      </c>
      <c r="H242" s="14">
        <f>data!BE68</f>
        <v>220260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105259.27156715005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68052</v>
      </c>
      <c r="H243" s="14">
        <f>data!BE69</f>
        <v>9275</v>
      </c>
      <c r="I243" s="14">
        <f>data!BF69</f>
        <v>235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-1368978.5314428709</v>
      </c>
      <c r="D244" s="14">
        <f>-data!BA70</f>
        <v>-965</v>
      </c>
      <c r="E244" s="14">
        <f>-data!BB70</f>
        <v>0</v>
      </c>
      <c r="F244" s="14">
        <f>-data!BC70</f>
        <v>0</v>
      </c>
      <c r="G244" s="14">
        <f>-data!BD70</f>
        <v>-5506</v>
      </c>
      <c r="H244" s="14">
        <f>-data!BE70</f>
        <v>-2359555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2455710.3864403381</v>
      </c>
      <c r="D245" s="14">
        <f>data!BA71</f>
        <v>64948</v>
      </c>
      <c r="E245" s="14">
        <f>data!BB71</f>
        <v>0</v>
      </c>
      <c r="F245" s="14">
        <f>data!BC71</f>
        <v>0</v>
      </c>
      <c r="G245" s="14">
        <f>data!BD71</f>
        <v>1835547</v>
      </c>
      <c r="H245" s="14">
        <f>data!BE71</f>
        <v>8499951</v>
      </c>
      <c r="I245" s="14">
        <f>data!BF71</f>
        <v>3996089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9600.4365663488206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4643</v>
      </c>
      <c r="H252" s="85">
        <f>data!BE76</f>
        <v>8217</v>
      </c>
      <c r="I252" s="85">
        <f>data!BF76</f>
        <v>4126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UW Medicine /Northwest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5.6</v>
      </c>
      <c r="E266" s="26">
        <f>data!BI60</f>
        <v>0</v>
      </c>
      <c r="F266" s="26">
        <f>data!BJ60</f>
        <v>11.43</v>
      </c>
      <c r="G266" s="26">
        <f>data!BK60</f>
        <v>25.49</v>
      </c>
      <c r="H266" s="26">
        <f>data!BL60</f>
        <v>77.95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779112</v>
      </c>
      <c r="E267" s="14">
        <f>data!BI61</f>
        <v>0</v>
      </c>
      <c r="F267" s="14">
        <f>data!BJ61</f>
        <v>825368</v>
      </c>
      <c r="G267" s="14">
        <f>data!BK61</f>
        <v>1295346</v>
      </c>
      <c r="H267" s="14">
        <f>data!BL61</f>
        <v>3868129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156837</v>
      </c>
      <c r="E268" s="14">
        <f>data!BI62</f>
        <v>0</v>
      </c>
      <c r="F268" s="14">
        <f>data!BJ62</f>
        <v>177070</v>
      </c>
      <c r="G268" s="14">
        <f>data!BK62</f>
        <v>308772</v>
      </c>
      <c r="H268" s="14">
        <f>data!BL62</f>
        <v>906701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206000</v>
      </c>
      <c r="G269" s="14">
        <f>data!BK63</f>
        <v>102396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28227</v>
      </c>
      <c r="E270" s="14">
        <f>data!BI64</f>
        <v>0</v>
      </c>
      <c r="F270" s="14">
        <f>data!BJ64</f>
        <v>69932</v>
      </c>
      <c r="G270" s="14">
        <f>data!BK64</f>
        <v>285565</v>
      </c>
      <c r="H270" s="14">
        <f>data!BL64</f>
        <v>85299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213087</v>
      </c>
      <c r="E271" s="14">
        <f>data!BI65</f>
        <v>0</v>
      </c>
      <c r="F271" s="14">
        <f>data!BJ65</f>
        <v>0</v>
      </c>
      <c r="G271" s="14">
        <f>data!BK65</f>
        <v>6759</v>
      </c>
      <c r="H271" s="14">
        <f>data!BL65</f>
        <v>1046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3221027</v>
      </c>
      <c r="E272" s="14">
        <f>data!BI66</f>
        <v>0</v>
      </c>
      <c r="F272" s="14">
        <f>data!BJ66</f>
        <v>43563</v>
      </c>
      <c r="G272" s="14">
        <f>data!BK66</f>
        <v>580579</v>
      </c>
      <c r="H272" s="14">
        <f>data!BL66</f>
        <v>76214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2112394</v>
      </c>
      <c r="E273" s="14">
        <f>data!BI67</f>
        <v>0</v>
      </c>
      <c r="F273" s="14">
        <f>data!BJ67</f>
        <v>0</v>
      </c>
      <c r="G273" s="14">
        <f>data!BK67</f>
        <v>1775</v>
      </c>
      <c r="H273" s="14">
        <f>data!BL67</f>
        <v>1510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320373</v>
      </c>
      <c r="E274" s="14">
        <f>data!BI68</f>
        <v>0</v>
      </c>
      <c r="F274" s="14">
        <f>data!BJ68</f>
        <v>0</v>
      </c>
      <c r="G274" s="14">
        <f>data!BK68</f>
        <v>517</v>
      </c>
      <c r="H274" s="14">
        <f>data!BL68</f>
        <v>102621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8384</v>
      </c>
      <c r="E275" s="14">
        <f>data!BI69</f>
        <v>0</v>
      </c>
      <c r="F275" s="14">
        <f>data!BJ69</f>
        <v>8731</v>
      </c>
      <c r="G275" s="14">
        <f>data!BK69</f>
        <v>2203</v>
      </c>
      <c r="H275" s="14">
        <f>data!BL69</f>
        <v>1319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1798</v>
      </c>
      <c r="E276" s="14">
        <f>-data!BI70</f>
        <v>0</v>
      </c>
      <c r="F276" s="14">
        <f>-data!BJ70</f>
        <v>-51200</v>
      </c>
      <c r="G276" s="14">
        <f>-data!BK70</f>
        <v>-54149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6841239</v>
      </c>
      <c r="E277" s="14">
        <f>data!BI71</f>
        <v>0</v>
      </c>
      <c r="F277" s="14">
        <f>data!BJ71</f>
        <v>1279464</v>
      </c>
      <c r="G277" s="14">
        <f>data!BK71</f>
        <v>2529763</v>
      </c>
      <c r="H277" s="14">
        <f>data!BL71</f>
        <v>5042839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15291</v>
      </c>
      <c r="E284" s="85">
        <f>data!BI76</f>
        <v>0</v>
      </c>
      <c r="F284" s="85">
        <f>data!BJ76</f>
        <v>0</v>
      </c>
      <c r="G284" s="85">
        <f>data!BK76</f>
        <v>5123</v>
      </c>
      <c r="H284" s="85">
        <f>data!BL76</f>
        <v>9038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1759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1847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UW Medicine /Northwest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7.78</v>
      </c>
      <c r="D298" s="26">
        <f>data!BO60</f>
        <v>2.25</v>
      </c>
      <c r="E298" s="26">
        <f>data!BP60</f>
        <v>0</v>
      </c>
      <c r="F298" s="26">
        <f>data!BQ60</f>
        <v>0</v>
      </c>
      <c r="G298" s="26">
        <f>data!BR60</f>
        <v>18.440000000000001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1735348</v>
      </c>
      <c r="D299" s="14">
        <f>data!BO61</f>
        <v>273154</v>
      </c>
      <c r="E299" s="14">
        <f>data!BP61</f>
        <v>2531856</v>
      </c>
      <c r="F299" s="14">
        <f>data!BQ61</f>
        <v>0</v>
      </c>
      <c r="G299" s="14">
        <f>data!BR61</f>
        <v>1590325</v>
      </c>
      <c r="H299" s="14">
        <f>data!BS61</f>
        <v>66911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411584</v>
      </c>
      <c r="D300" s="14">
        <f>data!BO62</f>
        <v>65112</v>
      </c>
      <c r="E300" s="14">
        <f>data!BP62</f>
        <v>526015</v>
      </c>
      <c r="F300" s="14">
        <f>data!BQ62</f>
        <v>0</v>
      </c>
      <c r="G300" s="14">
        <f>data!BR62</f>
        <v>1270822</v>
      </c>
      <c r="H300" s="14">
        <f>data!BS62</f>
        <v>15950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750839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14037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60836</v>
      </c>
      <c r="D302" s="14">
        <f>data!BO64</f>
        <v>74159</v>
      </c>
      <c r="E302" s="14">
        <f>data!BP64</f>
        <v>5</v>
      </c>
      <c r="F302" s="14">
        <f>data!BQ64</f>
        <v>0</v>
      </c>
      <c r="G302" s="14">
        <f>data!BR64</f>
        <v>13243</v>
      </c>
      <c r="H302" s="14">
        <f>data!BS64</f>
        <v>2154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4490</v>
      </c>
      <c r="D303" s="14">
        <f>data!BO65</f>
        <v>0</v>
      </c>
      <c r="E303" s="14">
        <f>data!BP65</f>
        <v>1532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38570617</v>
      </c>
      <c r="D304" s="14">
        <f>data!BO66</f>
        <v>43285</v>
      </c>
      <c r="E304" s="14">
        <f>data!BP66</f>
        <v>70680</v>
      </c>
      <c r="F304" s="14">
        <f>data!BQ66</f>
        <v>0</v>
      </c>
      <c r="G304" s="14">
        <f>data!BR66</f>
        <v>370877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21899</v>
      </c>
      <c r="D305" s="14">
        <f>data!BO67</f>
        <v>0</v>
      </c>
      <c r="E305" s="14">
        <f>data!BP67</f>
        <v>110894</v>
      </c>
      <c r="F305" s="14">
        <f>data!BQ67</f>
        <v>0</v>
      </c>
      <c r="G305" s="14">
        <f>data!BR67</f>
        <v>0</v>
      </c>
      <c r="H305" s="14">
        <f>data!BS67</f>
        <v>225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527700</v>
      </c>
      <c r="D307" s="14">
        <f>data!BO69</f>
        <v>376</v>
      </c>
      <c r="E307" s="14">
        <f>data!BP69</f>
        <v>377</v>
      </c>
      <c r="F307" s="14">
        <f>data!BQ69</f>
        <v>0</v>
      </c>
      <c r="G307" s="14">
        <f>data!BR69</f>
        <v>0</v>
      </c>
      <c r="H307" s="14">
        <f>data!BS69</f>
        <v>279629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-1016844</v>
      </c>
      <c r="D308" s="14">
        <f>-data!BO70</f>
        <v>0</v>
      </c>
      <c r="E308" s="14">
        <f>-data!BP70</f>
        <v>-28748</v>
      </c>
      <c r="F308" s="14">
        <f>-data!BQ70</f>
        <v>0</v>
      </c>
      <c r="G308" s="14">
        <f>-data!BR70</f>
        <v>-78885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41066469</v>
      </c>
      <c r="D309" s="14">
        <f>data!BO71</f>
        <v>456086</v>
      </c>
      <c r="E309" s="14">
        <f>data!BP71</f>
        <v>3212611</v>
      </c>
      <c r="F309" s="14">
        <f>data!BQ71</f>
        <v>0</v>
      </c>
      <c r="G309" s="14">
        <f>data!BR71</f>
        <v>3180419</v>
      </c>
      <c r="H309" s="14">
        <f>data!BS71</f>
        <v>364869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1475</v>
      </c>
      <c r="D316" s="85">
        <f>data!BO76</f>
        <v>0</v>
      </c>
      <c r="E316" s="85">
        <f>data!BP76</f>
        <v>2679</v>
      </c>
      <c r="F316" s="85">
        <f>data!BQ76</f>
        <v>0</v>
      </c>
      <c r="G316" s="85">
        <f>data!BR76</f>
        <v>3756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UW Medicine /Northwest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34.89</v>
      </c>
      <c r="E330" s="26">
        <f>data!BW60</f>
        <v>5.0199999999999996</v>
      </c>
      <c r="F330" s="26">
        <f>data!BX60</f>
        <v>39.71</v>
      </c>
      <c r="G330" s="26">
        <f>data!BY60</f>
        <v>15.48</v>
      </c>
      <c r="H330" s="26">
        <f>data!BZ60</f>
        <v>0</v>
      </c>
      <c r="I330" s="26">
        <f>data!CA60</f>
        <v>30.29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2337372</v>
      </c>
      <c r="E331" s="86">
        <f>data!BW61</f>
        <v>538270</v>
      </c>
      <c r="F331" s="86">
        <f>data!BX61</f>
        <v>3831039</v>
      </c>
      <c r="G331" s="86">
        <f>data!BY61</f>
        <v>1472019</v>
      </c>
      <c r="H331" s="86">
        <f>data!BZ61</f>
        <v>0</v>
      </c>
      <c r="I331" s="86">
        <f>data!CA61</f>
        <v>917669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491096</v>
      </c>
      <c r="E332" s="86">
        <f>data!BW62</f>
        <v>143974</v>
      </c>
      <c r="F332" s="86">
        <f>data!BX62</f>
        <v>847259</v>
      </c>
      <c r="G332" s="86">
        <f>data!BY62</f>
        <v>315447</v>
      </c>
      <c r="H332" s="86">
        <f>data!BZ62</f>
        <v>0</v>
      </c>
      <c r="I332" s="86">
        <f>data!CA62</f>
        <v>218745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47102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12300</v>
      </c>
      <c r="E334" s="86">
        <f>data!BW64</f>
        <v>16483</v>
      </c>
      <c r="F334" s="86">
        <f>data!BX64</f>
        <v>25266</v>
      </c>
      <c r="G334" s="86">
        <f>data!BY64</f>
        <v>10034</v>
      </c>
      <c r="H334" s="86">
        <f>data!BZ64</f>
        <v>0</v>
      </c>
      <c r="I334" s="86">
        <f>data!CA64</f>
        <v>38873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3042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817604</v>
      </c>
      <c r="E336" s="86">
        <f>data!BW66</f>
        <v>210118</v>
      </c>
      <c r="F336" s="86">
        <f>data!BX66</f>
        <v>890590</v>
      </c>
      <c r="G336" s="86">
        <f>data!BY66</f>
        <v>58013</v>
      </c>
      <c r="H336" s="86">
        <f>data!BZ66</f>
        <v>0</v>
      </c>
      <c r="I336" s="86">
        <f>data!CA66</f>
        <v>2939353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8954</v>
      </c>
      <c r="E337" s="86">
        <f>data!BW67</f>
        <v>0</v>
      </c>
      <c r="F337" s="86">
        <f>data!BX67</f>
        <v>0</v>
      </c>
      <c r="G337" s="86">
        <f>data!BY67</f>
        <v>235813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9432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4154</v>
      </c>
      <c r="E339" s="86">
        <f>data!BW69</f>
        <v>36471</v>
      </c>
      <c r="F339" s="86">
        <f>data!BX69</f>
        <v>8917</v>
      </c>
      <c r="G339" s="86">
        <f>data!BY69</f>
        <v>17636</v>
      </c>
      <c r="H339" s="86">
        <f>data!BZ69</f>
        <v>0</v>
      </c>
      <c r="I339" s="86">
        <f>data!CA69</f>
        <v>16992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-1039</v>
      </c>
      <c r="E340" s="14">
        <f>-data!BW70</f>
        <v>-58205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-770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3679873</v>
      </c>
      <c r="E341" s="14">
        <f>data!BW71</f>
        <v>934213</v>
      </c>
      <c r="F341" s="14">
        <f>data!BX71</f>
        <v>5603071</v>
      </c>
      <c r="G341" s="14">
        <f>data!BY71</f>
        <v>2112004</v>
      </c>
      <c r="H341" s="14">
        <f>data!BZ71</f>
        <v>0</v>
      </c>
      <c r="I341" s="14">
        <f>data!CA71</f>
        <v>4130862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5499</v>
      </c>
      <c r="E348" s="85">
        <f>data!BW76</f>
        <v>2275</v>
      </c>
      <c r="F348" s="85">
        <f>data!BX76</f>
        <v>3871</v>
      </c>
      <c r="G348" s="85">
        <f>data!BY76</f>
        <v>984</v>
      </c>
      <c r="H348" s="85">
        <f>data!BZ76</f>
        <v>0</v>
      </c>
      <c r="I348" s="85">
        <f>data!CA76</f>
        <v>5894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2602</v>
      </c>
      <c r="E350" s="85">
        <f>data!BW78</f>
        <v>1077</v>
      </c>
      <c r="F350" s="85">
        <f>data!BX78</f>
        <v>1198</v>
      </c>
      <c r="G350" s="85">
        <f>data!BY78</f>
        <v>466</v>
      </c>
      <c r="H350" s="85">
        <f>data!BZ78</f>
        <v>0</v>
      </c>
      <c r="I350" s="85">
        <f>data!CA78</f>
        <v>2789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UW Medicine /Northwest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27.42</v>
      </c>
      <c r="E362" s="217"/>
      <c r="F362" s="211"/>
      <c r="G362" s="211"/>
      <c r="H362" s="211"/>
      <c r="I362" s="87">
        <f>data!CE60</f>
        <v>1915.7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1669870</v>
      </c>
      <c r="E363" s="218"/>
      <c r="F363" s="219"/>
      <c r="G363" s="219"/>
      <c r="H363" s="219"/>
      <c r="I363" s="86">
        <f>data!CE61</f>
        <v>167942410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-1478899</v>
      </c>
      <c r="E364" s="218"/>
      <c r="F364" s="219"/>
      <c r="G364" s="219"/>
      <c r="H364" s="219"/>
      <c r="I364" s="86">
        <f>data!CE62</f>
        <v>37817169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16124263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526911</v>
      </c>
      <c r="E366" s="218"/>
      <c r="F366" s="219"/>
      <c r="G366" s="219"/>
      <c r="H366" s="219"/>
      <c r="I366" s="86">
        <f>data!CE64</f>
        <v>65857521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897159</v>
      </c>
      <c r="E367" s="218"/>
      <c r="F367" s="219"/>
      <c r="G367" s="219"/>
      <c r="H367" s="219"/>
      <c r="I367" s="86">
        <f>data!CE65</f>
        <v>3459681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2844881</v>
      </c>
      <c r="E368" s="218"/>
      <c r="F368" s="219"/>
      <c r="G368" s="219"/>
      <c r="H368" s="219"/>
      <c r="I368" s="86">
        <f>data!CE66</f>
        <v>77635460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2464215</v>
      </c>
      <c r="E369" s="218"/>
      <c r="F369" s="219"/>
      <c r="G369" s="219"/>
      <c r="H369" s="219"/>
      <c r="I369" s="86">
        <f>data!CE67</f>
        <v>15282661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1247025</v>
      </c>
      <c r="E370" s="218"/>
      <c r="F370" s="219"/>
      <c r="G370" s="219"/>
      <c r="H370" s="219"/>
      <c r="I370" s="86">
        <f>data!CE68</f>
        <v>9812081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17678</v>
      </c>
      <c r="E371" s="86">
        <f>data!CD69</f>
        <v>17173929</v>
      </c>
      <c r="F371" s="219"/>
      <c r="G371" s="219"/>
      <c r="H371" s="219"/>
      <c r="I371" s="86">
        <f>data!CE69</f>
        <v>19054009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-5664917</v>
      </c>
      <c r="E372" s="229">
        <f>data!CD70</f>
        <v>0</v>
      </c>
      <c r="F372" s="220"/>
      <c r="G372" s="220"/>
      <c r="H372" s="220"/>
      <c r="I372" s="14">
        <f>-data!CE70</f>
        <v>-16985429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2523923</v>
      </c>
      <c r="E373" s="86">
        <f>data!CD71</f>
        <v>17173929</v>
      </c>
      <c r="F373" s="219"/>
      <c r="G373" s="219"/>
      <c r="H373" s="219"/>
      <c r="I373" s="14">
        <f>data!CE71</f>
        <v>395999826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539081657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708356822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1247438479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1697</v>
      </c>
      <c r="E380" s="214"/>
      <c r="F380" s="211"/>
      <c r="G380" s="211"/>
      <c r="H380" s="211"/>
      <c r="I380" s="14">
        <f>data!CE76</f>
        <v>433631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207284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106467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2040426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596.69000000000005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UW Medicine/Northwest Hospital Year End Report</dc:title>
  <dc:subject>2019 UW Medicine/Northwest Hospital Year End Report</dc:subject>
  <dc:creator>Washington State Dept of Health - HSQA - Community Health Systems</dc:creator>
  <cp:keywords>hospital financial reports</cp:keywords>
  <cp:lastModifiedBy>Huyck, Randall  (DOH)</cp:lastModifiedBy>
  <cp:lastPrinted>2019-11-06T17:04:12Z</cp:lastPrinted>
  <dcterms:created xsi:type="dcterms:W3CDTF">1999-06-02T22:01:56Z</dcterms:created>
  <dcterms:modified xsi:type="dcterms:W3CDTF">2019-11-21T17:51:16Z</dcterms:modified>
</cp:coreProperties>
</file>